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wdp" ContentType="image/vnd.ms-photo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75" windowWidth="20115" windowHeight="7995" tabRatio="661"/>
  </bookViews>
  <sheets>
    <sheet name="Cost Summary" sheetId="4" r:id="rId1"/>
    <sheet name="BOM" sheetId="5" r:id="rId2"/>
    <sheet name="BR Assemblies" sheetId="25" r:id="rId3"/>
    <sheet name="BR Parts" sheetId="26" r:id="rId4"/>
    <sheet name="EN Assemblies" sheetId="6" r:id="rId5"/>
    <sheet name="EN Parts" sheetId="7" r:id="rId6"/>
    <sheet name="EN_Drawings" sheetId="8" r:id="rId7"/>
    <sheet name="FR Assemblies" sheetId="22" r:id="rId8"/>
    <sheet name="FR Parts" sheetId="23" r:id="rId9"/>
    <sheet name="FR_Drawings" sheetId="24" r:id="rId10"/>
    <sheet name="EL Assemblies" sheetId="27" r:id="rId11"/>
    <sheet name="EL Parts" sheetId="28" r:id="rId12"/>
    <sheet name="EL_Drawings" sheetId="29" r:id="rId13"/>
    <sheet name="MS Assemblies" sheetId="30" r:id="rId14"/>
    <sheet name="MS Parts" sheetId="31" r:id="rId15"/>
    <sheet name="MS_Drawings" sheetId="32" r:id="rId16"/>
    <sheet name="ST Assemblies" sheetId="13" r:id="rId17"/>
    <sheet name="ST Parts" sheetId="14" r:id="rId18"/>
    <sheet name="ST_Drawings" sheetId="15" r:id="rId19"/>
    <sheet name="SU Assemblies" sheetId="33" r:id="rId20"/>
    <sheet name="SU Parts" sheetId="34" r:id="rId21"/>
    <sheet name="SU_Drawings" sheetId="35" r:id="rId22"/>
    <sheet name="WT Assemblies" sheetId="10" r:id="rId23"/>
    <sheet name="WT Parts" sheetId="11" r:id="rId24"/>
    <sheet name="WT_Drawings" sheetId="12" r:id="rId25"/>
    <sheet name="Revision Log" sheetId="9" r:id="rId26"/>
  </sheets>
  <externalReferences>
    <externalReference r:id="rId27"/>
    <externalReference r:id="rId28"/>
  </externalReferences>
  <definedNames>
    <definedName name="_____________uni2">#REF!</definedName>
    <definedName name="____________uni2">#REF!</definedName>
    <definedName name="_________uni3">#REF!</definedName>
    <definedName name="________uni2">#REF!</definedName>
    <definedName name="________uni26">#REF!</definedName>
    <definedName name="________uni4">#REF!</definedName>
    <definedName name="________uni6">#REF!</definedName>
    <definedName name="________uni7">#REF!</definedName>
    <definedName name="______uni14">#REF!</definedName>
    <definedName name="______uni54">#REF!</definedName>
    <definedName name="_____uni3">#REF!</definedName>
    <definedName name="____uni26">#REF!</definedName>
    <definedName name="____uni4">#REF!</definedName>
    <definedName name="____uni6">#REF!</definedName>
    <definedName name="____uni7">#REF!</definedName>
    <definedName name="___uni14">#REF!</definedName>
    <definedName name="___uni54">#REF!</definedName>
    <definedName name="_uni14">#REF!</definedName>
    <definedName name="_uni2">#REF!</definedName>
    <definedName name="_uni26">#REF!</definedName>
    <definedName name="_uni3">#REF!</definedName>
    <definedName name="_uni4">#REF!</definedName>
    <definedName name="_uni54">#REF!</definedName>
    <definedName name="_uni6">#REF!</definedName>
    <definedName name="_uni7">#REF!</definedName>
    <definedName name="bgtrvfcd">#REF!</definedName>
    <definedName name="bgtvfc">#REF!</definedName>
    <definedName name="bgvfcd">#REF!</definedName>
    <definedName name="BOM_BR_f">BOM!$L$28</definedName>
    <definedName name="BOM_BR_m">BOM!$J$28</definedName>
    <definedName name="BOM_BR_p">BOM!$K$28</definedName>
    <definedName name="BOM_BR_t">BOM!$M$28</definedName>
    <definedName name="BOM_BR_tot">BOM!$N$28</definedName>
    <definedName name="BOM_EL_f">BOM!$L$184</definedName>
    <definedName name="BOM_EL_m">BOM!$J$184</definedName>
    <definedName name="BOM_EL_p">BOM!$K$184</definedName>
    <definedName name="BOM_EL_t">BOM!$M$184</definedName>
    <definedName name="BOM_EL_tot">BOM!$N$184</definedName>
    <definedName name="BOM_EN_f">BOM!$L$116</definedName>
    <definedName name="BOM_EN_m">BOM!$J$116</definedName>
    <definedName name="BOM_EN_p">BOM!$K$116</definedName>
    <definedName name="BOM_EN_t">BOM!$M$116</definedName>
    <definedName name="BOM_EN_tot">BOM!$N$116</definedName>
    <definedName name="BOM_FR_f">BOM!$L$165</definedName>
    <definedName name="BOM_FR_m">BOM!$J$165</definedName>
    <definedName name="BOM_FR_p">BOM!$K$165</definedName>
    <definedName name="BOM_FR_t">BOM!$M$165</definedName>
    <definedName name="BOM_FR_tot">BOM!$N$165</definedName>
    <definedName name="BOM_MS_f">BOM!$L$205</definedName>
    <definedName name="BOM_MS_m">BOM!$J$205</definedName>
    <definedName name="BOM_MS_p">BOM!$K$205</definedName>
    <definedName name="BOM_MS_t">BOM!$M$205</definedName>
    <definedName name="BOM_MS_tot">BOM!$N$205</definedName>
    <definedName name="BOM_ST_f">BOM!$L$234</definedName>
    <definedName name="BOM_ST_m">BOM!$J$234</definedName>
    <definedName name="BOM_ST_p">BOM!$K$234</definedName>
    <definedName name="BOM_ST_t">BOM!$M$234</definedName>
    <definedName name="BOM_ST_tot">BOM!$N$234</definedName>
    <definedName name="BOM_SU_f">BOM!$L$320</definedName>
    <definedName name="BOM_SU_m">BOM!$J$320</definedName>
    <definedName name="BOM_SU_p">BOM!$K$320</definedName>
    <definedName name="BOM_SU_t">BOM!$M$320</definedName>
    <definedName name="BOM_SU_tot">BOM!$N$320</definedName>
    <definedName name="BOM_WT_f">BOM!$L$333</definedName>
    <definedName name="BOM_WT_m">BOM!$J$333</definedName>
    <definedName name="BOM_WT_p">BOM!$K$333</definedName>
    <definedName name="BOM_WT_t">BOM!$M$333</definedName>
    <definedName name="BOM_WT_tot">BOM!$N$333</definedName>
    <definedName name="BON_BR_m">BOM!$J$28</definedName>
    <definedName name="BR_01001">'BR Parts'!$B$6</definedName>
    <definedName name="BR_01001_f">'BR Parts'!#REF!</definedName>
    <definedName name="BR_01001_m">'BR Parts'!$N$12</definedName>
    <definedName name="BR_01001_p">'BR Parts'!$I$17</definedName>
    <definedName name="BR_01001_q">'BR Parts'!$N$3</definedName>
    <definedName name="BR_01001_t">'BR Parts'!#REF!</definedName>
    <definedName name="BR_01002">'BR Parts'!$B$26</definedName>
    <definedName name="BR_01002_f">'BR Parts'!#REF!</definedName>
    <definedName name="BR_01002_m">'BR Parts'!$N$32</definedName>
    <definedName name="BR_01002_p">'BR Parts'!$I$37</definedName>
    <definedName name="BR_01002_q">'BR Parts'!$N$23</definedName>
    <definedName name="BR_01002_t">'BR Parts'!#REF!</definedName>
    <definedName name="BR_01003">'BR Parts'!$B$46</definedName>
    <definedName name="BR_01003_f">'BR Parts'!#REF!</definedName>
    <definedName name="BR_01003_m">'BR Parts'!$N$52</definedName>
    <definedName name="BR_01003_p">'BR Parts'!#REF!</definedName>
    <definedName name="BR_01003_q">'BR Parts'!$N$43</definedName>
    <definedName name="BR_01003_t">'BR Parts'!#REF!</definedName>
    <definedName name="BR_01004">'BR Parts'!$B$67</definedName>
    <definedName name="BR_01004_f">'BR Parts'!#REF!</definedName>
    <definedName name="BR_01004_m">'BR Parts'!$N$73</definedName>
    <definedName name="BR_01004_p">'BR Parts'!#REF!</definedName>
    <definedName name="BR_01004_q">'BR Parts'!$N$64</definedName>
    <definedName name="BR_01004_t">'BR Parts'!#REF!</definedName>
    <definedName name="BR_01005">'BR Parts'!$B$88</definedName>
    <definedName name="BR_01005_f">'BR Parts'!#REF!</definedName>
    <definedName name="BR_01005_m">'BR Parts'!$N$94</definedName>
    <definedName name="BR_01005_p">'BR Parts'!$I$100</definedName>
    <definedName name="BR_01005_q">'BR Parts'!$N$85</definedName>
    <definedName name="BR_01005_t">'BR Parts'!#REF!</definedName>
    <definedName name="BR_01006">'BR Parts'!$B$109</definedName>
    <definedName name="BR_01006_f">'BR Parts'!#REF!</definedName>
    <definedName name="BR_01006_m">'BR Parts'!$N$115</definedName>
    <definedName name="BR_01006_p">'BR Parts'!$I$121</definedName>
    <definedName name="BR_01006_q">'BR Parts'!$N$106</definedName>
    <definedName name="BR_01006_t">'BR Parts'!#REF!</definedName>
    <definedName name="BR_02001">'BR Parts'!$B$130</definedName>
    <definedName name="BR_02001_f">'BR Parts'!#REF!</definedName>
    <definedName name="BR_02001_m">'BR Parts'!$N$136</definedName>
    <definedName name="BR_02001_p">'BR Parts'!$I$141</definedName>
    <definedName name="BR_02001_q">'BR Parts'!$N$127</definedName>
    <definedName name="BR_02001_t">'BR Parts'!#REF!</definedName>
    <definedName name="BR_02002">'BR Parts'!$B$150</definedName>
    <definedName name="BR_02002_f">'BR Parts'!#REF!</definedName>
    <definedName name="BR_02002_m">'BR Parts'!$N$156</definedName>
    <definedName name="BR_02002_p">'BR Parts'!$I$161</definedName>
    <definedName name="BR_02002_q">'BR Parts'!$N$147</definedName>
    <definedName name="BR_02002_t">'BR Parts'!#REF!</definedName>
    <definedName name="BR_02003">'BR Parts'!$B$170</definedName>
    <definedName name="BR_02003_f">'BR Parts'!#REF!</definedName>
    <definedName name="BR_02003_m">'BR Parts'!$N$176</definedName>
    <definedName name="BR_02003_p">'BR Parts'!#REF!</definedName>
    <definedName name="BR_02003_q">'BR Parts'!$N$167</definedName>
    <definedName name="BR_02003_t">'BR Parts'!#REF!</definedName>
    <definedName name="BR_02004">'BR Parts'!$B$191</definedName>
    <definedName name="BR_02004_f">'BR Parts'!#REF!</definedName>
    <definedName name="BR_02004_m">'BR Parts'!$N$197</definedName>
    <definedName name="BR_02004_p">'BR Parts'!#REF!</definedName>
    <definedName name="BR_02004_q">'BR Parts'!$N$188</definedName>
    <definedName name="BR_02004_t">'BR Parts'!#REF!</definedName>
    <definedName name="BR_02005">'BR Parts'!$B$212</definedName>
    <definedName name="BR_02005_f">'BR Parts'!#REF!</definedName>
    <definedName name="BR_02005_m">'BR Parts'!$N$218</definedName>
    <definedName name="BR_02005_p">'BR Parts'!$I$224</definedName>
    <definedName name="BR_02005_q">'BR Parts'!$N$209</definedName>
    <definedName name="BR_02005_t">'BR Parts'!#REF!</definedName>
    <definedName name="BR_02006">'BR Parts'!$B$233</definedName>
    <definedName name="BR_02006_f">'BR Parts'!#REF!</definedName>
    <definedName name="BR_02006_m">'BR Parts'!$N$239</definedName>
    <definedName name="BR_02006_p">'BR Parts'!$I$245</definedName>
    <definedName name="BR_02006_q">'BR Parts'!$N$230</definedName>
    <definedName name="BR_02006_t">'BR Parts'!#REF!</definedName>
    <definedName name="BR_03001">'BR Parts'!$B$254</definedName>
    <definedName name="BR_03001_f">'BR Parts'!#REF!</definedName>
    <definedName name="BR_03001_m">'BR Parts'!$N$260</definedName>
    <definedName name="BR_03001_p">'BR Parts'!$I$266</definedName>
    <definedName name="BR_03001_q">'BR Parts'!$N$251</definedName>
    <definedName name="BR_03001_t">'BR Parts'!#REF!</definedName>
    <definedName name="BR_03002">'BR Parts'!$B$275</definedName>
    <definedName name="BR_03002_f">'BR Parts'!#REF!</definedName>
    <definedName name="BR_03002_m">'BR Parts'!$N$281</definedName>
    <definedName name="BR_03002_p">'BR Parts'!$I$287</definedName>
    <definedName name="BR_03002_q">'BR Parts'!$N$272</definedName>
    <definedName name="BR_03002_t">'BR Parts'!#REF!</definedName>
    <definedName name="BR_03003">'BR Parts'!$B$296</definedName>
    <definedName name="BR_03003_f">'BR Parts'!#REF!</definedName>
    <definedName name="BR_03003_m">'BR Parts'!$N$302</definedName>
    <definedName name="BR_03003_p">'BR Parts'!#REF!</definedName>
    <definedName name="BR_03003_q">'BR Parts'!$N$293</definedName>
    <definedName name="BR_03003_t">'BR Parts'!#REF!</definedName>
    <definedName name="BR_03004">'BR Parts'!$B$311</definedName>
    <definedName name="BR_03004_f">'BR Parts'!#REF!</definedName>
    <definedName name="BR_03004_m">'BR Parts'!$N$317</definedName>
    <definedName name="BR_03004_p">'BR Parts'!#REF!</definedName>
    <definedName name="BR_03004_q">'BR Parts'!$N$308</definedName>
    <definedName name="BR_03004_t">'BR Parts'!#REF!</definedName>
    <definedName name="BR_03005">'BR Parts'!$B$326</definedName>
    <definedName name="BR_03005_f">'BR Parts'!#REF!</definedName>
    <definedName name="BR_03005_m">'BR Parts'!$N$332</definedName>
    <definedName name="BR_03005_p">'BR Parts'!$I$337</definedName>
    <definedName name="BR_03005_q">'BR Parts'!$N$323</definedName>
    <definedName name="BR_03005_t">'BR Parts'!#REF!</definedName>
    <definedName name="BR_03006">'BR Parts'!$B$346</definedName>
    <definedName name="BR_03006_f">'BR Parts'!#REF!</definedName>
    <definedName name="BR_03006_m">'BR Parts'!$N$352</definedName>
    <definedName name="BR_03006_p">'BR Parts'!$I$358</definedName>
    <definedName name="BR_03006_q">'BR Parts'!$N$343</definedName>
    <definedName name="BR_03006_t">'BR Parts'!#REF!</definedName>
    <definedName name="BR_A0001">'BR Assemblies'!$B$5</definedName>
    <definedName name="BR_A0001_f">'BR Assemblies'!$J$35</definedName>
    <definedName name="BR_A0001_m">'BR Assemblies'!#REF!</definedName>
    <definedName name="BR_A0001_p">'BR Assemblies'!$I$28</definedName>
    <definedName name="BR_A0001_q">'BR Assemblies'!$N$3</definedName>
    <definedName name="BR_A0001_t">'BR Assemblies'!#REF!</definedName>
    <definedName name="BR_A0002">'BR Assemblies'!$B$43</definedName>
    <definedName name="BR_A0002_f">'BR Assemblies'!$J$73</definedName>
    <definedName name="BR_A0002_m">'BR Assemblies'!#REF!</definedName>
    <definedName name="BR_A0002_p">'BR Assemblies'!$I$66</definedName>
    <definedName name="BR_A0002_q">'BR Assemblies'!$N$41</definedName>
    <definedName name="BR_A0002_t">'BR Assemblies'!#REF!</definedName>
    <definedName name="BR_A0003">'BR Assemblies'!$B$81</definedName>
    <definedName name="BR_A0003_f">'BR Assemblies'!$J$152</definedName>
    <definedName name="BR_A0003_m">'BR Assemblies'!$N$109</definedName>
    <definedName name="BR_A0003_p">'BR Assemblies'!$I$138</definedName>
    <definedName name="BR_A0003_q">'BR Assemblies'!$N$79</definedName>
    <definedName name="BR_A0003_t">'BR Assemblies'!$I$156</definedName>
    <definedName name="btgrvf">#REF!</definedName>
    <definedName name="btvfcds">#REF!</definedName>
    <definedName name="Car" localSheetId="1">BOM!$B$4</definedName>
    <definedName name="Car">#REF!</definedName>
    <definedName name="CompCode" localSheetId="1">BOM!$B$2</definedName>
    <definedName name="CompCode">#REF!</definedName>
    <definedName name="cwlkvclwekjc">#REF!</definedName>
    <definedName name="dede">#REF!</definedName>
    <definedName name="dEL_01001">EL_Drawings!$B$1</definedName>
    <definedName name="dEL_01002">EL_Drawings!$B$22</definedName>
    <definedName name="dEL_01002a">EL_Drawings!$B$22</definedName>
    <definedName name="dEL_01002b">EL_Drawings!#REF!</definedName>
    <definedName name="dEL_01003">EL_Drawings!$B$45</definedName>
    <definedName name="dEL_01004">EL_Drawings!$B$66</definedName>
    <definedName name="dEL_01005">EL_Drawings!$B$87</definedName>
    <definedName name="dEL_02001">EL_Drawings!$B$108</definedName>
    <definedName name="dEL_02002">EL_Drawings!$B$129</definedName>
    <definedName name="dEL_02003">EL_Drawings!$B$150</definedName>
    <definedName name="dEL_02004">EL_Drawings!$B$174</definedName>
    <definedName name="dEL_02005">EL_Drawings!$B$201</definedName>
    <definedName name="dEL_03001">EL_Drawings!$B$151</definedName>
    <definedName name="dEL_04001">EL_Drawings!$B$201</definedName>
    <definedName name="dFR_04001">FR_Drawings!$B$27</definedName>
    <definedName name="dFR_04002">FR_Drawings!$B$69</definedName>
    <definedName name="dFR_04003">FR_Drawings!$B$110</definedName>
    <definedName name="dFR_04004">FR_Drawings!$B$151</definedName>
    <definedName name="dFR_04007">FR_Drawings!$B$192</definedName>
    <definedName name="dFR_04008">FR_Drawings!$B$233</definedName>
    <definedName name="dFR_04009">FR_Drawings!$B$275</definedName>
    <definedName name="dFR_04010">FR_Drawings!$B$316</definedName>
    <definedName name="dFR_04011">FR_Drawings!$B$357</definedName>
    <definedName name="dFR_04012">FR_Drawings!$B$397</definedName>
    <definedName name="dFR_04013">FR_Drawings!$B$438</definedName>
    <definedName name="dFR_04015">FR_Drawings!$B$479</definedName>
    <definedName name="dFR_04017">FR_Drawings!$B$519</definedName>
    <definedName name="dFR_04018">FR_Drawings!$B$560</definedName>
    <definedName name="dFR_04019">FR_Drawings!$B$601</definedName>
    <definedName name="dFR_05001">FR_Drawings!$B$642</definedName>
    <definedName name="dFR_05005">FR_Drawings!$B$683</definedName>
    <definedName name="dFR_A0001">FR_Drawings!$B$1</definedName>
    <definedName name="dMS_01001">MS_Drawings!$A$1</definedName>
    <definedName name="dMS_01002">MS_Drawings!$F$1</definedName>
    <definedName name="dMS_01003">MS_Drawings!$A$14</definedName>
    <definedName name="dMS_01004">MS_Drawings!$F$14</definedName>
    <definedName name="dMS_01005">MS_Drawings!$A$27</definedName>
    <definedName name="dMS_01006">MS_Drawings!$F$27</definedName>
    <definedName name="dMS_01007">MS_Drawings!$A$40</definedName>
    <definedName name="dMS_02001">MS_Drawings!$F$40</definedName>
    <definedName name="dMS_03001">MS_Drawings!$A$58</definedName>
    <definedName name="dMS_03002">MS_Drawings!$F$58</definedName>
    <definedName name="dMS_03003">MS_Drawings!$A$76</definedName>
    <definedName name="dMS_05002">MS_Drawings!$F$76</definedName>
    <definedName name="dMS_05003">MS_Drawings!$A$94</definedName>
    <definedName name="dqwdqd">#REF!</definedName>
    <definedName name="dST_01001">ST_Drawings!$B$1</definedName>
    <definedName name="dST_01002">ST_Drawings!$G$1</definedName>
    <definedName name="dST_01004">ST_Drawings!$B$18</definedName>
    <definedName name="dST_01005">ST_Drawings!$G$18</definedName>
    <definedName name="dST_02004">ST_Drawings!$B$34</definedName>
    <definedName name="dST_02005">ST_Drawings!$G$34</definedName>
    <definedName name="dST_02006">ST_Drawings!$B$50</definedName>
    <definedName name="dST_02007">ST_Drawings!$G$50</definedName>
    <definedName name="dST_04004">ST_Drawings!$B$67</definedName>
    <definedName name="dST_05001">ST_Drawings!$G$67</definedName>
    <definedName name="dST_05004">ST_Drawings!$B$83</definedName>
    <definedName name="dSU_01001">SU_Drawings!$B$1</definedName>
    <definedName name="dSU_01002">SU_Drawings!$B$37</definedName>
    <definedName name="dSU_01007">SU_Drawings!$O$1</definedName>
    <definedName name="dSU_01008">SU_Drawings!$O$37</definedName>
    <definedName name="dSU_02002">SU_Drawings!$B$73</definedName>
    <definedName name="dSU_02007">SU_Drawings!$O$73</definedName>
    <definedName name="dSU_02008">SU_Drawings!$B$109</definedName>
    <definedName name="dSU_03002">SU_Drawings!$O$109</definedName>
    <definedName name="dSU_03007">SU_Drawings!$B$145</definedName>
    <definedName name="dSU_03008">SU_Drawings!$O$145</definedName>
    <definedName name="dSU_04002">SU_Drawings!$B$182</definedName>
    <definedName name="dSU_04007">SU_Drawings!$O$182</definedName>
    <definedName name="dSU_04008">SU_Drawings!$B$219</definedName>
    <definedName name="dSU_06001">SU_Drawings!$B$292</definedName>
    <definedName name="dSU_06004">SU_Drawings!$N$292</definedName>
    <definedName name="dSU_06006">SU_Drawings!$O$398</definedName>
    <definedName name="dSU_08001">SU_Drawings!$B$362</definedName>
    <definedName name="dSU_08004">SU_Drawings!$N$362</definedName>
    <definedName name="dSU_08006">SU_Drawings!$P$398</definedName>
    <definedName name="dSU_09001">SU_Drawings!$N$398</definedName>
    <definedName name="dSU_09003">SU_Drawings!$N$436</definedName>
    <definedName name="dSU_10007">SU_Drawings!$Q$398</definedName>
    <definedName name="dWT_02001">WT_Drawings!$B$1</definedName>
    <definedName name="dWT_02003">WT_Drawings!$Q$1</definedName>
    <definedName name="dWT_03001">WT_Drawings!$B$46</definedName>
    <definedName name="dWT_03003">WT_Drawings!$Q$46</definedName>
    <definedName name="eded">#REF!</definedName>
    <definedName name="EL_010004_m">'EL Parts'!$N$116</definedName>
    <definedName name="EL_01001">'EL Parts'!$B$6</definedName>
    <definedName name="EL_01001_f">'EL Parts'!#REF!</definedName>
    <definedName name="EL_01001_m">'EL Parts'!$N$21</definedName>
    <definedName name="EL_01001_p">'EL Parts'!$I$38</definedName>
    <definedName name="EL_01001_q">'EL Parts'!$N$3</definedName>
    <definedName name="EL_01001_t">'EL Parts'!$I$42</definedName>
    <definedName name="EL_01002">'EL Parts'!$B$50</definedName>
    <definedName name="EL_01002_f">'EL Parts'!#REF!</definedName>
    <definedName name="EL_01002_m">'EL Parts'!$N$63</definedName>
    <definedName name="EL_01002_p">'EL Parts'!$I$76</definedName>
    <definedName name="EL_01002_q">'EL Parts'!$N$47</definedName>
    <definedName name="EL_01002_t">'EL Parts'!#REF!</definedName>
    <definedName name="EL_01003">'EL Parts'!$B$84</definedName>
    <definedName name="EL_01003_f">'EL Parts'!#REF!</definedName>
    <definedName name="EL_01003_m">'EL Parts'!$N$92</definedName>
    <definedName name="EL_01003_p">'EL Parts'!$I$102</definedName>
    <definedName name="EL_01003_q">'EL Parts'!$N$81</definedName>
    <definedName name="EL_01003_t">'EL Parts'!#REF!</definedName>
    <definedName name="EL_01004">'EL Parts'!$B$110</definedName>
    <definedName name="EL_01004_m">'EL Parts'!$N$116</definedName>
    <definedName name="EL_01004_p">'EL Parts'!$I$121</definedName>
    <definedName name="EL_01004_q">'EL Parts'!$N$107</definedName>
    <definedName name="EL_01005">'EL Parts'!$B$135</definedName>
    <definedName name="EL_01005_m">'EL Parts'!$N$141</definedName>
    <definedName name="EL_01005_p">'EL Parts'!$I$146</definedName>
    <definedName name="EL_01005_q">'EL Parts'!$N$132</definedName>
    <definedName name="EL_02001">'EL Parts'!$B$157</definedName>
    <definedName name="EL_02001_f">'EL Parts'!#REF!</definedName>
    <definedName name="EL_02001_m">'EL Parts'!$N$163</definedName>
    <definedName name="EL_02001_p">'EL Parts'!$I$169</definedName>
    <definedName name="EL_02001_q">'EL Parts'!$N$154</definedName>
    <definedName name="EL_02001_t">'EL Parts'!#REF!</definedName>
    <definedName name="EL_02002">'EL Parts'!$B$183</definedName>
    <definedName name="EL_02002_f">'EL Parts'!#REF!</definedName>
    <definedName name="EL_02002_m">'EL Parts'!$N$189</definedName>
    <definedName name="EL_02002_p">'EL Parts'!$I$195</definedName>
    <definedName name="EL_02002_q">'EL Parts'!$N$180</definedName>
    <definedName name="EL_02002_t">'EL Parts'!#REF!</definedName>
    <definedName name="EL_02003">'EL Parts'!$B$209</definedName>
    <definedName name="EL_02003_f">'EL Parts'!#REF!</definedName>
    <definedName name="EL_02003_m">'EL Parts'!$N$216</definedName>
    <definedName name="EL_02003_p">'EL Parts'!$I$222</definedName>
    <definedName name="EL_02003_q">'EL Parts'!$N$206</definedName>
    <definedName name="EL_02003_t">'EL Parts'!#REF!</definedName>
    <definedName name="EL_02004">'EL Parts'!$B$231</definedName>
    <definedName name="EL_02004_f">'EL Parts'!#REF!</definedName>
    <definedName name="EL_02004_m">'EL Parts'!$N$238</definedName>
    <definedName name="EL_02004_p">'EL Parts'!$I$244</definedName>
    <definedName name="EL_02004_q">'EL Parts'!$N$228</definedName>
    <definedName name="EL_02004_t">'EL Parts'!#REF!</definedName>
    <definedName name="EL_02005">'EL Parts'!$B$253</definedName>
    <definedName name="EL_02005_f">'EL Parts'!#REF!</definedName>
    <definedName name="EL_02005_m">'EL Parts'!$N$259</definedName>
    <definedName name="EL_02005_p">'EL Parts'!$I$265</definedName>
    <definedName name="EL_02005_q">'EL Parts'!$N$250</definedName>
    <definedName name="EL_02005_t">'EL Parts'!#REF!</definedName>
    <definedName name="EL_03001">'EL Parts'!$B$279</definedName>
    <definedName name="EL_03001_m">'EL Parts'!$N$285</definedName>
    <definedName name="EL_03001_p">'EL Parts'!$I$290</definedName>
    <definedName name="EL_04001">'EL Parts'!$B$298</definedName>
    <definedName name="EL_04001_m">'EL Parts'!$N$304</definedName>
    <definedName name="EL_04001_p">'EL Parts'!$I$309</definedName>
    <definedName name="EL_3001_p">'EL Parts'!$I$290</definedName>
    <definedName name="EL_A0001">'EL Assemblies'!$B$5</definedName>
    <definedName name="EL_A0001_f">'EL Assemblies'!$J$80</definedName>
    <definedName name="EL_A0001_m">'EL Assemblies'!$N$34</definedName>
    <definedName name="EL_A0001_p">'EL Assemblies'!$I$70</definedName>
    <definedName name="EL_A0001_q">'EL Assemblies'!$N$3</definedName>
    <definedName name="EL_A0001_t">'EL Assemblies'!$I$84</definedName>
    <definedName name="EL_A0002">'EL Assemblies'!$B$91</definedName>
    <definedName name="EL_A0002_f">'EL Assemblies'!$J$147</definedName>
    <definedName name="EL_A0002_m">'EL Assemblies'!$N$112</definedName>
    <definedName name="EL_A0002_p">'EL Assemblies'!$I$133</definedName>
    <definedName name="EL_A0002_q">'EL Assemblies'!$N$89</definedName>
    <definedName name="EL_A0002_t">'EL Assemblies'!$I$151</definedName>
    <definedName name="EL_A0003">'EL Assemblies'!$B$158</definedName>
    <definedName name="EL_A0003_f">'EL Assemblies'!$J$187</definedName>
    <definedName name="EL_A0003_m">'EL Assemblies'!$N$171</definedName>
    <definedName name="EL_A0003_p">'EL Assemblies'!$I$183</definedName>
    <definedName name="EL_A0003_t">'EL Assemblies'!$I$191</definedName>
    <definedName name="EL_A0004">'EL Assemblies'!$B$198</definedName>
    <definedName name="EL_A0004_m">'EL Assemblies'!$N$213</definedName>
    <definedName name="EL_A0004_p">'EL Assemblies'!$I$226</definedName>
    <definedName name="EL_A0005">'EL Assemblies'!$B$233</definedName>
    <definedName name="EL_A0005_m">'EL Assemblies'!$N$242</definedName>
    <definedName name="EL_A0005_p">'EL Assemblies'!$I$253</definedName>
    <definedName name="EL_A0006">'EL Assemblies'!$B$260</definedName>
    <definedName name="EL_A0006_f">'EL Assemblies'!$J$329</definedName>
    <definedName name="EL_A0006_m">'EL Assemblies'!$N$296</definedName>
    <definedName name="EL_A0006_p">'EL Assemblies'!$I$322</definedName>
    <definedName name="EN_01001">'EN Parts'!$B$6</definedName>
    <definedName name="EN_01001_m">'EN Parts'!$N$12</definedName>
    <definedName name="EN_01001_q">'EN Parts'!$N$3</definedName>
    <definedName name="EN_01002">'EN Parts'!$B$34</definedName>
    <definedName name="EN_01002_d">EN_Drawings!$B$1</definedName>
    <definedName name="EN_01002_m">'EN Parts'!$N$40</definedName>
    <definedName name="EN_01002_p">'EN Parts'!$I$45</definedName>
    <definedName name="EN_01002_q">'EN Parts'!$N$31</definedName>
    <definedName name="EN_01003">'EN Parts'!$B$63</definedName>
    <definedName name="EN_01003_d1">EN_Drawings!$J$1</definedName>
    <definedName name="EN_01003_d2">EN_Drawings!$B$23</definedName>
    <definedName name="EN_01003_m">'EN Parts'!$N$69</definedName>
    <definedName name="EN_01003_p">'EN Parts'!$I$76</definedName>
    <definedName name="EN_01003_q">'EN Parts'!$N$60</definedName>
    <definedName name="EN_01004">'EN Parts'!$B$89</definedName>
    <definedName name="EN_01004_d">EN_Drawings!$J$23</definedName>
    <definedName name="EN_01004_m">'EN Parts'!$N$95</definedName>
    <definedName name="EN_01004_p">'EN Parts'!$I$101</definedName>
    <definedName name="EN_01004_q">'EN Parts'!$N$86</definedName>
    <definedName name="EN_01005">'EN Parts'!$B$113</definedName>
    <definedName name="EN_01005_d1">EN_Drawings!$B$48</definedName>
    <definedName name="EN_01005_d2">EN_Drawings!$J$48</definedName>
    <definedName name="EN_01005_d3">EN_Drawings!$B$73</definedName>
    <definedName name="EN_01005_d4">EN_Drawings!$J$74</definedName>
    <definedName name="EN_01005_f">'EN Parts'!$J$137</definedName>
    <definedName name="EN_01005_m">'EN Parts'!$N$120</definedName>
    <definedName name="EN_01005_p">'EN Parts'!$I$132</definedName>
    <definedName name="EN_01005_q">'EN Parts'!$N$110</definedName>
    <definedName name="EN_01005_t">'EN Parts'!$I$141</definedName>
    <definedName name="EN_01006">'EN Parts'!$B$149</definedName>
    <definedName name="EN_01006_d">EN_Drawings!$B$98</definedName>
    <definedName name="EN_01006_f">'EN Parts'!$J$165</definedName>
    <definedName name="EN_01006_m">'EN Parts'!$N$155</definedName>
    <definedName name="EN_01006_p">'EN Parts'!$I$161</definedName>
    <definedName name="EN_01006_q">'EN Parts'!$N$146</definedName>
    <definedName name="EN_02001">'EN Parts'!$B$173</definedName>
    <definedName name="EN_02001_m">'EN Parts'!$N$179</definedName>
    <definedName name="EN_02001_p">'EN Parts'!$I$184</definedName>
    <definedName name="EN_02001_q">'EN Parts'!$N$170</definedName>
    <definedName name="EN_02002">'EN Parts'!$B$195</definedName>
    <definedName name="EN_02002_m">'EN Parts'!$N$201</definedName>
    <definedName name="EN_02002_p">'EN Parts'!$I$206</definedName>
    <definedName name="EN_02002_q">'EN Parts'!$N$192</definedName>
    <definedName name="EN_02003">'EN Parts'!$B$216</definedName>
    <definedName name="EN_02003_m">'EN Parts'!$N$222</definedName>
    <definedName name="EN_02003_p">'EN Parts'!$I$229</definedName>
    <definedName name="EN_02003_q">'EN Parts'!$N$213</definedName>
    <definedName name="EN_02003_t">'EN Parts'!$I$234</definedName>
    <definedName name="EN_02004">'EN Parts'!$B$244</definedName>
    <definedName name="EN_02004_m">'EN Parts'!$N$251</definedName>
    <definedName name="EN_02004_p">'EN Parts'!$I$257</definedName>
    <definedName name="EN_02004_q">'EN Parts'!$N$241</definedName>
    <definedName name="EN_02004_t">'EN Parts'!$I$261</definedName>
    <definedName name="EN_02005">'EN Parts'!$B$271</definedName>
    <definedName name="EN_02005_m">'EN Parts'!$N$277</definedName>
    <definedName name="EN_02005_p">'EN Parts'!$I$284</definedName>
    <definedName name="EN_02005_q">'EN Parts'!$N$268</definedName>
    <definedName name="EN_02005_t">'EN Parts'!$I$289</definedName>
    <definedName name="EN_02006">'EN Parts'!$B$297</definedName>
    <definedName name="EN_02006_m">'EN Parts'!$N$304</definedName>
    <definedName name="EN_02006_p">'EN Parts'!$I$310</definedName>
    <definedName name="EN_02006_q">'EN Parts'!$N$294</definedName>
    <definedName name="EN_02006_t">'EN Parts'!$I$314</definedName>
    <definedName name="EN_02007">'EN Parts'!$B$322</definedName>
    <definedName name="EN_02007_m">'EN Parts'!$N$328</definedName>
    <definedName name="EN_02007_p">'EN Parts'!$I$335</definedName>
    <definedName name="EN_02007_q">'EN Parts'!$N$319</definedName>
    <definedName name="EN_02007_t">'EN Parts'!$I$339</definedName>
    <definedName name="EN_02008">'EN Parts'!$B$347</definedName>
    <definedName name="EN_02008_m">'EN Parts'!$N$354</definedName>
    <definedName name="EN_02008_p">'EN Parts'!$I$366</definedName>
    <definedName name="EN_02008_q">'EN Parts'!$N$344</definedName>
    <definedName name="EN_03001">'EN Parts'!$B$375</definedName>
    <definedName name="EN_03001_d1">EN_Drawings!$A$124</definedName>
    <definedName name="EN_03001_d2">EN_Drawings!$I$124</definedName>
    <definedName name="EN_03001_d3">EN_Drawings!$A$149</definedName>
    <definedName name="EN_03001_d4">EN_Drawings!$I$149</definedName>
    <definedName name="EN_03001_m">'EN Parts'!$N$387</definedName>
    <definedName name="EN_03001_p">'EN Parts'!$I$406</definedName>
    <definedName name="EN_03001_q">'EN Parts'!$N$372</definedName>
    <definedName name="EN_03001_t">'EN Parts'!$I$411</definedName>
    <definedName name="En_03002">'EN Parts'!$B$419</definedName>
    <definedName name="EN_03002_d">EN_Drawings!$A$173</definedName>
    <definedName name="EN_03002_f">'EN Parts'!$J$442</definedName>
    <definedName name="EN_03002_m">'EN Parts'!$N$427</definedName>
    <definedName name="EN_03002_p">'EN Parts'!$I$438</definedName>
    <definedName name="En_03002_q">'EN Parts'!$N$416</definedName>
    <definedName name="EN_03002_t">'EN Parts'!$I$446</definedName>
    <definedName name="EN_03003">'EN Parts'!$B$454</definedName>
    <definedName name="EN_03003_m">'EN Parts'!$N$461</definedName>
    <definedName name="EN_03003_p">'EN Parts'!$I$470</definedName>
    <definedName name="En_03003_q">'EN Parts'!$N$451</definedName>
    <definedName name="EN_03004">'EN Parts'!$B$479</definedName>
    <definedName name="EN_03004_m">'EN Parts'!$N$485</definedName>
    <definedName name="EN_03004_p">'EN Parts'!$I$491</definedName>
    <definedName name="En_03004_q">'EN Parts'!$N$476</definedName>
    <definedName name="EN_03005">'EN Parts'!$B$500</definedName>
    <definedName name="EN_03005_d">EN_Drawings!$I$174</definedName>
    <definedName name="EN_03005_m">'EN Parts'!$N$507</definedName>
    <definedName name="EN_03005_p">'EN Parts'!$I$513</definedName>
    <definedName name="EN_03005_q">'EN Parts'!$N$497</definedName>
    <definedName name="EN_03006">'EN Parts'!$B$522</definedName>
    <definedName name="EN_03006_d">EN_Drawings!$A$198</definedName>
    <definedName name="EN_03006_m">'EN Parts'!$N$529</definedName>
    <definedName name="EN_03006_p">'EN Parts'!$I$535</definedName>
    <definedName name="EN_03006_q">'EN Parts'!$N$519</definedName>
    <definedName name="EN_04001">'EN Parts'!$B$544</definedName>
    <definedName name="EN_04001_m">'EN Parts'!$N$551</definedName>
    <definedName name="EN_04001_p">'EN Parts'!$I$562</definedName>
    <definedName name="EN_04001_q">'EN Parts'!$N$541</definedName>
    <definedName name="EN_04001_t">'EN Parts'!$I$567</definedName>
    <definedName name="EN_04002">'EN Parts'!$B$575</definedName>
    <definedName name="EN_04002_m">'EN Parts'!$N$582</definedName>
    <definedName name="EN_04002_p">'EN Parts'!$I$588</definedName>
    <definedName name="EN_04002_q">'EN Parts'!$N$572</definedName>
    <definedName name="EN_04003">'EN Parts'!$B$597</definedName>
    <definedName name="EN_04003_d">EN_Drawings!$A$224</definedName>
    <definedName name="EN_04003_m">'EN Parts'!$N$604</definedName>
    <definedName name="EN_04003_p">'EN Parts'!$I$610</definedName>
    <definedName name="EN_04003_q">'EN Parts'!$N$594</definedName>
    <definedName name="EN_04004">'EN Parts'!$B$619</definedName>
    <definedName name="EN_04004_m">'EN Parts'!$N$625</definedName>
    <definedName name="EN_04004_p">'EN Parts'!$I$631</definedName>
    <definedName name="EN_04004_q">'EN Parts'!$N$616</definedName>
    <definedName name="EN_04005">'EN Parts'!$B$640</definedName>
    <definedName name="EN_04005_d">EN_Drawings!$I$224</definedName>
    <definedName name="EN_04005_m">'EN Parts'!$N$646</definedName>
    <definedName name="EN_04005_p">'EN Parts'!$I$652</definedName>
    <definedName name="EN_04005_q">'EN Parts'!$N$637</definedName>
    <definedName name="EN_04006">'EN Parts'!$B$661</definedName>
    <definedName name="EN_04006_m">'EN Parts'!$N$667</definedName>
    <definedName name="EN_04006_p">'EN Parts'!$I$673</definedName>
    <definedName name="EN_04006_q">'EN Parts'!$N$658</definedName>
    <definedName name="EN_05001">'EN Parts'!$B$682</definedName>
    <definedName name="EN_05001_m">'EN Parts'!$N$688</definedName>
    <definedName name="EN_05001_p">'EN Parts'!$I$692</definedName>
    <definedName name="EN_05001_q">'EN Parts'!$N$679</definedName>
    <definedName name="EN_05002">'EN Parts'!$B$701</definedName>
    <definedName name="EN_05002_d">EN_Drawings!$A$249</definedName>
    <definedName name="EN_05002_m">'EN Parts'!$N$707</definedName>
    <definedName name="EN_05002_p">'EN Parts'!$I$712</definedName>
    <definedName name="EN_05002_q">'EN Parts'!$N$698</definedName>
    <definedName name="EN_05003">'EN Parts'!$B$721</definedName>
    <definedName name="EN_05003_m">'EN Parts'!$N$727</definedName>
    <definedName name="EN_05003_p">'EN Parts'!$I$731</definedName>
    <definedName name="EN_05003_q">'EN Parts'!$N$718</definedName>
    <definedName name="EN_05004">'EN Parts'!$B$740</definedName>
    <definedName name="EN_05004_m">'EN Parts'!$N$746</definedName>
    <definedName name="EN_05004_p">'EN Parts'!$I$750</definedName>
    <definedName name="EN_05004_q">'EN Parts'!$N$737</definedName>
    <definedName name="EN_05005">'EN Parts'!$B$759</definedName>
    <definedName name="EN_05005_d">EN_Drawings!$I$249</definedName>
    <definedName name="EN_05005_m">'EN Parts'!$N$765</definedName>
    <definedName name="EN_05005_p">'EN Parts'!$I$771</definedName>
    <definedName name="EN_05005_q">'EN Parts'!$N$756</definedName>
    <definedName name="EN_05006">'EN Parts'!$B$780</definedName>
    <definedName name="EN_05006_m">'EN Parts'!$N$788</definedName>
    <definedName name="EN_05006_p">'EN Parts'!$I$795</definedName>
    <definedName name="EN_05006_q">'EN Parts'!$N$777</definedName>
    <definedName name="EN_06001">'EN Parts'!$B$804</definedName>
    <definedName name="EN_06001_m">'EN Parts'!$N$810</definedName>
    <definedName name="EN_06001_p">'EN Parts'!$I$816</definedName>
    <definedName name="EN_06001_q">'EN Parts'!$N$801</definedName>
    <definedName name="EN_06002">'EN Parts'!$B$825</definedName>
    <definedName name="EN_06002_m">'EN Parts'!$N$831</definedName>
    <definedName name="EN_06002_p">'EN Parts'!$I$838</definedName>
    <definedName name="EN_06002_q">'EN Parts'!$N$822</definedName>
    <definedName name="EN_06003">'EN Parts'!$B$847</definedName>
    <definedName name="EN_06003_m">'EN Parts'!$N$853</definedName>
    <definedName name="EN_06003_p">'EN Parts'!$I$860</definedName>
    <definedName name="EN_06003_q">'EN Parts'!$N$844</definedName>
    <definedName name="EN_06004">'EN Parts'!$B$869</definedName>
    <definedName name="EN_06004_m">'EN Parts'!$N$875</definedName>
    <definedName name="EN_06004_p">'EN Parts'!$I$882</definedName>
    <definedName name="EN_06004_q">'EN Parts'!$N$866</definedName>
    <definedName name="EN_06005">'EN Parts'!$B$891</definedName>
    <definedName name="EN_06005_m">'EN Parts'!$N$897</definedName>
    <definedName name="EN_06005_p">'EN Parts'!$I$904</definedName>
    <definedName name="EN_06005_q">'EN Parts'!$N$888</definedName>
    <definedName name="EN_06006">'EN Parts'!$B$913</definedName>
    <definedName name="EN_06006_m">'EN Parts'!$N$919</definedName>
    <definedName name="EN_06006_p">'EN Parts'!$I$924</definedName>
    <definedName name="EN_06006_q">'EN Parts'!$N$910</definedName>
    <definedName name="EN_06007">'EN Parts'!$B$933</definedName>
    <definedName name="EN_06007_m">'EN Parts'!$N$939</definedName>
    <definedName name="En_06007_p">'EN Parts'!$I$946</definedName>
    <definedName name="EN_06007_q">'EN Parts'!$N$930</definedName>
    <definedName name="EN_06007_t">'EN Parts'!$I$950</definedName>
    <definedName name="EN_06008">'EN Parts'!$B$958</definedName>
    <definedName name="EN_06008_m">'EN Parts'!$N$964</definedName>
    <definedName name="EN_06008_p">'EN Parts'!$I$969</definedName>
    <definedName name="EN_06008_q">'EN Parts'!$N$955</definedName>
    <definedName name="EN_06009">'EN Parts'!$B$978</definedName>
    <definedName name="EN_06009_m">'EN Parts'!$N$984</definedName>
    <definedName name="EN_06009_p">'EN Parts'!$I$989</definedName>
    <definedName name="EN_06009_q">'EN Parts'!$N$975</definedName>
    <definedName name="EN_07001">'EN Parts'!$B$998</definedName>
    <definedName name="EN_07001_m">'EN Parts'!$N$1004</definedName>
    <definedName name="EN_07001_p">'EN Parts'!$I$1010</definedName>
    <definedName name="EN_07001_q">'EN Parts'!$N$995</definedName>
    <definedName name="EN_07002">'EN Parts'!$B$1019</definedName>
    <definedName name="EN_07002_m">'EN Parts'!$N$1027</definedName>
    <definedName name="EN_07002_p">'EN Parts'!$I$1034</definedName>
    <definedName name="EN_07002_q">'EN Parts'!$N$1016</definedName>
    <definedName name="EN_07002_t">'EN Parts'!$I$1038</definedName>
    <definedName name="EN_08001">'EN Parts'!$B$1046</definedName>
    <definedName name="EN_08001_f">'EN Parts'!$J$1064</definedName>
    <definedName name="EN_08001_m">'EN Parts'!$N$1053</definedName>
    <definedName name="EN_08001_p">'EN Parts'!$I$1060</definedName>
    <definedName name="EN_08001_q">'EN Parts'!$N$1043</definedName>
    <definedName name="EN_08002">'EN Parts'!$B$1073</definedName>
    <definedName name="EN_08002_d">EN_Drawings!$A$275</definedName>
    <definedName name="EN_08002_m">'EN Parts'!$N$1079</definedName>
    <definedName name="EN_08002_q">'EN Parts'!$N$1070</definedName>
    <definedName name="EN_08003">'EN Parts'!$B$1088</definedName>
    <definedName name="EN_08003_f">'EN Parts'!$J$1103</definedName>
    <definedName name="EN_08003_m">'EN Parts'!$N$1094</definedName>
    <definedName name="EN_08003_p">'EN Parts'!$I$1099</definedName>
    <definedName name="EN_08003_q">'EN Parts'!$N$1085</definedName>
    <definedName name="EN_08004">'EN Parts'!$B$1112</definedName>
    <definedName name="EN_08004_d">EN_Drawings!$I$275</definedName>
    <definedName name="EN_08004_m">'EN Parts'!$N$1122</definedName>
    <definedName name="EN_08004_p">'EN Parts'!$I$1135</definedName>
    <definedName name="EN_08004_q">'EN Parts'!$N$1109</definedName>
    <definedName name="EN_08004_t">'EN Parts'!$I$1139</definedName>
    <definedName name="EN_08005">'EN Parts'!$B$1147</definedName>
    <definedName name="EN_08005_d">EN_Drawings!$A$300</definedName>
    <definedName name="EN_08005_m">'EN Parts'!$N$1154</definedName>
    <definedName name="EN_08005_p">'EN Parts'!$I$1160</definedName>
    <definedName name="EN_08005_q">'EN Parts'!$N$1144</definedName>
    <definedName name="EN_08006">'EN Parts'!$B$1169</definedName>
    <definedName name="EN_08006_d">EN_Drawings!$I$300</definedName>
    <definedName name="EN_08006_m">'EN Parts'!$N$1176</definedName>
    <definedName name="EN_08006_p">'EN Parts'!$I$1182</definedName>
    <definedName name="EN_08006_q">'EN Parts'!$N$1166</definedName>
    <definedName name="EN_08007">'EN Parts'!$B$1191</definedName>
    <definedName name="EN_08007_d">EN_Drawings!$A$325</definedName>
    <definedName name="EN_08007_m">'EN Parts'!$N$1198</definedName>
    <definedName name="EN_08007_p">'EN Parts'!$I$1205</definedName>
    <definedName name="EN_08007_q">'EN Parts'!$N$1188</definedName>
    <definedName name="EN_08008">'EN Parts'!$B$1214</definedName>
    <definedName name="EN_08008_d">EN_Drawings!$I$325</definedName>
    <definedName name="EN_08008_m">'EN Parts'!$N$1220</definedName>
    <definedName name="EN_08008_p">'EN Parts'!$I$1227</definedName>
    <definedName name="EN_08008_q">'EN Parts'!$N$1211</definedName>
    <definedName name="EN_09001">'EN Parts'!$B$1236</definedName>
    <definedName name="EN_09001_m">'EN Parts'!$N$1242</definedName>
    <definedName name="EN_09001_p">'EN Parts'!$I$1251</definedName>
    <definedName name="EN_09001_q">'EN Parts'!$N$1233</definedName>
    <definedName name="EN_09002">'EN Parts'!$B$1260</definedName>
    <definedName name="EN_09002_m">'EN Parts'!$N$1266</definedName>
    <definedName name="EN_09002_p">'EN Parts'!$I$1274</definedName>
    <definedName name="EN_09002_q">'EN Parts'!$N$1257</definedName>
    <definedName name="EN_09003">'EN Parts'!$B$1283</definedName>
    <definedName name="EN_09003_d">EN_Drawings!$A$350</definedName>
    <definedName name="EN_09003_m">'EN Parts'!$N$1289</definedName>
    <definedName name="EN_09003_p">'EN Parts'!$I$1294</definedName>
    <definedName name="EN_09003_q">'EN Parts'!$N$1280</definedName>
    <definedName name="EN_09004">'EN Parts'!$B$1303</definedName>
    <definedName name="EN_09004_d">EN_Drawings!$I$350</definedName>
    <definedName name="EN_09004_m">'EN Parts'!$N$1309</definedName>
    <definedName name="EN_09004_p">'EN Parts'!$I$1315</definedName>
    <definedName name="EN_09004_q">'EN Parts'!$N$1300</definedName>
    <definedName name="EN_09005">'EN Parts'!$B$1324</definedName>
    <definedName name="EN_09005_d">EN_Drawings!$A$375</definedName>
    <definedName name="EN_09005_m">'EN Parts'!$N$1330</definedName>
    <definedName name="EN_09005_p">'EN Parts'!$I$1336</definedName>
    <definedName name="EN_09005_q">'EN Parts'!$N$1321</definedName>
    <definedName name="EN_09006">'EN Parts'!$B$1345</definedName>
    <definedName name="EN_09006_f">'EN Parts'!$J$1368</definedName>
    <definedName name="EN_09006_m">'EN Parts'!$N$1351</definedName>
    <definedName name="EN_09006_p">'EN Parts'!$I$1364</definedName>
    <definedName name="EN_09006_q">'EN Parts'!$N$1342</definedName>
    <definedName name="EN_10001">'EN Parts'!$B$1377</definedName>
    <definedName name="EN_10001_f">'EN Parts'!$J$1410</definedName>
    <definedName name="EN_10001_m">'EN Parts'!$N$1386</definedName>
    <definedName name="EN_10001_p">'EN Parts'!$I$1403</definedName>
    <definedName name="EN_10001_q">'EN Parts'!$N$1374</definedName>
    <definedName name="EN_10002">'EN Parts'!$B$1419</definedName>
    <definedName name="EN_10002_m">'EN Parts'!$N$1425</definedName>
    <definedName name="EN_10002_q">'EN Parts'!$N$1416</definedName>
    <definedName name="EN_10003">'EN Parts'!$B$1434</definedName>
    <definedName name="EN_10003_d">EN_Drawings!$A$400</definedName>
    <definedName name="EN_10003_m">'EN Parts'!$N$1440</definedName>
    <definedName name="EN_10003_p">'EN Parts'!$I$1447</definedName>
    <definedName name="EN_10003_q">'EN Parts'!$N$1431</definedName>
    <definedName name="EN_10004">'EN Parts'!$B$1456</definedName>
    <definedName name="EN_10004_d">EN_Drawings!$I$400</definedName>
    <definedName name="EN_10004_m">'EN Parts'!$N$1462</definedName>
    <definedName name="EN_10004_p">'EN Parts'!$I$1469</definedName>
    <definedName name="EN_10004_q">'EN Parts'!$N$1453</definedName>
    <definedName name="EN_10005">'EN Parts'!$B$1478</definedName>
    <definedName name="EN_10005_d">EN_Drawings!$A$423</definedName>
    <definedName name="EN_10005_m">'EN Parts'!$N$1485</definedName>
    <definedName name="EN_10005_p">'EN Parts'!$I$1491</definedName>
    <definedName name="EN_10005_q">'EN Parts'!$N$1475</definedName>
    <definedName name="EN_10006">'EN Parts'!$B$1500</definedName>
    <definedName name="EN_10006_d">EN_Drawings!$I$423</definedName>
    <definedName name="EN_10006_m">'EN Parts'!$N$1507</definedName>
    <definedName name="EN_10006_p">'EN Parts'!$I$1513</definedName>
    <definedName name="EN_10006_q">'EN Parts'!$N$1497</definedName>
    <definedName name="EN_10007">'EN Parts'!$B$1522</definedName>
    <definedName name="EN_10007_d">EN_Drawings!$A$447</definedName>
    <definedName name="EN_10007_m">'EN Parts'!$N$1528</definedName>
    <definedName name="EN_10007_p">'EN Parts'!$I$1536</definedName>
    <definedName name="EN_10007_q">'EN Parts'!$N$1519</definedName>
    <definedName name="EN_10008">'EN Parts'!$B$1545</definedName>
    <definedName name="EN_10008_d">EN_Drawings!$I$447</definedName>
    <definedName name="EN_10008_m">'EN Parts'!$N$1551</definedName>
    <definedName name="EN_10008_p">'EN Parts'!$I$1559</definedName>
    <definedName name="EN_10008_q">'EN Parts'!$N$1542</definedName>
    <definedName name="EN_11001">'EN Parts'!$B$1568</definedName>
    <definedName name="EN_11001_m">'EN Parts'!$N$1574</definedName>
    <definedName name="EN_11001_p">'EN Parts'!$I$1581</definedName>
    <definedName name="EN_11001_q">'EN Parts'!$N$1565</definedName>
    <definedName name="EN_11002">'EN Parts'!$B$1590</definedName>
    <definedName name="EN_11002_m">'EN Parts'!$N$1596</definedName>
    <definedName name="EN_11002_p">'EN Parts'!$I$1605</definedName>
    <definedName name="EN_11002_q">'EN Parts'!$N$1587</definedName>
    <definedName name="EN_11003">'EN Parts'!$B$1614</definedName>
    <definedName name="EN_11003_m">'EN Parts'!$N$1620</definedName>
    <definedName name="EN_11003_p">'EN Parts'!$I$1627</definedName>
    <definedName name="EN_11003_q">'EN Parts'!$N$1611</definedName>
    <definedName name="EN_11004">'EN Parts'!$B$1636</definedName>
    <definedName name="EN_11004_m">'EN Parts'!$N$1642</definedName>
    <definedName name="EN_11004_p">'EN Parts'!$I$1649</definedName>
    <definedName name="EN_11004_q">'EN Parts'!$N$1633</definedName>
    <definedName name="EN_12001">'EN Parts'!$B$1658</definedName>
    <definedName name="EN_12001_m">'EN Parts'!$N$1664</definedName>
    <definedName name="EN_12001_p">'EN Parts'!$I$1672</definedName>
    <definedName name="EN_12001_q">'EN Parts'!$N$1655</definedName>
    <definedName name="EN_12002">'EN Parts'!$B$1681</definedName>
    <definedName name="EN_12002_d">EN_Drawings!$A$470</definedName>
    <definedName name="EN_12002_m">'EN Parts'!$N$1687</definedName>
    <definedName name="EN_12002_p">'EN Parts'!$I$1694</definedName>
    <definedName name="EN_12002_q">'EN Parts'!$N$1678</definedName>
    <definedName name="EN_12003">'EN Parts'!$B$1703</definedName>
    <definedName name="EN_12003_d">EN_Drawings!$I$470</definedName>
    <definedName name="EN_12003_m">'EN Parts'!$N$1709</definedName>
    <definedName name="EN_12003_p">'EN Parts'!$I$1717</definedName>
    <definedName name="EN_12003_q">'EN Parts'!$N$1700</definedName>
    <definedName name="EN_12004">'EN Parts'!$B$1726</definedName>
    <definedName name="EN_12004_d">EN_Drawings!$A$493</definedName>
    <definedName name="EN_12004_m">'EN Parts'!$N$1733</definedName>
    <definedName name="EN_12004_p">'EN Parts'!$I$1741</definedName>
    <definedName name="EN_12004_q">'EN Parts'!$N$1723</definedName>
    <definedName name="EN_12005">'EN Parts'!$B$1750</definedName>
    <definedName name="EN_12005_m">'EN Parts'!$N$1757</definedName>
    <definedName name="EN_12005_p">'EN Parts'!$I$1763</definedName>
    <definedName name="EN_12005_q">'EN Parts'!$N$1747</definedName>
    <definedName name="EN_12006">'EN Parts'!$B$1772</definedName>
    <definedName name="EN_12006_d">EN_Drawings!$I$494</definedName>
    <definedName name="EN_12006_m">'EN Parts'!$N$1778</definedName>
    <definedName name="EN_12006_p">'EN Parts'!$I$1783</definedName>
    <definedName name="EN_12006_q">'EN Parts'!$N$1769</definedName>
    <definedName name="EN_A0001">'EN Assemblies'!$B$5</definedName>
    <definedName name="EN_A0001_f">'EN Assemblies'!$J$46</definedName>
    <definedName name="EN_A0001_m">'EN Assemblies'!$N$24</definedName>
    <definedName name="EN_A0001_p">'EN Assemblies'!$I$40</definedName>
    <definedName name="EN_A0001_q">'EN Assemblies'!$N$3</definedName>
    <definedName name="EN_A0001_t">'EN Assemblies'!$I$50</definedName>
    <definedName name="EN_A0002">'EN Assemblies'!$B$57</definedName>
    <definedName name="EN_A0002_f">'EN Assemblies'!$J$102</definedName>
    <definedName name="EN_A0002_m">'EN Assemblies'!$N$76</definedName>
    <definedName name="EN_A0002_p">'EN Assemblies'!$I$94</definedName>
    <definedName name="EN_A0002_q">'EN Assemblies'!$N$55</definedName>
    <definedName name="EN_A0002_t">'EN Assemblies'!$I$106</definedName>
    <definedName name="EN_A0003">'EN Assemblies'!$B$113</definedName>
    <definedName name="EN_A0003_f">'EN Assemblies'!$J$154</definedName>
    <definedName name="EN_A0003_m">'EN Assemblies'!$N$130</definedName>
    <definedName name="EN_A0003_p">'EN Assemblies'!$I$145</definedName>
    <definedName name="EN_A0003_q">'EN Assemblies'!$N$111</definedName>
    <definedName name="EN_A0003_t">'EN Assemblies'!$I$158</definedName>
    <definedName name="EN_A0004">'EN Assemblies'!$B$165</definedName>
    <definedName name="EN_A0004_f">'EN Assemblies'!$J$221</definedName>
    <definedName name="EN_A0004_m">'EN Assemblies'!$N$193</definedName>
    <definedName name="EN_A0004_p">'EN Assemblies'!$I$212</definedName>
    <definedName name="EN_A0004_q">'EN Assemblies'!$N$163</definedName>
    <definedName name="EN_A0004_t">'EN Assemblies'!$I$225</definedName>
    <definedName name="EN_A0005">'EN Assemblies'!$B$232</definedName>
    <definedName name="EN_A0005_f">'EN Assemblies'!$J$274</definedName>
    <definedName name="EN_A0005_m">'EN Assemblies'!$N$247</definedName>
    <definedName name="EN_A0005_p">'EN Assemblies'!$I$265</definedName>
    <definedName name="EN_A0005_q">'EN Assemblies'!$N$230</definedName>
    <definedName name="EN_A0006">'EN Assemblies'!$B$282</definedName>
    <definedName name="EN_A0006_f">'EN Assemblies'!$J$340</definedName>
    <definedName name="EN_A0006_m">'EN Assemblies'!$N$306</definedName>
    <definedName name="EN_A0006_p">'EN Assemblies'!$I$331</definedName>
    <definedName name="EN_A0006_q">'EN Assemblies'!$N$280</definedName>
    <definedName name="EN_A0007">'EN Assemblies'!$B$347</definedName>
    <definedName name="EN_A0007_f">'EN Assemblies'!$J$380</definedName>
    <definedName name="EN_A0007_m">'EN Assemblies'!$N$360</definedName>
    <definedName name="EN_A0007_p">'EN Assemblies'!$I$373</definedName>
    <definedName name="EN_A0007_q">'EN Assemblies'!$N$345</definedName>
    <definedName name="EN_A0008">'EN Assemblies'!$B$388</definedName>
    <definedName name="EN_A0008_f">'EN Assemblies'!$J$429</definedName>
    <definedName name="EN_A0008_m">'EN Assemblies'!$N$406</definedName>
    <definedName name="EN_A0008_p">'EN Assemblies'!$I$423</definedName>
    <definedName name="EN_A0008_q">'EN Assemblies'!$N$386</definedName>
    <definedName name="EN_A0008_t">'EN Assemblies'!$I$433</definedName>
    <definedName name="EN_A0009">'EN Assemblies'!$B$440</definedName>
    <definedName name="EN_A0009_f">'EN Assemblies'!$J$523</definedName>
    <definedName name="EN_A0009_m">'EN Assemblies'!$N$457</definedName>
    <definedName name="EN_A0009_p">'EN Assemblies'!$I$514</definedName>
    <definedName name="EN_A0009_q">'EN Assemblies'!$N$438</definedName>
    <definedName name="EN_A0009_t">'EN Assemblies'!$I$527</definedName>
    <definedName name="EN_A0010">'EN Assemblies'!$B$534</definedName>
    <definedName name="EN_A0010_f">'EN Assemblies'!$J$577</definedName>
    <definedName name="EN_A0010_m">'EN Assemblies'!$N$553</definedName>
    <definedName name="EN_A0010_p">'EN Assemblies'!$I$567</definedName>
    <definedName name="EN_A0010_q">'EN Assemblies'!$N$532</definedName>
    <definedName name="EN_A0010_t">'EN Assemblies'!$I$581</definedName>
    <definedName name="EN_A0011">'EN Assemblies'!$B$588</definedName>
    <definedName name="EN_A0011_f">'EN Assemblies'!$J$626</definedName>
    <definedName name="EN_A0011_m">'EN Assemblies'!$N$602</definedName>
    <definedName name="EN_A0011_p">'EN Assemblies'!$I$618</definedName>
    <definedName name="EN_A0011_q">'EN Assemblies'!$N$586</definedName>
    <definedName name="EN_A0012">'EN Assemblies'!$B$634</definedName>
    <definedName name="EN_A0012_f">'EN Assemblies'!$J$683</definedName>
    <definedName name="EN_A0012_m">'EN Assemblies'!$N$649</definedName>
    <definedName name="EN_A0012_p">'EN Assemblies'!$I$669</definedName>
    <definedName name="EN_A0012_q">'EN Assemblies'!$N$632</definedName>
    <definedName name="EN_A0012_t">'EN Assemblies'!$I$687</definedName>
    <definedName name="er">#REF!</definedName>
    <definedName name="ervcdx">#REF!</definedName>
    <definedName name="ezfdscx">#REF!</definedName>
    <definedName name="FR_01001">'FR Parts'!$B$6</definedName>
    <definedName name="FR_01001_m">'FR Parts'!$N$13</definedName>
    <definedName name="FR_01001_p">'FR Parts'!$I$19</definedName>
    <definedName name="FR_01001_q">'FR Parts'!$N$3</definedName>
    <definedName name="FR_01002">'FR Parts'!$B$27</definedName>
    <definedName name="FR_01002_m">'FR Parts'!$N$36</definedName>
    <definedName name="FR_01002_p">'FR Parts'!$I$41</definedName>
    <definedName name="FR_01002_q">'FR Parts'!$N$24</definedName>
    <definedName name="FR_01003">'FR Parts'!$B$49</definedName>
    <definedName name="FR_01003_m">'FR Parts'!$N$55</definedName>
    <definedName name="FR_01003_p">'FR Parts'!$I$61</definedName>
    <definedName name="FR_01003_q">'FR Parts'!$N$46</definedName>
    <definedName name="FR_01004">'FR Parts'!$B$74</definedName>
    <definedName name="FR_01004_m">'FR Parts'!$N$80</definedName>
    <definedName name="FR_01004_p">'FR Parts'!$I$85</definedName>
    <definedName name="FR_01004_q">'FR Parts'!$N$71</definedName>
    <definedName name="FR_01005">'FR Parts'!$B$93</definedName>
    <definedName name="FR_01005_m">'FR Parts'!$N$99</definedName>
    <definedName name="FR_01005_p">'FR Parts'!$I$104</definedName>
    <definedName name="FR_01005_q">'FR Parts'!$N$90</definedName>
    <definedName name="FR_01006">'FR Parts'!$B$112</definedName>
    <definedName name="FR_01006_m">'FR Parts'!$N$118</definedName>
    <definedName name="FR_01006_p">'FR Parts'!$I$123</definedName>
    <definedName name="FR_01006_q">'FR Parts'!$N$109</definedName>
    <definedName name="FR_01007">'FR Parts'!$B$131</definedName>
    <definedName name="FR_01007_m">'FR Parts'!$N$137</definedName>
    <definedName name="FR_01007_p">'FR Parts'!$I$142</definedName>
    <definedName name="FR_01007_q">'FR Parts'!$N$128</definedName>
    <definedName name="FR_01008">'FR Parts'!$B$150</definedName>
    <definedName name="FR_01008_m">'FR Parts'!$N$156</definedName>
    <definedName name="FR_01008_p">'FR Parts'!$I$161</definedName>
    <definedName name="FR_01008_q">'FR Parts'!$N$147</definedName>
    <definedName name="FR_01009">'FR Parts'!$B$169</definedName>
    <definedName name="FR_01009_m">'FR Parts'!$N$175</definedName>
    <definedName name="FR_01009_p">'FR Parts'!$I$180</definedName>
    <definedName name="FR_01009_q">'FR Parts'!$N$166</definedName>
    <definedName name="FR_02001">'FR Parts'!$B$188</definedName>
    <definedName name="FR_02001_m">'FR Parts'!$N$197</definedName>
    <definedName name="FR_02001_p">'FR Parts'!$I$208</definedName>
    <definedName name="FR_02001_q">'FR Parts'!$N$185</definedName>
    <definedName name="FR_03001">'FR Parts'!$B$216</definedName>
    <definedName name="FR_03001_m">'FR Parts'!$N$223</definedName>
    <definedName name="FR_03001_p">'FR Parts'!$I$234</definedName>
    <definedName name="FR_03001_q">'FR Parts'!$N$213</definedName>
    <definedName name="FR_03001_t">'FR Parts'!$I$238</definedName>
    <definedName name="FR_03002">'FR Parts'!$B$246</definedName>
    <definedName name="FR_03002_m">'FR Parts'!$N$253</definedName>
    <definedName name="FR_03002_p">'FR Parts'!$I$264</definedName>
    <definedName name="FR_03002_q">'FR Parts'!$N$243</definedName>
    <definedName name="FR_03002_t">'FR Parts'!$I$268</definedName>
    <definedName name="FR_03003">'FR Parts'!$B$276</definedName>
    <definedName name="FR_03003_m">'FR Parts'!$N$282</definedName>
    <definedName name="FR_03003_p">'FR Parts'!$I$287</definedName>
    <definedName name="FR_03003_q">'FR Parts'!$N$273</definedName>
    <definedName name="FR_04001">'FR Parts'!$B$295</definedName>
    <definedName name="FR_04001_m">'FR Parts'!$N$301</definedName>
    <definedName name="FR_04001_p">'FR Parts'!$I$306</definedName>
    <definedName name="FR_04001_q">'FR Parts'!$N$292</definedName>
    <definedName name="FR_04002">'FR Parts'!$B$314</definedName>
    <definedName name="FR_04002_m">'FR Parts'!$N$320</definedName>
    <definedName name="FR_04002_p">'FR Parts'!$I$325</definedName>
    <definedName name="FR_04002_q">'FR Parts'!$N$311</definedName>
    <definedName name="FR_04003">'FR Parts'!$B$333</definedName>
    <definedName name="FR_04003_m">'FR Parts'!$N$339</definedName>
    <definedName name="FR_04003_p">'FR Parts'!$I$343</definedName>
    <definedName name="FR_04003_q">'FR Parts'!$N$330</definedName>
    <definedName name="FR_04004">'FR Parts'!$B$356</definedName>
    <definedName name="FR_04004_m">'FR Parts'!$N$362</definedName>
    <definedName name="FR_04004_p">'FR Parts'!$I$371</definedName>
    <definedName name="FR_04004_q">'FR Parts'!$N$353</definedName>
    <definedName name="FR_04005">'FR Parts'!$B$379</definedName>
    <definedName name="FR_04005_m">'FR Parts'!$N$385</definedName>
    <definedName name="FR_04005_p">'FR Parts'!$I$390</definedName>
    <definedName name="FR_04005_q">'FR Parts'!$N$376</definedName>
    <definedName name="FR_04006">'FR Parts'!$B$398</definedName>
    <definedName name="FR_04006_m">'FR Parts'!$N$404</definedName>
    <definedName name="FR_04006_p">'FR Parts'!$I$409</definedName>
    <definedName name="FR_04006_q">'FR Parts'!$N$395</definedName>
    <definedName name="FR_04007">'FR Parts'!$B$417</definedName>
    <definedName name="FR_04007_m">'FR Parts'!$N$423</definedName>
    <definedName name="FR_04007_p">'FR Parts'!$I$430</definedName>
    <definedName name="FR_04007_q">'FR Parts'!$N$414</definedName>
    <definedName name="FR_04008">'FR Parts'!$B$438</definedName>
    <definedName name="FR_04008_m">'FR Parts'!$N$444</definedName>
    <definedName name="FR_04008_p">'FR Parts'!$I$448</definedName>
    <definedName name="FR_04008_q">'FR Parts'!$N$435</definedName>
    <definedName name="FR_04009">'FR Parts'!$B$456</definedName>
    <definedName name="FR_04009_m">'FR Parts'!$N$462</definedName>
    <definedName name="FR_04009_p">'FR Parts'!$I$467</definedName>
    <definedName name="FR_04009_q">'FR Parts'!$N$453</definedName>
    <definedName name="FR_04010">'FR Parts'!$B$475</definedName>
    <definedName name="FR_04010_m">'FR Parts'!$N$481</definedName>
    <definedName name="FR_04010_p">'FR Parts'!$I$487</definedName>
    <definedName name="FR_04010_q">'FR Parts'!$N$472</definedName>
    <definedName name="FR_04011">'FR Parts'!$B$495</definedName>
    <definedName name="FR_04011_m">'FR Parts'!$N$502</definedName>
    <definedName name="FR_04011_p">'FR Parts'!$I$511</definedName>
    <definedName name="FR_04011_q">'FR Parts'!$N$492</definedName>
    <definedName name="FR_04011_t">'FR Parts'!$I$515</definedName>
    <definedName name="FR_04012">'FR Parts'!$B$523</definedName>
    <definedName name="FR_04012_m">'FR Parts'!$N$529</definedName>
    <definedName name="FR_04012_p">'FR Parts'!$I$535</definedName>
    <definedName name="FR_04012_q">'FR Parts'!$N$520</definedName>
    <definedName name="FR_04013">'FR Parts'!$B$543</definedName>
    <definedName name="FR_04013_m">'FR Parts'!$N$549</definedName>
    <definedName name="FR_04013_p">'FR Parts'!$I$555</definedName>
    <definedName name="FR_04013_q">'FR Parts'!$N$540</definedName>
    <definedName name="FR_04014">'FR Parts'!$B$563</definedName>
    <definedName name="FR_04014_m">'FR Parts'!$N$569</definedName>
    <definedName name="FR_04014_p">'FR Parts'!$I$576</definedName>
    <definedName name="FR_04014_q">'FR Parts'!$N$560</definedName>
    <definedName name="FR_04014_t">'FR Parts'!#REF!</definedName>
    <definedName name="FR_04015">'FR Parts'!$B$584</definedName>
    <definedName name="FR_04015_m">'FR Parts'!$N$590</definedName>
    <definedName name="FR_04015_p">'FR Parts'!$I$601</definedName>
    <definedName name="FR_04015_q">'FR Parts'!$N$581</definedName>
    <definedName name="FR_04016">'FR Parts'!$B$609</definedName>
    <definedName name="FR_04016_m">'FR Parts'!$N$615</definedName>
    <definedName name="FR_04016_p">'FR Parts'!$I$620</definedName>
    <definedName name="FR_04016_q">'FR Parts'!$N$606</definedName>
    <definedName name="FR_04017">'FR Parts'!$B$628</definedName>
    <definedName name="FR_04017_m">'FR Parts'!$N$634</definedName>
    <definedName name="FR_04017_p">'FR Parts'!$I$639</definedName>
    <definedName name="FR_04017_q">'FR Parts'!$N$625</definedName>
    <definedName name="FR_04018">'FR Parts'!$B$647</definedName>
    <definedName name="FR_04018_m">'FR Parts'!$N$653</definedName>
    <definedName name="FR_04018_p">'FR Parts'!$I$661</definedName>
    <definedName name="FR_04018_q">'FR Parts'!$N$644</definedName>
    <definedName name="FR_04019">'FR Parts'!$B$669</definedName>
    <definedName name="FR_04019_m">'FR Parts'!$N$675</definedName>
    <definedName name="FR_04019_p">'FR Parts'!$I$681</definedName>
    <definedName name="FR_04019_q">'FR Parts'!$N$666</definedName>
    <definedName name="FR_05001">'FR Parts'!$B$689</definedName>
    <definedName name="FR_05001_m">'FR Parts'!$N$695</definedName>
    <definedName name="FR_05001_p">'FR Parts'!$I$705</definedName>
    <definedName name="FR_05001_q">'FR Parts'!$N$686</definedName>
    <definedName name="FR_05002">'FR Parts'!$B$713</definedName>
    <definedName name="FR_05002_m">'FR Parts'!$N$719</definedName>
    <definedName name="FR_05002_p">'FR Parts'!$I$729</definedName>
    <definedName name="FR_05002_q">'FR Parts'!$N$710</definedName>
    <definedName name="FR_05002_t">'FR Parts'!$I$733</definedName>
    <definedName name="FR_05003">'FR Parts'!$B$741</definedName>
    <definedName name="FR_05003_m">'FR Parts'!$N$747</definedName>
    <definedName name="FR_05003_p">'FR Parts'!$I$754</definedName>
    <definedName name="FR_05003_q">'FR Parts'!$N$738</definedName>
    <definedName name="FR_05003_t">'FR Parts'!$I$758</definedName>
    <definedName name="FR_05004">'FR Parts'!$B$766</definedName>
    <definedName name="FR_05004_m">'FR Parts'!$N$772</definedName>
    <definedName name="FR_05004_p">'FR Parts'!$I$776</definedName>
    <definedName name="FR_05004_q">'FR Parts'!$N$763</definedName>
    <definedName name="FR_05004_t">'FR Parts'!$I$780</definedName>
    <definedName name="FR_05005">'FR Parts'!$B$788</definedName>
    <definedName name="FR_05005_m">'FR Parts'!$N$794</definedName>
    <definedName name="FR_05005_p">'FR Parts'!$I$799</definedName>
    <definedName name="FR_05005_q">'FR Parts'!$N$785</definedName>
    <definedName name="FR_06001">'FR Parts'!$B$807</definedName>
    <definedName name="FR_06001_m">'FR Parts'!$N$814</definedName>
    <definedName name="FR_06001_p">'FR Parts'!$I$822</definedName>
    <definedName name="FR_06001_q">'FR Parts'!$N$804</definedName>
    <definedName name="FR_06001_t">'FR Parts'!$I$827</definedName>
    <definedName name="FR_06002">'FR Parts'!$B$835</definedName>
    <definedName name="FR_06002_m">'FR Parts'!$N$842</definedName>
    <definedName name="FR_06002_p">'FR Parts'!$I$850</definedName>
    <definedName name="FR_06002_q">'FR Parts'!$N$832</definedName>
    <definedName name="FR_06002_t">'FR Parts'!$I$854</definedName>
    <definedName name="FR_06003">'FR Parts'!$B$862</definedName>
    <definedName name="FR_06003_m">'FR Parts'!$N$869</definedName>
    <definedName name="FR_06003_p">'FR Parts'!$I$877</definedName>
    <definedName name="FR_06003_q">'FR Parts'!$N$859</definedName>
    <definedName name="FR_06003_t">'FR Parts'!$I$881</definedName>
    <definedName name="FR_06004">'FR Parts'!$B$889</definedName>
    <definedName name="FR_06004_m">'FR Parts'!$N$896</definedName>
    <definedName name="FR_06004_p">'FR Parts'!$I$906</definedName>
    <definedName name="FR_06004_q">'FR Parts'!$N$886</definedName>
    <definedName name="FR_06004_t">'FR Parts'!$I$910</definedName>
    <definedName name="FR_06005">'FR Parts'!$B$918</definedName>
    <definedName name="FR_06005_m">'FR Parts'!$N$924</definedName>
    <definedName name="FR_06005_p">'FR Parts'!$I$929</definedName>
    <definedName name="FR_06005_q">'FR Parts'!$N$915</definedName>
    <definedName name="FR_A0001">'FR Assemblies'!$B$5</definedName>
    <definedName name="FR_A0001_m">'FR Assemblies'!$N$23</definedName>
    <definedName name="FR_A0001_p">'FR Assemblies'!$I$29</definedName>
    <definedName name="FR_A0001_q">'FR Assemblies'!$N$3</definedName>
    <definedName name="FR_A0001_t">'FR Assemblies'!$I$34</definedName>
    <definedName name="FR_A0002">'FR Assemblies'!$B$41</definedName>
    <definedName name="FR_A0002_f">'FR Assemblies'!$J$59</definedName>
    <definedName name="FR_A0002_p">'FR Assemblies'!$I$53</definedName>
    <definedName name="FR_A0002_q">'FR Assemblies'!$N$39</definedName>
    <definedName name="FR_A0003">'FR Assemblies'!$B$66</definedName>
    <definedName name="FR_A0003_f">'FR Assemblies'!$J$94</definedName>
    <definedName name="FR_A0003_m">'FR Assemblies'!$N$78</definedName>
    <definedName name="FR_A0003_p">'FR Assemblies'!$I$88</definedName>
    <definedName name="FR_A0003_q">'FR Assemblies'!$N$64</definedName>
    <definedName name="FR_A0003_t">'FR Assemblies'!$I$98</definedName>
    <definedName name="FR_A0004">'FR Assemblies'!$B$105</definedName>
    <definedName name="FR_A0004_f">'FR Assemblies'!$J$221</definedName>
    <definedName name="FR_A0004_m">'FR Assemblies'!$N$135</definedName>
    <definedName name="FR_A0004_p">'FR Assemblies'!$I$188</definedName>
    <definedName name="FR_A0004_q">'FR Assemblies'!$N$103</definedName>
    <definedName name="FR_A0004_t">'FR Assemblies'!$I$225</definedName>
    <definedName name="FR_A0005">'FR Assemblies'!$B$233</definedName>
    <definedName name="FR_A0005_f">'FR Assemblies'!$J$268</definedName>
    <definedName name="FR_A0005_m">'FR Assemblies'!$N$248</definedName>
    <definedName name="FR_A0005_p">'FR Assemblies'!$I$262</definedName>
    <definedName name="FR_A0005_q">'FR Assemblies'!$N$231</definedName>
    <definedName name="FR_A0005_t">'FR Assemblies'!$I$272</definedName>
    <definedName name="FR_A0006">'FR Assemblies'!$B$279</definedName>
    <definedName name="FR_A0006_f">'FR Assemblies'!$J$321</definedName>
    <definedName name="FR_A0006_m">'FR Assemblies'!$N$293</definedName>
    <definedName name="FR_A0006_p">'FR Assemblies'!$I$310</definedName>
    <definedName name="FR_A0006_q">'FR Assemblies'!$N$277</definedName>
    <definedName name="FR_A0006_t">'FR Assemblies'!$I$325</definedName>
    <definedName name="gbvf">#REF!</definedName>
    <definedName name="gbvfcd">#REF!</definedName>
    <definedName name="gr">#REF!</definedName>
    <definedName name="gref">#REF!</definedName>
    <definedName name="grefzd">#REF!</definedName>
    <definedName name="grfd">#REF!</definedName>
    <definedName name="gtrfeds">#REF!</definedName>
    <definedName name="gtrvfec">#REF!</definedName>
    <definedName name="gvfc">#REF!</definedName>
    <definedName name="gvfcd">#REF!</definedName>
    <definedName name="gvfdc">#REF!</definedName>
    <definedName name="hgfd">#REF!</definedName>
    <definedName name="hygtrfvcdx">#REF!</definedName>
    <definedName name="_xlnm.Print_Titles" localSheetId="1">BOM!$6:$6</definedName>
    <definedName name="MS_01001">'MS Parts'!$B$6</definedName>
    <definedName name="MS_01001_m">'MS Parts'!$N$12</definedName>
    <definedName name="MS_01001_p">'MS Parts'!$I$19</definedName>
    <definedName name="MS_01001_q">'MS Parts'!$N$3</definedName>
    <definedName name="MS_01002">'MS Parts'!$B$34</definedName>
    <definedName name="MS_01002_m">'MS Parts'!$N$40</definedName>
    <definedName name="MS_01002_p">'MS Parts'!$I$47</definedName>
    <definedName name="MS_01002_q">'MS Parts'!$N$31</definedName>
    <definedName name="MS_01003">'MS Parts'!$B$59</definedName>
    <definedName name="MS_01003_m">'MS Parts'!$N$65</definedName>
    <definedName name="MS_01003_p">'MS Parts'!$I$72</definedName>
    <definedName name="MS_01003_q">'MS Parts'!$N$56</definedName>
    <definedName name="MS_01004">'MS Parts'!$B$84</definedName>
    <definedName name="MS_01004_m">'MS Parts'!$N$90</definedName>
    <definedName name="MS_01004_p">'MS Parts'!$I$96</definedName>
    <definedName name="MS_01004_q">'MS Parts'!$N$81</definedName>
    <definedName name="MS_01005">'MS Parts'!$B$108</definedName>
    <definedName name="MS_01005_m">'MS Parts'!$N$114</definedName>
    <definedName name="MS_01005_p">'MS Parts'!$I$121</definedName>
    <definedName name="MS_01005_q">'MS Parts'!$N$105</definedName>
    <definedName name="MS_01006">'MS Parts'!$B$134</definedName>
    <definedName name="MS_01006_m">'MS Parts'!$N$140</definedName>
    <definedName name="MS_01006_p">'MS Parts'!$I$147</definedName>
    <definedName name="MS_01006_q">'MS Parts'!$N$131</definedName>
    <definedName name="MS_01007">'MS Parts'!$B$159</definedName>
    <definedName name="MS_01007_m">'MS Parts'!$N$165</definedName>
    <definedName name="MS_01007_p">'MS Parts'!$I$170</definedName>
    <definedName name="MS_01007_q">'MS Parts'!$N$156</definedName>
    <definedName name="MS_02001">'MS Parts'!$B$182</definedName>
    <definedName name="MS_02001_m">'MS Parts'!$N$188</definedName>
    <definedName name="MS_02001_p">'MS Parts'!$I$193</definedName>
    <definedName name="MS_02001_q">'MS Parts'!$N$179</definedName>
    <definedName name="MS_03001">'MS Parts'!$B$205</definedName>
    <definedName name="MS_03001_m">'MS Parts'!$N$211</definedName>
    <definedName name="MS_03001_p">'MS Parts'!$I$218</definedName>
    <definedName name="MS_03001_q">'MS Parts'!$N$202</definedName>
    <definedName name="MS_03002">'MS Parts'!$B$231</definedName>
    <definedName name="MS_03002_m">'MS Parts'!$N$237</definedName>
    <definedName name="MS_03002_p">'MS Parts'!$I$242</definedName>
    <definedName name="MS_03002_q">'MS Parts'!$N$228</definedName>
    <definedName name="MS_03003">'MS Parts'!$B$255</definedName>
    <definedName name="MS_03003_m">'MS Parts'!$N$261</definedName>
    <definedName name="MS_03003_p">'MS Parts'!$I$266</definedName>
    <definedName name="MS_03003_q">'MS Parts'!$N$252</definedName>
    <definedName name="MS_04001">'MS Parts'!$B$279</definedName>
    <definedName name="MS_04001_m">'MS Parts'!$N$286</definedName>
    <definedName name="MS_04001_p">'MS Parts'!$I$290</definedName>
    <definedName name="MS_04001_q">'MS Parts'!$N$276</definedName>
    <definedName name="MS_05001">'MS Parts'!$B$298</definedName>
    <definedName name="MS_05001_m">'MS Parts'!$N$306</definedName>
    <definedName name="MS_05001_p">'MS Parts'!$I$317</definedName>
    <definedName name="MS_05001_q">'MS Parts'!$N$295</definedName>
    <definedName name="MS_05001_t">'MS Parts'!$I$321</definedName>
    <definedName name="MS_05002">'MS Parts'!$B$329</definedName>
    <definedName name="MS_05002_m">'MS Parts'!$N$335</definedName>
    <definedName name="MS_05002_p">'MS Parts'!$I$341</definedName>
    <definedName name="MS_05002_q">'MS Parts'!$N$326</definedName>
    <definedName name="MS_05003">'MS Parts'!$B$353</definedName>
    <definedName name="MS_05003_m">'MS Parts'!$N$359</definedName>
    <definedName name="MS_05003_p">'MS Parts'!$I$366</definedName>
    <definedName name="MS_05003_q">'MS Parts'!$N$350</definedName>
    <definedName name="MS_A0001">'MS Assemblies'!$B$5</definedName>
    <definedName name="MS_A0001_f">'MS Assemblies'!$J$42</definedName>
    <definedName name="MS_A0001_m">'MS Assemblies'!$N$22</definedName>
    <definedName name="MS_A0001_p">'MS Assemblies'!$I$38</definedName>
    <definedName name="MS_A0001_q">'MS Assemblies'!$N$3</definedName>
    <definedName name="MS_A0001_t">'MS Assemblies'!$I$46</definedName>
    <definedName name="MS_A0002">'MS Assemblies'!$B$53</definedName>
    <definedName name="MS_A0002_f">'MS Assemblies'!$J$85</definedName>
    <definedName name="MS_A0002_m">'MS Assemblies'!$N$67</definedName>
    <definedName name="MS_A0002_p">'MS Assemblies'!$I$79</definedName>
    <definedName name="MS_A0002_q">'MS Assemblies'!$N$51</definedName>
    <definedName name="MS_A0002_t">'MS Assemblies'!$I$89</definedName>
    <definedName name="MS_A0003">'MS Assemblies'!$B$96</definedName>
    <definedName name="MS_A0003_f">'MS Assemblies'!$J$134</definedName>
    <definedName name="MS_A0003_m">'MS Assemblies'!$N$111</definedName>
    <definedName name="MS_A0003_p">'MS Assemblies'!$I$128</definedName>
    <definedName name="MS_A0003_q">'MS Assemblies'!$N$94</definedName>
    <definedName name="MS_A0003_t">'MS Assemblies'!$I$138</definedName>
    <definedName name="MS_A0004">'MS Assemblies'!$B$145</definedName>
    <definedName name="MS_A0004_f">'MS Assemblies'!$J$160</definedName>
    <definedName name="MS_A0004_p">'MS Assemblies'!$I$156</definedName>
    <definedName name="MS_A0004_q">'MS Assemblies'!$N$143</definedName>
    <definedName name="MS_A0005">'MS Assemblies'!$B$167</definedName>
    <definedName name="MS_A0005_f">'MS Assemblies'!$J$198</definedName>
    <definedName name="MS_A0005_m">'MS Assemblies'!$N$181</definedName>
    <definedName name="MS_A0005_p">'MS Assemblies'!$I$192</definedName>
    <definedName name="MS_A0005_q">'MS Assemblies'!$N$165</definedName>
    <definedName name="MS_A0005_t">'MS Assemblies'!$I$202</definedName>
    <definedName name="nbtgv">#REF!</definedName>
    <definedName name="process">#REF!</definedName>
    <definedName name="Process_P1" localSheetId="25">#REF!</definedName>
    <definedName name="Process_P1">#REF!</definedName>
    <definedName name="Processes" localSheetId="1">#REF!</definedName>
    <definedName name="Processes" localSheetId="25">#REF!</definedName>
    <definedName name="Processes">#REF!</definedName>
    <definedName name="qsfdc">#REF!</definedName>
    <definedName name="rfcdx">#REF!</definedName>
    <definedName name="rfds">#REF!</definedName>
    <definedName name="rtfed">#REF!</definedName>
    <definedName name="salut">'EN Assemblies'!$L$27</definedName>
    <definedName name="sdf">#REF!</definedName>
    <definedName name="ST_01001">'ST Parts'!$B$6</definedName>
    <definedName name="ST_01001_c">'ST Parts'!$N$2</definedName>
    <definedName name="ST_01001_f">'ST Parts'!#REF!</definedName>
    <definedName name="ST_01001_m">'ST Parts'!$N$13</definedName>
    <definedName name="ST_01001_n">'ST Parts'!$B$5</definedName>
    <definedName name="ST_01001_p">'ST Parts'!$I$26</definedName>
    <definedName name="ST_01001_q">'ST Parts'!$N$3</definedName>
    <definedName name="ST_01001_t">'ST Parts'!$I$30</definedName>
    <definedName name="ST_01002">'ST Parts'!$B$38</definedName>
    <definedName name="ST_01002_c">'ST Parts'!$N$34</definedName>
    <definedName name="ST_01002_f">'ST Parts'!#REF!</definedName>
    <definedName name="ST_01002_m">'ST Parts'!$N$44</definedName>
    <definedName name="ST_01002_n">'ST Parts'!$B$37</definedName>
    <definedName name="ST_01002_p">'ST Parts'!$I$53</definedName>
    <definedName name="ST_01002_q">'ST Parts'!$N$35</definedName>
    <definedName name="ST_01002_t">'ST Parts'!#REF!</definedName>
    <definedName name="ST_01003">'ST Parts'!$B$62</definedName>
    <definedName name="ST_01003_c">'ST Parts'!$N$58</definedName>
    <definedName name="ST_01003_f">'ST Parts'!#REF!</definedName>
    <definedName name="ST_01003_m">'ST Parts'!$N$68</definedName>
    <definedName name="ST_01003_n">'ST Parts'!$B$61</definedName>
    <definedName name="ST_01003_p">'ST Parts'!$I$73</definedName>
    <definedName name="ST_01003_q">'ST Parts'!$N$59</definedName>
    <definedName name="ST_01003_t">'ST Parts'!#REF!</definedName>
    <definedName name="ST_01004">'ST Parts'!$B$82</definedName>
    <definedName name="ST_01004_c">'ST Parts'!$N$78</definedName>
    <definedName name="ST_01004_f">'ST Parts'!#REF!</definedName>
    <definedName name="ST_01004_m">'ST Parts'!$N$88</definedName>
    <definedName name="ST_01004_n">'ST Parts'!$B$81</definedName>
    <definedName name="ST_01004_p">'ST Parts'!$I$95</definedName>
    <definedName name="ST_01004_q">'ST Parts'!$N$79</definedName>
    <definedName name="ST_01004_t">'ST Parts'!#REF!</definedName>
    <definedName name="ST_01005">'ST Parts'!$B$103</definedName>
    <definedName name="ST_01005_c">'ST Parts'!$N$99</definedName>
    <definedName name="ST_01005_f">'ST Parts'!#REF!</definedName>
    <definedName name="ST_01005_m">'ST Parts'!$N$109</definedName>
    <definedName name="ST_01005_n">'ST Parts'!$B$102</definedName>
    <definedName name="ST_01005_p">'ST Parts'!$I$118</definedName>
    <definedName name="ST_01005_q">'ST Parts'!$N$100</definedName>
    <definedName name="ST_01005_t">'ST Parts'!#REF!</definedName>
    <definedName name="ST_02001">'ST Parts'!$B$127</definedName>
    <definedName name="ST_02001_c">'ST Parts'!$N$123</definedName>
    <definedName name="ST_02001_f">'ST Parts'!#REF!</definedName>
    <definedName name="ST_02001_m">'ST Parts'!$N$133</definedName>
    <definedName name="ST_02001_n">'ST Parts'!$B$126</definedName>
    <definedName name="ST_02001_p">'ST Parts'!$I$138</definedName>
    <definedName name="ST_02001_q">'ST Parts'!$N$124</definedName>
    <definedName name="ST_02001_t">'ST Parts'!#REF!</definedName>
    <definedName name="ST_02002">'ST Parts'!$B$147</definedName>
    <definedName name="ST_02002_c">'ST Parts'!$N$143</definedName>
    <definedName name="ST_02002_f">'ST Parts'!#REF!</definedName>
    <definedName name="ST_02002_m">'ST Parts'!$N$153</definedName>
    <definedName name="ST_02002_n">'ST Parts'!$B$146</definedName>
    <definedName name="ST_02002_p">'ST Parts'!$I$159</definedName>
    <definedName name="ST_02002_q">'ST Parts'!$N$144</definedName>
    <definedName name="ST_02002_t">'ST Parts'!#REF!</definedName>
    <definedName name="ST_02003">'ST Parts'!$B$167</definedName>
    <definedName name="ST_02003_c">'ST Parts'!$N$163</definedName>
    <definedName name="ST_02003_f">'ST Parts'!#REF!</definedName>
    <definedName name="ST_02003_m">'ST Parts'!$N$173</definedName>
    <definedName name="ST_02003_n">'ST Parts'!$B$166</definedName>
    <definedName name="ST_02003_p">'ST Parts'!$I$180</definedName>
    <definedName name="ST_02003_q">'ST Parts'!$N$164</definedName>
    <definedName name="ST_02003_t">'ST Parts'!$I$184</definedName>
    <definedName name="ST_02004">'ST Parts'!$B$192</definedName>
    <definedName name="ST_02004_c">'ST Parts'!$N$188</definedName>
    <definedName name="ST_02004_f">'ST Parts'!#REF!</definedName>
    <definedName name="ST_02004_m">'ST Parts'!$N$198</definedName>
    <definedName name="ST_02004_n">'ST Parts'!$B$191</definedName>
    <definedName name="ST_02004_p">'ST Parts'!$I$204</definedName>
    <definedName name="ST_02004_q">'ST Parts'!$N$189</definedName>
    <definedName name="ST_02004_t">'ST Parts'!#REF!</definedName>
    <definedName name="ST_02005">'ST Parts'!$B$213</definedName>
    <definedName name="ST_02005_c">'ST Parts'!$N$209</definedName>
    <definedName name="ST_02005_m">'ST Parts'!$N$219</definedName>
    <definedName name="ST_02005_n">'ST Parts'!$B$212</definedName>
    <definedName name="ST_02005_p">'ST Parts'!$I$224</definedName>
    <definedName name="ST_02005_q">'ST Parts'!$N$210</definedName>
    <definedName name="ST_02006">'ST Parts'!$B$233</definedName>
    <definedName name="ST_02006_c">'ST Parts'!$N$229</definedName>
    <definedName name="ST_02006_m">'ST Parts'!$N$239</definedName>
    <definedName name="ST_02006_n">'ST Parts'!$B$232</definedName>
    <definedName name="ST_02006_p">'ST Parts'!$I$245</definedName>
    <definedName name="ST_02006_q">'ST Parts'!$N$230</definedName>
    <definedName name="ST_02007">'ST Parts'!$B$254</definedName>
    <definedName name="ST_02007_c">'ST Parts'!$N$250</definedName>
    <definedName name="ST_02007_m">'ST Parts'!$N$260</definedName>
    <definedName name="ST_02007_n">'ST Parts'!$B$253</definedName>
    <definedName name="ST_02007_p">'ST Parts'!$I$271</definedName>
    <definedName name="ST_02007_q">'ST Parts'!$N$251</definedName>
    <definedName name="ST_03001">'ST Parts'!$B$282</definedName>
    <definedName name="ST_03001_c">'ST Parts'!$N$278</definedName>
    <definedName name="ST_03001_m">'ST Parts'!$N$288</definedName>
    <definedName name="ST_03001_n">'ST Parts'!$B$281</definedName>
    <definedName name="ST_03001_p">'ST Parts'!$I$294</definedName>
    <definedName name="ST_03001_q">'ST Parts'!$N$279</definedName>
    <definedName name="ST_03002">'ST Parts'!$B$303</definedName>
    <definedName name="ST_03002_c">'ST Parts'!$N$299</definedName>
    <definedName name="ST_03002_m">'ST Parts'!$N$309</definedName>
    <definedName name="ST_03002_n">'ST Parts'!$B$302</definedName>
    <definedName name="ST_03002_p">'ST Parts'!$I$316</definedName>
    <definedName name="ST_03002_q">'ST Parts'!$N$300</definedName>
    <definedName name="ST_03003">'ST Parts'!$B$324</definedName>
    <definedName name="ST_03003_c">'ST Parts'!$N$320</definedName>
    <definedName name="ST_03003_m">'ST Parts'!$N$330</definedName>
    <definedName name="ST_03003_n">'ST Parts'!$B$323</definedName>
    <definedName name="ST_03003_p">'ST Parts'!$I$336</definedName>
    <definedName name="ST_03003_q">'ST Parts'!$N$321</definedName>
    <definedName name="ST_03003_t">'ST Parts'!#REF!</definedName>
    <definedName name="ST_04001">'ST Parts'!$B$345</definedName>
    <definedName name="ST_04001_c">'ST Parts'!$N$341</definedName>
    <definedName name="ST_04001_m">'ST Parts'!$N$351</definedName>
    <definedName name="ST_04001_n">'ST Parts'!$B$344</definedName>
    <definedName name="ST_04001_p">'ST Parts'!$I$355</definedName>
    <definedName name="ST_04001_q">'ST Parts'!$N$342</definedName>
    <definedName name="ST_04002">'ST Parts'!$B$364</definedName>
    <definedName name="ST_04002_c">'ST Parts'!$N$360</definedName>
    <definedName name="ST_04002_m">'ST Parts'!$N$370</definedName>
    <definedName name="ST_04002_n">'ST Parts'!$B$363</definedName>
    <definedName name="ST_04002_p">'ST Parts'!$I$376</definedName>
    <definedName name="ST_04002_q">'ST Parts'!$N$361</definedName>
    <definedName name="ST_04003">'ST Parts'!$B$384</definedName>
    <definedName name="ST_04003_c">'ST Parts'!$N$380</definedName>
    <definedName name="ST_04003_m">'ST Parts'!$N$390</definedName>
    <definedName name="ST_04003_n">'ST Parts'!$B$383</definedName>
    <definedName name="ST_04003_p">'ST Parts'!$I$396</definedName>
    <definedName name="ST_04003_q">'ST Parts'!$N$381</definedName>
    <definedName name="ST_04004">'ST Parts'!$B$404</definedName>
    <definedName name="ST_04004_c">'ST Parts'!$N$400</definedName>
    <definedName name="ST_04004_m">'ST Parts'!$N$410</definedName>
    <definedName name="ST_04004_n">'ST Parts'!$B$403</definedName>
    <definedName name="ST_04004_p">'ST Parts'!$I$418</definedName>
    <definedName name="ST_04004_q">'ST Parts'!$N$401</definedName>
    <definedName name="ST_05001">'ST Parts'!$B$427</definedName>
    <definedName name="ST_05001_c">'ST Parts'!$N$423</definedName>
    <definedName name="ST_05001_m">'ST Parts'!$N$433</definedName>
    <definedName name="ST_05001_n">'ST Parts'!$B$426</definedName>
    <definedName name="ST_05001_p">'ST Parts'!$I$439</definedName>
    <definedName name="ST_05001_q">'ST Parts'!$N$424</definedName>
    <definedName name="ST_05002">'ST Parts'!$B$448</definedName>
    <definedName name="ST_05002_c">'ST Parts'!$N$444</definedName>
    <definedName name="ST_05002_m">'ST Parts'!$N$454</definedName>
    <definedName name="ST_05002_n">'ST Parts'!$B$447</definedName>
    <definedName name="ST_05002_p">'ST Parts'!$I$460</definedName>
    <definedName name="ST_05002_q">'ST Parts'!$N$445</definedName>
    <definedName name="ST_05003">'ST Parts'!$B$468</definedName>
    <definedName name="ST_05003_c">'ST Parts'!$N$464</definedName>
    <definedName name="ST_05003_m">'ST Parts'!$N$474</definedName>
    <definedName name="ST_05003_n">'ST Parts'!$B$467</definedName>
    <definedName name="ST_05003_p">'ST Parts'!$I$480</definedName>
    <definedName name="ST_05003_q">'ST Parts'!$N$465</definedName>
    <definedName name="ST_05004">'ST Parts'!$B$488</definedName>
    <definedName name="ST_05004_c">'ST Parts'!$N$484</definedName>
    <definedName name="ST_05004_m">'ST Parts'!$N$494</definedName>
    <definedName name="ST_05004_n">'ST Parts'!$B$487</definedName>
    <definedName name="ST_05004_p">'ST Parts'!$I$498</definedName>
    <definedName name="ST_05004_q">'ST Parts'!$N$485</definedName>
    <definedName name="ST_A0001">'ST Assemblies'!$B$5</definedName>
    <definedName name="ST_A0001_f">'ST Assemblies'!$J$38</definedName>
    <definedName name="ST_A0001_m">'ST Assemblies'!$N$21</definedName>
    <definedName name="ST_A0001_n">'ST Assemblies'!$B$4</definedName>
    <definedName name="ST_A0001_p">'ST Assemblies'!$I$33</definedName>
    <definedName name="ST_A0001_q">'ST Assemblies'!$N$3</definedName>
    <definedName name="ST_A0001_t">'ST Assemblies'!$I$43</definedName>
    <definedName name="ST_A0002">'ST Assemblies'!$B$50</definedName>
    <definedName name="ST_A0002_f">'ST Assemblies'!$J$84</definedName>
    <definedName name="ST_A0002_m">'ST Assemblies'!$N$66</definedName>
    <definedName name="ST_A0002_n">'ST Assemblies'!$B$49</definedName>
    <definedName name="ST_A0002_p">'ST Assemblies'!$I$76</definedName>
    <definedName name="ST_A0002_q">'ST Assemblies'!$N$48</definedName>
    <definedName name="ST_A0002_t">'ST Assemblies'!$I$88</definedName>
    <definedName name="ST_A0003">'ST Assemblies'!$B$95</definedName>
    <definedName name="ST_A0003_f">'ST Assemblies'!$J$118</definedName>
    <definedName name="ST_A0003_m">'ST Assemblies'!$N$108</definedName>
    <definedName name="ST_A0003_n">'ST Assemblies'!$B$94</definedName>
    <definedName name="ST_A0003_p">'ST Assemblies'!$I$114</definedName>
    <definedName name="ST_A0003_q">'ST Assemblies'!$N$93</definedName>
    <definedName name="ST_A0003_t">'ST Assemblies'!$I$122</definedName>
    <definedName name="ST_A0004">'ST Assemblies'!$B$129</definedName>
    <definedName name="ST_A0004_f">'ST Assemblies'!$J$156</definedName>
    <definedName name="ST_A0004_m">'ST Assemblies'!$N$143</definedName>
    <definedName name="ST_A0004_n">'ST Assemblies'!$B$128</definedName>
    <definedName name="ST_A0004_p">'ST Assemblies'!$I$150</definedName>
    <definedName name="ST_A0004_q">'ST Assemblies'!$N$127</definedName>
    <definedName name="ST_A0004_t">'ST Assemblies'!#REF!</definedName>
    <definedName name="ST_A0005">'ST Assemblies'!$B$163</definedName>
    <definedName name="ST_A0005_f">'ST Assemblies'!$J$189</definedName>
    <definedName name="ST_A0005_m">'ST Assemblies'!$N$178</definedName>
    <definedName name="ST_A0005_n">'ST Assemblies'!$B$162</definedName>
    <definedName name="ST_A0005_p">'ST Assemblies'!$I$184</definedName>
    <definedName name="ST_A0005_q">'ST Assemblies'!$N$161</definedName>
    <definedName name="ST_A0005_t">'ST Assemblies'!#REF!</definedName>
    <definedName name="ST_A005_q">'ST Assemblies'!$N$161</definedName>
    <definedName name="SU_01001">'SU Parts'!$B$6</definedName>
    <definedName name="SU_01001_m">'SU Parts'!$N$12</definedName>
    <definedName name="SU_01001_p">'SU Parts'!$I$21</definedName>
    <definedName name="SU_01001_q">'SU Parts'!$N$3</definedName>
    <definedName name="SU_01002">'SU Parts'!$B$29</definedName>
    <definedName name="SU_01002_m">'SU Parts'!$N$35</definedName>
    <definedName name="SU_01002_p">'SU Parts'!$I$49</definedName>
    <definedName name="SU_01002_q">'SU Parts'!$N$26</definedName>
    <definedName name="SU_01003">'SU Parts'!$B$58</definedName>
    <definedName name="SU_01003_m">'SU Parts'!$N$64</definedName>
    <definedName name="SU_01003_p">'SU Parts'!$I$68</definedName>
    <definedName name="SU_01003_q">'SU Parts'!$N$55</definedName>
    <definedName name="SU_01004">'SU Parts'!$B$76</definedName>
    <definedName name="SU_01004_m">'SU Parts'!$N$82</definedName>
    <definedName name="SU_01004_p">'SU Parts'!$I$86</definedName>
    <definedName name="SU_01004_q">'SU Parts'!$N$73</definedName>
    <definedName name="SU_01005">'SU Parts'!$B$97</definedName>
    <definedName name="SU_01005_m">'SU Parts'!$N$103</definedName>
    <definedName name="SU_01005_p">'SU Parts'!$I$107</definedName>
    <definedName name="SU_01005_q">'SU Parts'!$N$94</definedName>
    <definedName name="SU_01006">'SU Parts'!$B$118</definedName>
    <definedName name="SU_01006_m">'SU Parts'!$N$124</definedName>
    <definedName name="SU_01006_p">'SU Parts'!$I$130</definedName>
    <definedName name="SU_01006_q">'SU Parts'!$N$115</definedName>
    <definedName name="SU_01007">'SU Parts'!$B$139</definedName>
    <definedName name="SU_01007_m">'SU Parts'!$N$145</definedName>
    <definedName name="SU_01007_p">'SU Parts'!$I$155</definedName>
    <definedName name="SU_01007_q">'SU Parts'!$N$136</definedName>
    <definedName name="SU_01008">'SU Parts'!$B$163</definedName>
    <definedName name="SU_01008_m">'SU Parts'!$N$169</definedName>
    <definedName name="SU_01008_p">'SU Parts'!$I$179</definedName>
    <definedName name="SU_01008_q">'SU Parts'!$N$160</definedName>
    <definedName name="SU_02001">'SU Parts'!$B$188</definedName>
    <definedName name="SU_02001_m">'SU Parts'!$N$194</definedName>
    <definedName name="SU_02001_p">'SU Parts'!$I$203</definedName>
    <definedName name="SU_02001_q">'SU Parts'!$N$185</definedName>
    <definedName name="SU_02002">'SU Parts'!$B$211</definedName>
    <definedName name="SU_02002_m">'SU Parts'!$N$217</definedName>
    <definedName name="SU_02002_p">'SU Parts'!$I$228</definedName>
    <definedName name="SU_02002_q">'SU Parts'!$N$208</definedName>
    <definedName name="SU_02003">'SU Parts'!$B$237</definedName>
    <definedName name="SU_02003_m">'SU Parts'!$N$243</definedName>
    <definedName name="SU_02003_p">'SU Parts'!$I$247</definedName>
    <definedName name="SU_02003_q">'SU Parts'!$N$234</definedName>
    <definedName name="SU_02004">'SU Parts'!$B$255</definedName>
    <definedName name="SU_02004_m">'SU Parts'!$N$261</definedName>
    <definedName name="SU_02004_p">'SU Parts'!$I$265</definedName>
    <definedName name="SU_02004_q">'SU Parts'!$N$252</definedName>
    <definedName name="SU_02005">'SU Parts'!$B$276</definedName>
    <definedName name="SU_02005_m">'SU Parts'!$N$282</definedName>
    <definedName name="SU_02005_p">'SU Parts'!$I$286</definedName>
    <definedName name="SU_02005_q">'SU Parts'!$N$273</definedName>
    <definedName name="SU_02006">'SU Parts'!$B$297</definedName>
    <definedName name="SU_02006_m">'SU Parts'!$N$303</definedName>
    <definedName name="SU_02006_p">'SU Parts'!$I$309</definedName>
    <definedName name="SU_02006_q">'SU Parts'!$N$294</definedName>
    <definedName name="SU_02007">'SU Parts'!$B$318</definedName>
    <definedName name="SU_02007_m">'SU Parts'!$N$324</definedName>
    <definedName name="SU_02007_p">'SU Parts'!$I$334</definedName>
    <definedName name="SU_02007_q">'SU Parts'!$N$315</definedName>
    <definedName name="SU_02008">'SU Parts'!$B$342</definedName>
    <definedName name="SU_02008_m">'SU Parts'!$N$348</definedName>
    <definedName name="SU_02008_p">'SU Parts'!$I$358</definedName>
    <definedName name="SU_02008_q">'SU Parts'!$N$339</definedName>
    <definedName name="SU_03001">'SU Parts'!$B$367</definedName>
    <definedName name="SU_03001_m">'SU Parts'!$N$373</definedName>
    <definedName name="SU_03001_p">'SU Parts'!$I$382</definedName>
    <definedName name="SU_03001_q">'SU Parts'!$N$364</definedName>
    <definedName name="SU_03002">'SU Parts'!$B$390</definedName>
    <definedName name="SU_03002_m">'SU Parts'!$N$396</definedName>
    <definedName name="SU_03002_p">'SU Parts'!$I$407</definedName>
    <definedName name="SU_03002_q">'SU Parts'!$N$387</definedName>
    <definedName name="SU_03003">'SU Parts'!$B$416</definedName>
    <definedName name="SU_03003_m">'SU Parts'!$N$422</definedName>
    <definedName name="SU_03003_p">'SU Parts'!$I$426</definedName>
    <definedName name="SU_03003_q">'SU Parts'!$N$413</definedName>
    <definedName name="SU_03004">'SU Parts'!$B$434</definedName>
    <definedName name="SU_03004_m">'SU Parts'!$N$440</definedName>
    <definedName name="SU_03004_p">'SU Parts'!$I$444</definedName>
    <definedName name="SU_03004_q">'SU Parts'!$N$431</definedName>
    <definedName name="SU_03005">'SU Parts'!$B$455</definedName>
    <definedName name="SU_03005_m">'SU Parts'!$N$461</definedName>
    <definedName name="SU_03005_p">'SU Parts'!$I$465</definedName>
    <definedName name="SU_03005_q">'SU Parts'!$N$452</definedName>
    <definedName name="SU_03006">'SU Parts'!$B$476</definedName>
    <definedName name="SU_03006_m">'SU Parts'!$N$482</definedName>
    <definedName name="SU_03006_p">'SU Parts'!$I$488</definedName>
    <definedName name="SU_03006_q">'SU Parts'!$N$473</definedName>
    <definedName name="SU_03007">'SU Parts'!$B$497</definedName>
    <definedName name="SU_03007_m">'SU Parts'!$N$503</definedName>
    <definedName name="SU_03007_p">'SU Parts'!$I$513</definedName>
    <definedName name="SU_03007_q">'SU Parts'!$N$494</definedName>
    <definedName name="SU_03008">'SU Parts'!$B$521</definedName>
    <definedName name="SU_03008_m">'SU Parts'!$N$527</definedName>
    <definedName name="SU_03008_p">'SU Parts'!$I$537</definedName>
    <definedName name="SU_03008_q">'SU Parts'!$N$518</definedName>
    <definedName name="SU_04001">'SU Parts'!$B$546</definedName>
    <definedName name="SU_04001_m">'SU Parts'!$N$552</definedName>
    <definedName name="SU_04001_p">'SU Parts'!$I$561</definedName>
    <definedName name="SU_04001_q">'SU Parts'!$N$543</definedName>
    <definedName name="SU_04002">'SU Parts'!$B$569</definedName>
    <definedName name="SU_04002_m">'SU Parts'!$N$575</definedName>
    <definedName name="SU_04002_p">'SU Parts'!$I$589</definedName>
    <definedName name="SU_04002_q">'SU Parts'!$N$566</definedName>
    <definedName name="SU_04003">'SU Parts'!$B$598</definedName>
    <definedName name="SU_04003_m">'SU Parts'!$N$604</definedName>
    <definedName name="SU_04003_p">'SU Parts'!$I$608</definedName>
    <definedName name="SU_04003_q">'SU Parts'!$N$595</definedName>
    <definedName name="SU_04004">'SU Parts'!$B$616</definedName>
    <definedName name="SU_04004_m">'SU Parts'!$N$622</definedName>
    <definedName name="SU_04004_p">'SU Parts'!$I$626</definedName>
    <definedName name="SU_04004_q">'SU Parts'!$N$613</definedName>
    <definedName name="SU_04005">'SU Parts'!$B$637</definedName>
    <definedName name="SU_04005_m">'SU Parts'!$N$643</definedName>
    <definedName name="SU_04005_p">'SU Parts'!$I$647</definedName>
    <definedName name="SU_04005_q">'SU Parts'!$N$634</definedName>
    <definedName name="SU_04006">'SU Parts'!$B$658</definedName>
    <definedName name="SU_04006_m">'SU Parts'!$N$664</definedName>
    <definedName name="SU_04006_p">'SU Parts'!$I$670</definedName>
    <definedName name="SU_04006_q">'SU Parts'!$N$655</definedName>
    <definedName name="SU_04007">'SU Parts'!$B$679</definedName>
    <definedName name="SU_04007_m">'SU Parts'!$N$685</definedName>
    <definedName name="SU_04007_p">'SU Parts'!$I$695</definedName>
    <definedName name="SU_04007_q">'SU Parts'!$N$676</definedName>
    <definedName name="SU_04008">'SU Parts'!$B$703</definedName>
    <definedName name="SU_04008_m">'SU Parts'!$N$709</definedName>
    <definedName name="SU_04008_p">'SU Parts'!$I$719</definedName>
    <definedName name="SU_04008_q">'SU Parts'!$N$700</definedName>
    <definedName name="SU_05001">'SU Parts'!$B$728</definedName>
    <definedName name="SU_05001_m">'SU Parts'!$N$734</definedName>
    <definedName name="SU_05001_q">'SU Parts'!$N$725</definedName>
    <definedName name="SU_05002">'SU Parts'!$B$743</definedName>
    <definedName name="SU_05002_m">'SU Parts'!$N$749</definedName>
    <definedName name="SU_05002_q">'SU Parts'!$N$740</definedName>
    <definedName name="SU_05003">'SU Parts'!$B$758</definedName>
    <definedName name="SU_05003_d">SU_Drawings!$A$255</definedName>
    <definedName name="SU_05003_m">'SU Parts'!$N$764</definedName>
    <definedName name="SU_05003_p">'SU Parts'!$I$774</definedName>
    <definedName name="SU_05003_q">'SU Parts'!$N$755</definedName>
    <definedName name="SU_05004">'SU Parts'!$B$783</definedName>
    <definedName name="SU_05004_m">'SU Parts'!$N$789</definedName>
    <definedName name="SU_05004_p">'SU Parts'!$I$795</definedName>
    <definedName name="SU_05004_q">'SU Parts'!$N$780</definedName>
    <definedName name="SU_06001">'SU Parts'!$B$804</definedName>
    <definedName name="SU_06001_m">'SU Parts'!$N$810</definedName>
    <definedName name="SU_06001_p">'SU Parts'!$I$815</definedName>
    <definedName name="SU_06001_q">'SU Parts'!$N$801</definedName>
    <definedName name="SU_06002">'SU Parts'!$B$824</definedName>
    <definedName name="SU_06002_m">'SU Parts'!$N$830</definedName>
    <definedName name="SU_06002_p">'SU Parts'!$I$836</definedName>
    <definedName name="SU_06002_q">'SU Parts'!$N$821</definedName>
    <definedName name="SU_06003">'SU Parts'!$B$845</definedName>
    <definedName name="SU_06003_m">'SU Parts'!$N$851</definedName>
    <definedName name="SU_06003_p">'SU Parts'!$I$856</definedName>
    <definedName name="SU_06003_q">'SU Parts'!$N$842</definedName>
    <definedName name="SU_06004">'SU Parts'!$B$865</definedName>
    <definedName name="SU_06004_m">'SU Parts'!$N$871</definedName>
    <definedName name="SU_06004_p">'SU Parts'!$I$881</definedName>
    <definedName name="SU_06004_q">'SU Parts'!$N$862</definedName>
    <definedName name="SU_06005">'SU Parts'!$B$890</definedName>
    <definedName name="SU_06005_m">'SU Parts'!$N$896</definedName>
    <definedName name="SU_06005_p">'SU Parts'!$I$900</definedName>
    <definedName name="SU_06005_q">'SU Parts'!$N$887</definedName>
    <definedName name="SU_06006">'SU Parts'!$B$909</definedName>
    <definedName name="SU_06006_m">'SU Parts'!$N$915</definedName>
    <definedName name="SU_06006_p">'SU Parts'!$I$923</definedName>
    <definedName name="SU_06006_q">'SU Parts'!$N$906</definedName>
    <definedName name="SU_07001">'SU Parts'!$B$932</definedName>
    <definedName name="SU_07001_m">'SU Parts'!$N$938</definedName>
    <definedName name="SU_07001_q">'SU Parts'!$N$929</definedName>
    <definedName name="SU_07002">'SU Parts'!$B$947</definedName>
    <definedName name="SU_07002_m">'SU Parts'!$N$953</definedName>
    <definedName name="SU_07002_q">'SU Parts'!$N$944</definedName>
    <definedName name="SU_07003">'SU Parts'!$B$962</definedName>
    <definedName name="SU_07003_d">SU_Drawings!$A$436</definedName>
    <definedName name="SU_07003_m">'SU Parts'!$N$968</definedName>
    <definedName name="SU_07003_p">'SU Parts'!$I$978</definedName>
    <definedName name="SU_07003_q">'SU Parts'!$N$959</definedName>
    <definedName name="SU_07004">'SU Parts'!$B$987</definedName>
    <definedName name="SU_07004_m">'SU Parts'!$N$993</definedName>
    <definedName name="SU_07004_p">'SU Parts'!$I$999</definedName>
    <definedName name="SU_07004_q">'SU Parts'!$N$984</definedName>
    <definedName name="SU_08001">'SU Parts'!$B$1008</definedName>
    <definedName name="SU_08001_m">'SU Parts'!$N$1014</definedName>
    <definedName name="SU_08001_p">'SU Parts'!$I$1019</definedName>
    <definedName name="SU_08001_q">'SU Parts'!$N$1005</definedName>
    <definedName name="SU_08002">'SU Parts'!$B$1028</definedName>
    <definedName name="SU_08002_m">'SU Parts'!$N$1034</definedName>
    <definedName name="SU_08002_p">'SU Parts'!$I$1040</definedName>
    <definedName name="SU_08002_q">'SU Parts'!$N$1025</definedName>
    <definedName name="SU_08003">'SU Parts'!$B$1049</definedName>
    <definedName name="SU_08003_m">'SU Parts'!$N$1055</definedName>
    <definedName name="SU_08003_p">'SU Parts'!$I$1060</definedName>
    <definedName name="SU_08003_q">'SU Parts'!$N$1046</definedName>
    <definedName name="SU_08004">'SU Parts'!$B$1069</definedName>
    <definedName name="SU_08004_m">'SU Parts'!$N$1075</definedName>
    <definedName name="SU_08004_p">'SU Parts'!$I$1085</definedName>
    <definedName name="SU_08004_q">'SU Parts'!$N$1066</definedName>
    <definedName name="SU_08005">'SU Parts'!$B$1094</definedName>
    <definedName name="SU_08005_m">'SU Parts'!$N$1100</definedName>
    <definedName name="SU_08005_p">'SU Parts'!$I$1104</definedName>
    <definedName name="SU_08005_q">'SU Parts'!$N$1091</definedName>
    <definedName name="SU_08006">'SU Parts'!$B$1113</definedName>
    <definedName name="SU_08006_m">'SU Parts'!$N$1119</definedName>
    <definedName name="SU_08006_p">'SU Parts'!$I$1127</definedName>
    <definedName name="SU_08006_q">'SU Parts'!$N$1110</definedName>
    <definedName name="SU_09001">'SU Parts'!$B$1136</definedName>
    <definedName name="SU_09001_m">'SU Parts'!$N$1142</definedName>
    <definedName name="SU_09001_p">'SU Parts'!$I$1150</definedName>
    <definedName name="SU_09001_q">'SU Parts'!$N$1133</definedName>
    <definedName name="SU_09002">'SU Parts'!$B$1159</definedName>
    <definedName name="SU_09002_m">'SU Parts'!$N$1165</definedName>
    <definedName name="SU_09002_p">'SU Parts'!$I$1169</definedName>
    <definedName name="SU_09002_q">'SU Parts'!$N$1156</definedName>
    <definedName name="SU_09003">'SU Parts'!$B$1178</definedName>
    <definedName name="SU_09003_m">'SU Parts'!$N$1184</definedName>
    <definedName name="SU_09003_p">'SU Parts'!$I$1194</definedName>
    <definedName name="SU_09003_q">'SU Parts'!$N$1175</definedName>
    <definedName name="SU_10001">'SU Parts'!$B$1203</definedName>
    <definedName name="SU_10001_m">'SU Parts'!$N$1209</definedName>
    <definedName name="SU_10001_p">'SU Parts'!#REF!</definedName>
    <definedName name="SU_10001_q">'SU Parts'!$N$1200</definedName>
    <definedName name="SU_10001_t">'SU Parts'!#REF!</definedName>
    <definedName name="SU_10002">'SU Parts'!$B$1217</definedName>
    <definedName name="SU_10002_m">'SU Parts'!$N$1223</definedName>
    <definedName name="SU_10002_p">'SU Parts'!$I$1228</definedName>
    <definedName name="SU_10002_q">'SU Parts'!$N$1214</definedName>
    <definedName name="SU_10003">'SU Parts'!$B$1236</definedName>
    <definedName name="SU_10003_m">'SU Parts'!$N$1242</definedName>
    <definedName name="SU_10003_p">'SU Parts'!$I$1247</definedName>
    <definedName name="SU_10003_q">'SU Parts'!$N$1233</definedName>
    <definedName name="SU_10004">'SU Parts'!$B$1255</definedName>
    <definedName name="SU_10004_m">'SU Parts'!$N$1261</definedName>
    <definedName name="SU_10004_p">'SU Parts'!$I$1266</definedName>
    <definedName name="SU_10004_q">'SU Parts'!$N$1252</definedName>
    <definedName name="SU_10005">'SU Parts'!$B$1274</definedName>
    <definedName name="SU_10005_m">'SU Parts'!$N$1280</definedName>
    <definedName name="SU_10005_p">'SU Parts'!$I$1288</definedName>
    <definedName name="SU_10005_q">'SU Parts'!$N$1271</definedName>
    <definedName name="SU_10006">'SU Parts'!$B$1296</definedName>
    <definedName name="SU_10006_m">'SU Parts'!$N$1302</definedName>
    <definedName name="SU_10006_p">'SU Parts'!$I$1306</definedName>
    <definedName name="SU_10006_q">'SU Parts'!$N$1293</definedName>
    <definedName name="SU_10007">'SU Parts'!$B$1314</definedName>
    <definedName name="SU_10007_m">'SU Parts'!$N$1320</definedName>
    <definedName name="SU_10007_p">'SU Parts'!$I$1328</definedName>
    <definedName name="SU_10007_q">'SU Parts'!$N$1311</definedName>
    <definedName name="SU_11001">'SU Parts'!$B$1336</definedName>
    <definedName name="SU_11001_d">SU_Drawings!$A$474</definedName>
    <definedName name="SU_11001_m">'SU Parts'!$N$1342</definedName>
    <definedName name="SU_11001_p">'SU Parts'!$I$1351</definedName>
    <definedName name="SU_11001_q">'SU Parts'!$N$1333</definedName>
    <definedName name="SU_11002">'SU Parts'!$B$1360</definedName>
    <definedName name="SU_11002_d">SU_Drawings!$M$474</definedName>
    <definedName name="SU_11002_m">'SU Parts'!$N$1366</definedName>
    <definedName name="SU_11002_p">'SU Parts'!$I$1375</definedName>
    <definedName name="SU_11002_q">'SU Parts'!$N$1357</definedName>
    <definedName name="SU_11003">'SU Parts'!$B$1384</definedName>
    <definedName name="SU_11003_d">SU_Drawings!$A$508</definedName>
    <definedName name="SU_11003_m">'SU Parts'!$N$1390</definedName>
    <definedName name="SU_11003_p">'SU Parts'!$I$1397</definedName>
    <definedName name="SU_11003_q">'SU Parts'!$N$1381</definedName>
    <definedName name="SU_11004">'SU Parts'!$B$1406</definedName>
    <definedName name="SU_11004_m">'SU Parts'!$N$1412</definedName>
    <definedName name="SU_11004_p">'SU Parts'!$I$1417</definedName>
    <definedName name="SU_11004_q">'SU Parts'!$N$1403</definedName>
    <definedName name="SU_11005">'SU Parts'!$B$1426</definedName>
    <definedName name="SU_11005_m">'SU Parts'!$N$1432</definedName>
    <definedName name="SU_11005_p">'SU Parts'!$I$1437</definedName>
    <definedName name="SU_11005_q">'SU Parts'!$N$1423</definedName>
    <definedName name="SU_11006">'SU Parts'!$B$1446</definedName>
    <definedName name="SU_11006_m">'SU Parts'!$N$1452</definedName>
    <definedName name="SU_11006_p">'SU Parts'!$I$1457</definedName>
    <definedName name="SU_11006_q">'SU Parts'!$N$1443</definedName>
    <definedName name="SU_12001">'SU Parts'!$B$1466</definedName>
    <definedName name="SU_12001_d">SU_Drawings!$A$533</definedName>
    <definedName name="SU_12001_m">'SU Parts'!$N$1472</definedName>
    <definedName name="SU_12001_p">'SU Parts'!$I$1481</definedName>
    <definedName name="SU_12001_q">'SU Parts'!$N$1463</definedName>
    <definedName name="SU_12002">'SU Parts'!$B$1490</definedName>
    <definedName name="SU_12002_d">SU_Drawings!$I$533</definedName>
    <definedName name="SU_12002_m">'SU Parts'!$N$1496</definedName>
    <definedName name="SU_12002_p">'SU Parts'!$I$1503</definedName>
    <definedName name="SU_12002_q">'SU Parts'!$N$1487</definedName>
    <definedName name="SU_12003">'SU Parts'!$B$1512</definedName>
    <definedName name="SU_12003_m">'SU Parts'!$N$1518</definedName>
    <definedName name="SU_12003_p">'SU Parts'!$I$1523</definedName>
    <definedName name="SU_12003_q">'SU Parts'!$N$1509</definedName>
    <definedName name="SU_12004">'SU Parts'!$B$1532</definedName>
    <definedName name="SU_12004_m">'SU Parts'!$N$1538</definedName>
    <definedName name="SU_12004_p">'SU Parts'!$I$1543</definedName>
    <definedName name="SU_12004_q">'SU Parts'!$N$1529</definedName>
    <definedName name="SU_12005">'SU Parts'!$B$1552</definedName>
    <definedName name="SU_12005_m">'SU Parts'!$N$1558</definedName>
    <definedName name="SU_12005_p">'SU Parts'!$I$1563</definedName>
    <definedName name="SU_12005_q">'SU Parts'!$N$1549</definedName>
    <definedName name="SU_A0001">'SU Assemblies'!$B$5</definedName>
    <definedName name="SU_A0001_f">'SU Assemblies'!$J$55</definedName>
    <definedName name="SU_A0001_m">'SU Assemblies'!$N$24</definedName>
    <definedName name="SU_A0001_p">'SU Assemblies'!$I$49</definedName>
    <definedName name="SU_A0001_q">'SU Assemblies'!$N$3</definedName>
    <definedName name="SU_A0001_t">'SU Assemblies'!$I$59</definedName>
    <definedName name="SU_A0002">'SU Assemblies'!$B$66</definedName>
    <definedName name="SU_A0002_f">'SU Assemblies'!$J$115</definedName>
    <definedName name="SU_A0002_m">'SU Assemblies'!$N$85</definedName>
    <definedName name="SU_A0002_p">'SU Assemblies'!$I$110</definedName>
    <definedName name="SU_A0002_q">'SU Assemblies'!$N$64</definedName>
    <definedName name="SU_A0002_t">'SU Assemblies'!$I$119</definedName>
    <definedName name="SU_A0003">'SU Assemblies'!$B$126</definedName>
    <definedName name="SU_A0003_f">'SU Assemblies'!$J$175</definedName>
    <definedName name="SU_A0003_m">'SU Assemblies'!$N$145</definedName>
    <definedName name="SU_A0003_p">'SU Assemblies'!$I$170</definedName>
    <definedName name="SU_A0003_q">'SU Assemblies'!$N$124</definedName>
    <definedName name="SU_A0003_t">'SU Assemblies'!$I$179</definedName>
    <definedName name="SU_A0004">'SU Assemblies'!$B$186</definedName>
    <definedName name="SU_A0004_f">'SU Assemblies'!$J$236</definedName>
    <definedName name="SU_A0004_m">'SU Assemblies'!$N$205</definedName>
    <definedName name="SU_A0004_p">'SU Assemblies'!$I$230</definedName>
    <definedName name="SU_A0004_q">'SU Assemblies'!$N$184</definedName>
    <definedName name="SU_A0004_t">'SU Assemblies'!$I$240</definedName>
    <definedName name="SU_A0005">'SU Assemblies'!$B$247</definedName>
    <definedName name="SU_A0005_f">'SU Assemblies'!$J$278</definedName>
    <definedName name="SU_A0005_m">'SU Assemblies'!$N$260</definedName>
    <definedName name="SU_A0005_p">'SU Assemblies'!$I$272</definedName>
    <definedName name="SU_A0005_q">'SU Assemblies'!$N$245</definedName>
    <definedName name="SU_A0005_t">'SU Assemblies'!$I$282</definedName>
    <definedName name="SU_A0006">'SU Assemblies'!$B$289</definedName>
    <definedName name="SU_A0006_f">'SU Assemblies'!$J$332</definedName>
    <definedName name="SU_A0006_m">'SU Assemblies'!$N$305</definedName>
    <definedName name="SU_A0006_p">'SU Assemblies'!$I$324</definedName>
    <definedName name="SU_A0006_q">'SU Assemblies'!$N$287</definedName>
    <definedName name="SU_A0006_t">'SU Assemblies'!$I$336</definedName>
    <definedName name="SU_A0007">'SU Assemblies'!$B$343</definedName>
    <definedName name="SU_A0007_f">'SU Assemblies'!$J$376</definedName>
    <definedName name="SU_A0007_m">'SU Assemblies'!$N$356</definedName>
    <definedName name="SU_A0007_p">'SU Assemblies'!$I$369</definedName>
    <definedName name="SU_A0007_q">'SU Assemblies'!$N$341</definedName>
    <definedName name="SU_A0007_t">'SU Assemblies'!$I$380</definedName>
    <definedName name="SU_A0008">'SU Assemblies'!$B$387</definedName>
    <definedName name="SU_A0008_f">'SU Assemblies'!$J$430</definedName>
    <definedName name="SU_A0008_m">'SU Assemblies'!$N$403</definedName>
    <definedName name="SU_A0008_p">'SU Assemblies'!$I$422</definedName>
    <definedName name="SU_A0008_q">'SU Assemblies'!$N$385</definedName>
    <definedName name="SU_A0008_t">'SU Assemblies'!$I$434</definedName>
    <definedName name="SU_A0009">'SU Assemblies'!$B$441</definedName>
    <definedName name="SU_A0009_f">'SU Assemblies'!$J$475</definedName>
    <definedName name="SU_A0009_m">'SU Assemblies'!$N$454</definedName>
    <definedName name="SU_A0009_p">'SU Assemblies'!$I$468</definedName>
    <definedName name="SU_A0009_q">'SU Assemblies'!$N$439</definedName>
    <definedName name="SU_A0009_t">'SU Assemblies'!$I$479</definedName>
    <definedName name="SU_A0010">'SU Assemblies'!$B$486</definedName>
    <definedName name="SU_A0010_f">'SU Assemblies'!$J$530</definedName>
    <definedName name="SU_A0010_m">'SU Assemblies'!$N$503</definedName>
    <definedName name="SU_A0010_p">'SU Assemblies'!$I$522</definedName>
    <definedName name="SU_A0010_q">'SU Assemblies'!$N$484</definedName>
    <definedName name="SU_A0010_t">'SU Assemblies'!$I$535</definedName>
    <definedName name="SU_A0011">'SU Assemblies'!$B$542</definedName>
    <definedName name="SU_A0011_f">'SU Assemblies'!$J$580</definedName>
    <definedName name="SU_A0011_p">'SU Assemblies'!$I$570</definedName>
    <definedName name="SU_A0011_q">'SU Assemblies'!$N$540</definedName>
    <definedName name="SU_A0012">'SU Assemblies'!$B$587</definedName>
    <definedName name="SU_A0012_f">'SU Assemblies'!$J$620</definedName>
    <definedName name="SU_A0012_p">'SU Assemblies'!$I$611</definedName>
    <definedName name="SU_A0012_q">'SU Assemblies'!$N$585</definedName>
    <definedName name="SU_A002_q">'SU Assemblies'!$N$64</definedName>
    <definedName name="tgfrd">#REF!</definedName>
    <definedName name="tgrc">#REF!</definedName>
    <definedName name="tgrf">#REF!</definedName>
    <definedName name="tgrfcd">#REF!</definedName>
    <definedName name="tgvrfcd">#REF!</definedName>
    <definedName name="trfcd">#REF!</definedName>
    <definedName name="trfds">#REF!</definedName>
    <definedName name="trhzjyeuk">#REF!</definedName>
    <definedName name="ujyhbgvf">#REF!</definedName>
    <definedName name="Uni" localSheetId="1">BOM!#REF!</definedName>
    <definedName name="Uni" localSheetId="25">[1]BOM!#REF!</definedName>
    <definedName name="Uni">[2]BOM!#REF!</definedName>
    <definedName name="vfcd">#REF!</definedName>
    <definedName name="vfcdsx">#REF!</definedName>
    <definedName name="vfdcx">#REF!</definedName>
    <definedName name="vredcs">#REF!</definedName>
    <definedName name="WT_01001">'WT Parts'!$B$5</definedName>
    <definedName name="WT_01001_m">'WT Parts'!$N$12</definedName>
    <definedName name="WT_01001_PC">'WT Parts'!$N$2</definedName>
    <definedName name="WT_01001_Qty">'WT Parts'!$N$3</definedName>
    <definedName name="WT_01001_ref">'WT Parts'!$B$6</definedName>
    <definedName name="WT_01002">'WT Parts'!$B$18</definedName>
    <definedName name="WT_01002_m">'WT Parts'!$N$25</definedName>
    <definedName name="WT_01002_PC">'WT Parts'!$N$15</definedName>
    <definedName name="WT_01002_Qty">'WT Parts'!$N$16</definedName>
    <definedName name="WT_01002_ref">'WT Parts'!$B$19</definedName>
    <definedName name="WT_01003">'WT Parts'!$B$32</definedName>
    <definedName name="WT_01003_m">'WT Parts'!$N$39</definedName>
    <definedName name="WT_01003_PC">'WT Parts'!$N$29</definedName>
    <definedName name="WT_01003_Qty">'WT Parts'!$N$30</definedName>
    <definedName name="WT_01003_ref">'WT Parts'!$B$33</definedName>
    <definedName name="WT_02001">'WT Parts'!$B$47</definedName>
    <definedName name="WT_02001_m">'WT Parts'!$N$54</definedName>
    <definedName name="WT_02001_p">'WT Parts'!$I$63</definedName>
    <definedName name="WT_02001_PC">'WT Parts'!$N$44</definedName>
    <definedName name="WT_02001_Qty">'WT Parts'!$N$45</definedName>
    <definedName name="WT_02001_ref">'WT Parts'!$B$48</definedName>
    <definedName name="WT_02002">'WT Parts'!$B$70</definedName>
    <definedName name="WT_02002_m">'WT Parts'!$N$77</definedName>
    <definedName name="WT_02002_PC">'WT Parts'!$N$67</definedName>
    <definedName name="WT_02002_Qty">'WT Parts'!$N$68</definedName>
    <definedName name="WT_02002_ref">'WT Parts'!$B$71</definedName>
    <definedName name="WT_02003">'WT Parts'!$B$85</definedName>
    <definedName name="WT_02003_m">'WT Parts'!$N$92</definedName>
    <definedName name="WT_02003_p">'WT Parts'!$I$103</definedName>
    <definedName name="WT_02003_PC">'WT Parts'!$N$82</definedName>
    <definedName name="WT_02003_Qty">'WT Parts'!$N$83</definedName>
    <definedName name="WT_02003_ref">'WT Parts'!$B$86</definedName>
    <definedName name="WT_03001">'WT Parts'!$B$110</definedName>
    <definedName name="WT_03001_m">'WT Parts'!$N$117</definedName>
    <definedName name="WT_03001_p">'WT Parts'!$I$127</definedName>
    <definedName name="WT_03001_PC">'WT Parts'!$N$107</definedName>
    <definedName name="WT_03001_Qty">'WT Parts'!$N$108</definedName>
    <definedName name="WT_03001_ref">'WT Parts'!$B$111</definedName>
    <definedName name="WT_03002">'WT Parts'!$B$134</definedName>
    <definedName name="WT_03002_m">'WT Parts'!$N$141</definedName>
    <definedName name="WT_03002_PC">'WT Parts'!$N$131</definedName>
    <definedName name="WT_03002_Qty">'WT Parts'!$N$132</definedName>
    <definedName name="WT_03002_ref">'WT Parts'!$B$135</definedName>
    <definedName name="WT_03003">'WT Parts'!$B$149</definedName>
    <definedName name="WT_03003_m">'WT Parts'!$N$156</definedName>
    <definedName name="WT_03003_p">'WT Parts'!$I$167</definedName>
    <definedName name="WT_03003_PC">'WT Parts'!$N$146</definedName>
    <definedName name="WT_03003_Qty">'WT Parts'!$N$147</definedName>
    <definedName name="WT_03003_ref">'WT Parts'!$B$150</definedName>
    <definedName name="WT_A0001">'WT Assemblies'!$B$4</definedName>
    <definedName name="WT_A0001_AC">'WT Assemblies'!$N$2</definedName>
    <definedName name="WT_A0001_F">'WT Assemblies'!$J$26</definedName>
    <definedName name="WT_A0001_m">'WT Assemblies'!$N$17</definedName>
    <definedName name="WT_A0001_P">'WT Assemblies'!$I$22</definedName>
    <definedName name="WT_A0001_Pa">'WT Assemblies'!$E$13</definedName>
    <definedName name="WT_A0001_Qty">'WT Assemblies'!$N$3</definedName>
    <definedName name="WT_A0001_ref">'WT Assemblies'!$B$5</definedName>
    <definedName name="WT_A0001_T">'WT Assemblies'!$I$30</definedName>
    <definedName name="WT_A0002">'WT Assemblies'!$B$36</definedName>
    <definedName name="WT_A0002_AC">'WT Assemblies'!$N$34</definedName>
    <definedName name="WT_A0002_f">'WT Assemblies'!$J$62</definedName>
    <definedName name="WT_A0002_m">'WT Assemblies'!$N$49</definedName>
    <definedName name="WT_A0002_p">'WT Assemblies'!$I$58</definedName>
    <definedName name="WT_A0002_Pa">'WT Assemblies'!$E$45</definedName>
    <definedName name="WT_A0002_Qty">'WT Assemblies'!$N$35</definedName>
    <definedName name="WT_A0002_ref">'WT Assemblies'!$B$37</definedName>
    <definedName name="WT_A0003">'WT Assemblies'!$B$69</definedName>
    <definedName name="WT_A0003_AC">'WT Assemblies'!$N$67</definedName>
    <definedName name="WT_A0003_f">'WT Assemblies'!$J$95</definedName>
    <definedName name="WT_A0003_m">'WT Assemblies'!$N$82</definedName>
    <definedName name="WT_A0003_p">'WT Assemblies'!$I$91</definedName>
    <definedName name="WT_A0003_Pa">'WT Assemblies'!$E$78</definedName>
    <definedName name="WT_A0003_Qty">'WT Assemblies'!$N$68</definedName>
    <definedName name="WT_A0003_ref">'WT Assemblies'!$B$70</definedName>
    <definedName name="yjhtrefz">#REF!</definedName>
    <definedName name="zaed">#REF!</definedName>
    <definedName name="zefds">#REF!</definedName>
    <definedName name="zefdsc">#REF!</definedName>
    <definedName name="zefdv">#REF!</definedName>
    <definedName name="zer">#REF!</definedName>
    <definedName name="_xlnm.Print_Area" localSheetId="2">'BR Assemblies'!$A$1:$O$157</definedName>
    <definedName name="_xlnm.Print_Area" localSheetId="3">'BR Parts'!$A$1:$O$360</definedName>
    <definedName name="_xlnm.Print_Area" localSheetId="17">'ST Parts'!$A$1:$O$499</definedName>
    <definedName name="_xlnm.Print_Area" localSheetId="19">'SU Assemblies'!$A$1:$P$621</definedName>
  </definedNames>
  <calcPr calcId="144525"/>
</workbook>
</file>

<file path=xl/calcChain.xml><?xml version="1.0" encoding="utf-8"?>
<calcChain xmlns="http://schemas.openxmlformats.org/spreadsheetml/2006/main">
  <c r="I70" i="28" l="1"/>
  <c r="J59" i="28"/>
  <c r="N59" i="28" s="1"/>
  <c r="D331" i="33"/>
  <c r="J331" i="33" s="1"/>
  <c r="J330" i="33"/>
  <c r="J329" i="33"/>
  <c r="J328" i="33"/>
  <c r="J327" i="33"/>
  <c r="J426" i="33"/>
  <c r="I88" i="10"/>
  <c r="I55" i="10"/>
  <c r="I90" i="10"/>
  <c r="I91" i="10" s="1"/>
  <c r="I57" i="10"/>
  <c r="I65" i="25"/>
  <c r="I66" i="25" s="1"/>
  <c r="I28" i="25"/>
  <c r="I27" i="25"/>
  <c r="I610" i="33"/>
  <c r="I569" i="33"/>
  <c r="I137" i="25"/>
  <c r="D13" i="27"/>
  <c r="I70" i="27"/>
  <c r="I69" i="27"/>
  <c r="I58" i="10" l="1"/>
  <c r="I306" i="5"/>
  <c r="I305" i="5"/>
  <c r="I304" i="5"/>
  <c r="I303" i="5"/>
  <c r="I302" i="5"/>
  <c r="I301" i="5"/>
  <c r="I300" i="5"/>
  <c r="I299" i="5"/>
  <c r="F319" i="5"/>
  <c r="F318" i="5"/>
  <c r="F317" i="5"/>
  <c r="F316" i="5"/>
  <c r="F315" i="5"/>
  <c r="F314" i="5"/>
  <c r="F313" i="5"/>
  <c r="F312" i="5"/>
  <c r="F311" i="5"/>
  <c r="F310" i="5"/>
  <c r="F309" i="5"/>
  <c r="F308" i="5"/>
  <c r="F307" i="5"/>
  <c r="C307" i="5"/>
  <c r="C306" i="5"/>
  <c r="C305" i="5"/>
  <c r="C304" i="5"/>
  <c r="C303" i="5"/>
  <c r="C302" i="5"/>
  <c r="C301" i="5"/>
  <c r="C300" i="5"/>
  <c r="F306" i="5"/>
  <c r="F305" i="5"/>
  <c r="F304" i="5"/>
  <c r="F303" i="5"/>
  <c r="F302" i="5"/>
  <c r="F301" i="5"/>
  <c r="F300" i="5"/>
  <c r="F299" i="5"/>
  <c r="E305" i="5" s="1"/>
  <c r="F298" i="5"/>
  <c r="F297" i="5"/>
  <c r="F296" i="5"/>
  <c r="F295" i="5"/>
  <c r="F294" i="5"/>
  <c r="F293" i="5"/>
  <c r="F292" i="5"/>
  <c r="F291" i="5"/>
  <c r="F290" i="5"/>
  <c r="F289" i="5"/>
  <c r="F288" i="5"/>
  <c r="E292" i="5" s="1"/>
  <c r="F287" i="5"/>
  <c r="F286" i="5"/>
  <c r="F285" i="5"/>
  <c r="F284" i="5"/>
  <c r="F283" i="5"/>
  <c r="F282" i="5"/>
  <c r="F281" i="5"/>
  <c r="F280" i="5"/>
  <c r="F279" i="5"/>
  <c r="F278" i="5"/>
  <c r="F277" i="5"/>
  <c r="F276" i="5"/>
  <c r="E282" i="5" s="1"/>
  <c r="F275" i="5"/>
  <c r="F274" i="5"/>
  <c r="F273" i="5"/>
  <c r="F272" i="5"/>
  <c r="F271" i="5"/>
  <c r="F270" i="5"/>
  <c r="F269" i="5"/>
  <c r="F268" i="5"/>
  <c r="F267" i="5"/>
  <c r="F266" i="5"/>
  <c r="F265" i="5"/>
  <c r="F264" i="5"/>
  <c r="F263" i="5"/>
  <c r="F262" i="5"/>
  <c r="E270" i="5" s="1"/>
  <c r="F261" i="5"/>
  <c r="F260" i="5"/>
  <c r="F259" i="5"/>
  <c r="F258" i="5"/>
  <c r="F257" i="5"/>
  <c r="F256" i="5"/>
  <c r="F255" i="5"/>
  <c r="F254" i="5"/>
  <c r="F253" i="5"/>
  <c r="E261" i="5" s="1"/>
  <c r="F252" i="5"/>
  <c r="F251" i="5"/>
  <c r="F250" i="5"/>
  <c r="F249" i="5"/>
  <c r="F248" i="5"/>
  <c r="F247" i="5"/>
  <c r="F246" i="5"/>
  <c r="F245" i="5"/>
  <c r="F244" i="5"/>
  <c r="E250" i="5" s="1"/>
  <c r="F243" i="5"/>
  <c r="F242" i="5"/>
  <c r="F241" i="5"/>
  <c r="F240" i="5"/>
  <c r="F239" i="5"/>
  <c r="F238" i="5"/>
  <c r="F237" i="5"/>
  <c r="F236" i="5"/>
  <c r="F235" i="5"/>
  <c r="E241" i="5" s="1"/>
  <c r="I319" i="5"/>
  <c r="C319" i="5"/>
  <c r="I318" i="5"/>
  <c r="C318" i="5"/>
  <c r="I317" i="5"/>
  <c r="C317" i="5"/>
  <c r="I316" i="5"/>
  <c r="C316" i="5"/>
  <c r="I315" i="5"/>
  <c r="C315" i="5"/>
  <c r="I314" i="5"/>
  <c r="C314" i="5"/>
  <c r="I313" i="5"/>
  <c r="C313" i="5"/>
  <c r="I312" i="5"/>
  <c r="C312" i="5"/>
  <c r="I311" i="5"/>
  <c r="C311" i="5"/>
  <c r="I310" i="5"/>
  <c r="C310" i="5"/>
  <c r="I309" i="5"/>
  <c r="C309" i="5"/>
  <c r="I308" i="5"/>
  <c r="C308" i="5"/>
  <c r="I307" i="5"/>
  <c r="C299" i="5"/>
  <c r="I298" i="5"/>
  <c r="C298" i="5"/>
  <c r="I297" i="5"/>
  <c r="C297" i="5"/>
  <c r="I296" i="5"/>
  <c r="C296" i="5"/>
  <c r="I295" i="5"/>
  <c r="C295" i="5"/>
  <c r="I294" i="5"/>
  <c r="C294" i="5"/>
  <c r="I293" i="5"/>
  <c r="C293" i="5"/>
  <c r="I292" i="5"/>
  <c r="C292" i="5"/>
  <c r="I291" i="5"/>
  <c r="C291" i="5"/>
  <c r="I290" i="5"/>
  <c r="C290" i="5"/>
  <c r="I289" i="5"/>
  <c r="C289" i="5"/>
  <c r="I288" i="5"/>
  <c r="C288" i="5"/>
  <c r="I287" i="5"/>
  <c r="C287" i="5"/>
  <c r="I286" i="5"/>
  <c r="C286" i="5"/>
  <c r="I285" i="5"/>
  <c r="C285" i="5"/>
  <c r="I284" i="5"/>
  <c r="C284" i="5"/>
  <c r="I283" i="5"/>
  <c r="C283" i="5"/>
  <c r="I282" i="5"/>
  <c r="C282" i="5"/>
  <c r="I281" i="5"/>
  <c r="C281" i="5"/>
  <c r="I280" i="5"/>
  <c r="C280" i="5"/>
  <c r="I279" i="5"/>
  <c r="C279" i="5"/>
  <c r="I278" i="5"/>
  <c r="C278" i="5"/>
  <c r="I277" i="5"/>
  <c r="C277" i="5"/>
  <c r="I276" i="5"/>
  <c r="C276" i="5"/>
  <c r="I275" i="5"/>
  <c r="C275" i="5"/>
  <c r="I274" i="5"/>
  <c r="C274" i="5"/>
  <c r="I273" i="5"/>
  <c r="C273" i="5"/>
  <c r="I272" i="5"/>
  <c r="C272" i="5"/>
  <c r="I271" i="5"/>
  <c r="C271" i="5"/>
  <c r="I270" i="5"/>
  <c r="C270" i="5"/>
  <c r="I269" i="5"/>
  <c r="C269" i="5"/>
  <c r="I268" i="5"/>
  <c r="C268" i="5"/>
  <c r="I267" i="5"/>
  <c r="C267" i="5"/>
  <c r="I266" i="5"/>
  <c r="C266" i="5"/>
  <c r="I265" i="5"/>
  <c r="C265" i="5"/>
  <c r="I264" i="5"/>
  <c r="C264" i="5"/>
  <c r="I263" i="5"/>
  <c r="C263" i="5"/>
  <c r="I262" i="5"/>
  <c r="C262" i="5"/>
  <c r="I261" i="5"/>
  <c r="C261" i="5"/>
  <c r="I260" i="5"/>
  <c r="C260" i="5"/>
  <c r="I259" i="5"/>
  <c r="C259" i="5"/>
  <c r="I258" i="5"/>
  <c r="C258" i="5"/>
  <c r="I257" i="5"/>
  <c r="C257" i="5"/>
  <c r="I256" i="5"/>
  <c r="C256" i="5"/>
  <c r="I255" i="5"/>
  <c r="C255" i="5"/>
  <c r="I254" i="5"/>
  <c r="C254" i="5"/>
  <c r="I253" i="5"/>
  <c r="C253" i="5"/>
  <c r="I252" i="5"/>
  <c r="C252" i="5"/>
  <c r="I251" i="5"/>
  <c r="C251" i="5"/>
  <c r="I250" i="5"/>
  <c r="C250" i="5"/>
  <c r="I249" i="5"/>
  <c r="C249" i="5"/>
  <c r="I248" i="5"/>
  <c r="C248" i="5"/>
  <c r="I247" i="5"/>
  <c r="C247" i="5"/>
  <c r="I246" i="5"/>
  <c r="C246" i="5"/>
  <c r="I245" i="5"/>
  <c r="C245" i="5"/>
  <c r="I244" i="5"/>
  <c r="C244" i="5"/>
  <c r="I243" i="5"/>
  <c r="C243" i="5"/>
  <c r="I242" i="5"/>
  <c r="C242" i="5"/>
  <c r="I241" i="5"/>
  <c r="C241" i="5"/>
  <c r="I240" i="5"/>
  <c r="C240" i="5"/>
  <c r="I239" i="5"/>
  <c r="C239" i="5"/>
  <c r="I238" i="5"/>
  <c r="C238" i="5"/>
  <c r="I237" i="5"/>
  <c r="C237" i="5"/>
  <c r="I236" i="5"/>
  <c r="C236" i="5"/>
  <c r="I235" i="5"/>
  <c r="C235" i="5"/>
  <c r="E263" i="5" l="1"/>
  <c r="E302" i="5"/>
  <c r="E306" i="5"/>
  <c r="E264" i="5"/>
  <c r="E268" i="5"/>
  <c r="E254" i="5"/>
  <c r="E267" i="5"/>
  <c r="E256" i="5"/>
  <c r="E258" i="5"/>
  <c r="E259" i="5"/>
  <c r="E247" i="5"/>
  <c r="E260" i="5"/>
  <c r="E251" i="5"/>
  <c r="E255" i="5"/>
  <c r="E238" i="5"/>
  <c r="E242" i="5"/>
  <c r="E239" i="5"/>
  <c r="E243" i="5"/>
  <c r="E248" i="5"/>
  <c r="E252" i="5"/>
  <c r="E303" i="5"/>
  <c r="E290" i="5"/>
  <c r="E236" i="5"/>
  <c r="E240" i="5"/>
  <c r="E245" i="5"/>
  <c r="E249" i="5"/>
  <c r="E257" i="5"/>
  <c r="E265" i="5"/>
  <c r="E269" i="5"/>
  <c r="E289" i="5"/>
  <c r="E300" i="5"/>
  <c r="E304" i="5"/>
  <c r="E293" i="5"/>
  <c r="E294" i="5"/>
  <c r="E237" i="5"/>
  <c r="E246" i="5"/>
  <c r="E266" i="5"/>
  <c r="E301" i="5"/>
  <c r="E277" i="5"/>
  <c r="E279" i="5"/>
  <c r="E281" i="5"/>
  <c r="E278" i="5"/>
  <c r="E280" i="5"/>
  <c r="E291" i="5"/>
  <c r="E298" i="5"/>
  <c r="E297" i="5"/>
  <c r="E296" i="5"/>
  <c r="B292" i="35" l="1"/>
  <c r="N292" i="35"/>
  <c r="B362" i="35"/>
  <c r="N362" i="35"/>
  <c r="O398" i="35"/>
  <c r="P398" i="35"/>
  <c r="Q398" i="35"/>
  <c r="B4" i="34"/>
  <c r="J11" i="34"/>
  <c r="N11" i="34" s="1"/>
  <c r="N12" i="34" s="1"/>
  <c r="I15" i="34"/>
  <c r="I21" i="34" s="1"/>
  <c r="K236" i="5" s="1"/>
  <c r="I16" i="34"/>
  <c r="I17" i="34"/>
  <c r="I18" i="34"/>
  <c r="I19" i="34"/>
  <c r="I20" i="34"/>
  <c r="B27" i="34"/>
  <c r="J34" i="34"/>
  <c r="N34" i="34" s="1"/>
  <c r="N35" i="34" s="1"/>
  <c r="I38" i="34"/>
  <c r="I39" i="34"/>
  <c r="I40" i="34"/>
  <c r="I41" i="34"/>
  <c r="I42" i="34"/>
  <c r="I43" i="34"/>
  <c r="I49" i="34" s="1"/>
  <c r="K237" i="5" s="1"/>
  <c r="I44" i="34"/>
  <c r="I45" i="34"/>
  <c r="I46" i="34"/>
  <c r="I47" i="34"/>
  <c r="I48" i="34"/>
  <c r="J63" i="34"/>
  <c r="N63" i="34"/>
  <c r="N64" i="34" s="1"/>
  <c r="I67" i="34"/>
  <c r="I68" i="34"/>
  <c r="K238" i="5" s="1"/>
  <c r="J81" i="34"/>
  <c r="N81" i="34" s="1"/>
  <c r="N82" i="34" s="1"/>
  <c r="J102" i="34"/>
  <c r="N102" i="34" s="1"/>
  <c r="N103" i="34" s="1"/>
  <c r="J240" i="5" s="1"/>
  <c r="F106" i="34"/>
  <c r="I106" i="34" s="1"/>
  <c r="I107" i="34" s="1"/>
  <c r="J123" i="34"/>
  <c r="N123" i="34" s="1"/>
  <c r="N124" i="34" s="1"/>
  <c r="K123" i="34"/>
  <c r="I127" i="34"/>
  <c r="I128" i="34"/>
  <c r="I129" i="34"/>
  <c r="I130" i="34"/>
  <c r="J144" i="34"/>
  <c r="N144" i="34" s="1"/>
  <c r="N145" i="34" s="1"/>
  <c r="I148" i="34"/>
  <c r="I155" i="34" s="1"/>
  <c r="K242" i="5" s="1"/>
  <c r="I149" i="34"/>
  <c r="I150" i="34"/>
  <c r="I151" i="34"/>
  <c r="I152" i="34"/>
  <c r="I153" i="34"/>
  <c r="I154" i="34"/>
  <c r="J168" i="34"/>
  <c r="N168" i="34" s="1"/>
  <c r="N169" i="34" s="1"/>
  <c r="I172" i="34"/>
  <c r="I179" i="34" s="1"/>
  <c r="K243" i="5" s="1"/>
  <c r="I173" i="34"/>
  <c r="I174" i="34"/>
  <c r="I175" i="34"/>
  <c r="I176" i="34"/>
  <c r="I177" i="34"/>
  <c r="I178" i="34"/>
  <c r="J193" i="34"/>
  <c r="N193" i="34" s="1"/>
  <c r="N194" i="34" s="1"/>
  <c r="I197" i="34"/>
  <c r="I198" i="34"/>
  <c r="I203" i="34" s="1"/>
  <c r="K245" i="5" s="1"/>
  <c r="I199" i="34"/>
  <c r="I200" i="34"/>
  <c r="I201" i="34"/>
  <c r="I202" i="34"/>
  <c r="J216" i="34"/>
  <c r="N216" i="34" s="1"/>
  <c r="N217" i="34" s="1"/>
  <c r="I220" i="34"/>
  <c r="I221" i="34"/>
  <c r="I222" i="34"/>
  <c r="I228" i="34" s="1"/>
  <c r="K246" i="5" s="1"/>
  <c r="I223" i="34"/>
  <c r="I224" i="34"/>
  <c r="I225" i="34"/>
  <c r="I226" i="34"/>
  <c r="I227" i="34"/>
  <c r="J242" i="34"/>
  <c r="N242" i="34"/>
  <c r="N243" i="34" s="1"/>
  <c r="I246" i="34"/>
  <c r="I247" i="34" s="1"/>
  <c r="K247" i="5" s="1"/>
  <c r="J260" i="34"/>
  <c r="N260" i="34" s="1"/>
  <c r="N261" i="34" s="1"/>
  <c r="F264" i="34"/>
  <c r="I264" i="34" s="1"/>
  <c r="I265" i="34" s="1"/>
  <c r="K248" i="5" s="1"/>
  <c r="J281" i="34"/>
  <c r="N281" i="34" s="1"/>
  <c r="N282" i="34" s="1"/>
  <c r="F285" i="34"/>
  <c r="I285" i="34" s="1"/>
  <c r="I286" i="34" s="1"/>
  <c r="K249" i="5" s="1"/>
  <c r="J302" i="34"/>
  <c r="N302" i="34" s="1"/>
  <c r="N303" i="34" s="1"/>
  <c r="J250" i="5" s="1"/>
  <c r="K302" i="34"/>
  <c r="I306" i="34"/>
  <c r="I307" i="34"/>
  <c r="I308" i="34"/>
  <c r="I309" i="34"/>
  <c r="K250" i="5" s="1"/>
  <c r="J323" i="34"/>
  <c r="N323" i="34" s="1"/>
  <c r="N324" i="34" s="1"/>
  <c r="J251" i="5" s="1"/>
  <c r="I327" i="34"/>
  <c r="I334" i="34" s="1"/>
  <c r="K251" i="5" s="1"/>
  <c r="I328" i="34"/>
  <c r="I329" i="34"/>
  <c r="I330" i="34"/>
  <c r="I331" i="34"/>
  <c r="I332" i="34"/>
  <c r="I333" i="34"/>
  <c r="J347" i="34"/>
  <c r="N347" i="34" s="1"/>
  <c r="N348" i="34" s="1"/>
  <c r="I351" i="34"/>
  <c r="I358" i="34" s="1"/>
  <c r="K252" i="5" s="1"/>
  <c r="I352" i="34"/>
  <c r="I353" i="34"/>
  <c r="I354" i="34"/>
  <c r="I355" i="34"/>
  <c r="I356" i="34"/>
  <c r="I357" i="34"/>
  <c r="J372" i="34"/>
  <c r="N372" i="34" s="1"/>
  <c r="N373" i="34" s="1"/>
  <c r="I376" i="34"/>
  <c r="I382" i="34" s="1"/>
  <c r="K254" i="5" s="1"/>
  <c r="I377" i="34"/>
  <c r="I378" i="34"/>
  <c r="I379" i="34"/>
  <c r="I380" i="34"/>
  <c r="I381" i="34"/>
  <c r="J395" i="34"/>
  <c r="N395" i="34"/>
  <c r="N396" i="34" s="1"/>
  <c r="J255" i="5" s="1"/>
  <c r="I399" i="34"/>
  <c r="I407" i="34" s="1"/>
  <c r="K255" i="5" s="1"/>
  <c r="I400" i="34"/>
  <c r="I401" i="34"/>
  <c r="I402" i="34"/>
  <c r="I403" i="34"/>
  <c r="I404" i="34"/>
  <c r="I405" i="34"/>
  <c r="I406" i="34"/>
  <c r="J421" i="34"/>
  <c r="N421" i="34"/>
  <c r="N422" i="34" s="1"/>
  <c r="I425" i="34"/>
  <c r="I426" i="34"/>
  <c r="K256" i="5" s="1"/>
  <c r="J439" i="34"/>
  <c r="F443" i="34" s="1"/>
  <c r="I443" i="34" s="1"/>
  <c r="I444" i="34" s="1"/>
  <c r="K257" i="5" s="1"/>
  <c r="N439" i="34"/>
  <c r="N440" i="34" s="1"/>
  <c r="J460" i="34"/>
  <c r="N460" i="34"/>
  <c r="N461" i="34" s="1"/>
  <c r="J258" i="5" s="1"/>
  <c r="F464" i="34"/>
  <c r="I464" i="34"/>
  <c r="I465" i="34" s="1"/>
  <c r="J481" i="34"/>
  <c r="N481" i="34" s="1"/>
  <c r="N482" i="34" s="1"/>
  <c r="K481" i="34"/>
  <c r="I485" i="34"/>
  <c r="I486" i="34"/>
  <c r="I487" i="34"/>
  <c r="I488" i="34"/>
  <c r="K259" i="5" s="1"/>
  <c r="J502" i="34"/>
  <c r="N502" i="34"/>
  <c r="N503" i="34" s="1"/>
  <c r="I506" i="34"/>
  <c r="I507" i="34"/>
  <c r="I513" i="34" s="1"/>
  <c r="K260" i="5" s="1"/>
  <c r="I508" i="34"/>
  <c r="I509" i="34"/>
  <c r="I510" i="34"/>
  <c r="I511" i="34"/>
  <c r="I512" i="34"/>
  <c r="J526" i="34"/>
  <c r="N526" i="34" s="1"/>
  <c r="N527" i="34" s="1"/>
  <c r="I530" i="34"/>
  <c r="I537" i="34" s="1"/>
  <c r="K261" i="5" s="1"/>
  <c r="I531" i="34"/>
  <c r="I532" i="34"/>
  <c r="I533" i="34"/>
  <c r="I534" i="34"/>
  <c r="I535" i="34"/>
  <c r="I536" i="34"/>
  <c r="J551" i="34"/>
  <c r="N551" i="34"/>
  <c r="N552" i="34" s="1"/>
  <c r="I555" i="34"/>
  <c r="I556" i="34"/>
  <c r="I561" i="34" s="1"/>
  <c r="K263" i="5" s="1"/>
  <c r="I557" i="34"/>
  <c r="I558" i="34"/>
  <c r="I559" i="34"/>
  <c r="I560" i="34"/>
  <c r="J574" i="34"/>
  <c r="N574" i="34"/>
  <c r="N575" i="34" s="1"/>
  <c r="I578" i="34"/>
  <c r="I589" i="34" s="1"/>
  <c r="K264" i="5" s="1"/>
  <c r="I579" i="34"/>
  <c r="I580" i="34"/>
  <c r="I581" i="34"/>
  <c r="I582" i="34"/>
  <c r="I583" i="34"/>
  <c r="I584" i="34"/>
  <c r="I585" i="34"/>
  <c r="I586" i="34"/>
  <c r="I587" i="34"/>
  <c r="I588" i="34"/>
  <c r="J603" i="34"/>
  <c r="N603" i="34" s="1"/>
  <c r="N604" i="34" s="1"/>
  <c r="I607" i="34"/>
  <c r="I608" i="34"/>
  <c r="K265" i="5" s="1"/>
  <c r="J621" i="34"/>
  <c r="N621" i="34"/>
  <c r="N622" i="34" s="1"/>
  <c r="J266" i="5" s="1"/>
  <c r="H266" i="5" s="1"/>
  <c r="N266" i="5" s="1"/>
  <c r="F625" i="34"/>
  <c r="I625" i="34" s="1"/>
  <c r="I626" i="34" s="1"/>
  <c r="K266" i="5" s="1"/>
  <c r="J642" i="34"/>
  <c r="N642" i="34" s="1"/>
  <c r="N643" i="34" s="1"/>
  <c r="J267" i="5" s="1"/>
  <c r="F646" i="34"/>
  <c r="I646" i="34" s="1"/>
  <c r="I647" i="34" s="1"/>
  <c r="J663" i="34"/>
  <c r="K663" i="34"/>
  <c r="N663" i="34" s="1"/>
  <c r="N664" i="34" s="1"/>
  <c r="I667" i="34"/>
  <c r="I668" i="34"/>
  <c r="I669" i="34"/>
  <c r="I670" i="34"/>
  <c r="K268" i="5" s="1"/>
  <c r="J684" i="34"/>
  <c r="N684" i="34" s="1"/>
  <c r="N685" i="34" s="1"/>
  <c r="J269" i="5" s="1"/>
  <c r="I688" i="34"/>
  <c r="I689" i="34"/>
  <c r="I695" i="34" s="1"/>
  <c r="K269" i="5" s="1"/>
  <c r="I690" i="34"/>
  <c r="I691" i="34"/>
  <c r="I692" i="34"/>
  <c r="I693" i="34"/>
  <c r="I694" i="34"/>
  <c r="J708" i="34"/>
  <c r="N708" i="34"/>
  <c r="N709" i="34" s="1"/>
  <c r="I712" i="34"/>
  <c r="I719" i="34" s="1"/>
  <c r="K270" i="5" s="1"/>
  <c r="I713" i="34"/>
  <c r="I714" i="34"/>
  <c r="I715" i="34"/>
  <c r="I716" i="34"/>
  <c r="I717" i="34"/>
  <c r="I718" i="34"/>
  <c r="N724" i="34"/>
  <c r="B726" i="34"/>
  <c r="N733" i="34"/>
  <c r="N734" i="34"/>
  <c r="J272" i="5" s="1"/>
  <c r="H272" i="5" s="1"/>
  <c r="N272" i="5" s="1"/>
  <c r="B741" i="34"/>
  <c r="N748" i="34"/>
  <c r="N749" i="34"/>
  <c r="J273" i="5" s="1"/>
  <c r="H273" i="5" s="1"/>
  <c r="N273" i="5" s="1"/>
  <c r="B756" i="34"/>
  <c r="J763" i="34"/>
  <c r="N763" i="34" s="1"/>
  <c r="N764" i="34" s="1"/>
  <c r="I767" i="34"/>
  <c r="I774" i="34" s="1"/>
  <c r="K274" i="5" s="1"/>
  <c r="I768" i="34"/>
  <c r="I769" i="34"/>
  <c r="I770" i="34"/>
  <c r="I771" i="34"/>
  <c r="I772" i="34"/>
  <c r="I773" i="34"/>
  <c r="B781" i="34"/>
  <c r="J788" i="34"/>
  <c r="N788" i="34" s="1"/>
  <c r="N789" i="34" s="1"/>
  <c r="K788" i="34"/>
  <c r="I792" i="34"/>
  <c r="I795" i="34" s="1"/>
  <c r="K275" i="5" s="1"/>
  <c r="I793" i="34"/>
  <c r="I794" i="34"/>
  <c r="B802" i="34"/>
  <c r="J809" i="34"/>
  <c r="N809" i="34" s="1"/>
  <c r="N810" i="34" s="1"/>
  <c r="I813" i="34"/>
  <c r="I814" i="34"/>
  <c r="I815" i="34"/>
  <c r="K277" i="5" s="1"/>
  <c r="B822" i="34"/>
  <c r="J829" i="34"/>
  <c r="N829" i="34" s="1"/>
  <c r="N830" i="34" s="1"/>
  <c r="I833" i="34"/>
  <c r="I836" i="34" s="1"/>
  <c r="K278" i="5" s="1"/>
  <c r="I834" i="34"/>
  <c r="I835" i="34"/>
  <c r="B843" i="34"/>
  <c r="J850" i="34"/>
  <c r="N850" i="34"/>
  <c r="N851" i="34" s="1"/>
  <c r="I854" i="34"/>
  <c r="I856" i="34" s="1"/>
  <c r="K279" i="5" s="1"/>
  <c r="I855" i="34"/>
  <c r="B863" i="34"/>
  <c r="J870" i="34"/>
  <c r="N870" i="34" s="1"/>
  <c r="N871" i="34" s="1"/>
  <c r="J280" i="5" s="1"/>
  <c r="I874" i="34"/>
  <c r="I875" i="34"/>
  <c r="I876" i="34"/>
  <c r="I881" i="34" s="1"/>
  <c r="K280" i="5" s="1"/>
  <c r="I877" i="34"/>
  <c r="I878" i="34"/>
  <c r="I879" i="34"/>
  <c r="I880" i="34"/>
  <c r="B888" i="34"/>
  <c r="J895" i="34"/>
  <c r="N895" i="34"/>
  <c r="N896" i="34" s="1"/>
  <c r="I899" i="34"/>
  <c r="I900" i="34"/>
  <c r="K281" i="5" s="1"/>
  <c r="B907" i="34"/>
  <c r="J914" i="34"/>
  <c r="N914" i="34" s="1"/>
  <c r="N915" i="34" s="1"/>
  <c r="I918" i="34"/>
  <c r="I919" i="34"/>
  <c r="I920" i="34"/>
  <c r="I921" i="34"/>
  <c r="I922" i="34"/>
  <c r="I923" i="34"/>
  <c r="K282" i="5" s="1"/>
  <c r="B930" i="34"/>
  <c r="N937" i="34"/>
  <c r="N938" i="34" s="1"/>
  <c r="B945" i="34"/>
  <c r="N952" i="34"/>
  <c r="N953" i="34"/>
  <c r="J285" i="5" s="1"/>
  <c r="H285" i="5" s="1"/>
  <c r="N285" i="5" s="1"/>
  <c r="B960" i="34"/>
  <c r="J967" i="34"/>
  <c r="N967" i="34" s="1"/>
  <c r="N968" i="34" s="1"/>
  <c r="J286" i="5" s="1"/>
  <c r="H286" i="5" s="1"/>
  <c r="N286" i="5" s="1"/>
  <c r="I971" i="34"/>
  <c r="I978" i="34" s="1"/>
  <c r="K286" i="5" s="1"/>
  <c r="I972" i="34"/>
  <c r="I973" i="34"/>
  <c r="I974" i="34"/>
  <c r="I975" i="34"/>
  <c r="I976" i="34"/>
  <c r="I977" i="34"/>
  <c r="B985" i="34"/>
  <c r="J992" i="34"/>
  <c r="N992" i="34" s="1"/>
  <c r="N993" i="34" s="1"/>
  <c r="K992" i="34"/>
  <c r="I996" i="34"/>
  <c r="I999" i="34" s="1"/>
  <c r="K287" i="5" s="1"/>
  <c r="I997" i="34"/>
  <c r="I998" i="34"/>
  <c r="B1006" i="34"/>
  <c r="J1013" i="34"/>
  <c r="N1013" i="34" s="1"/>
  <c r="N1014" i="34" s="1"/>
  <c r="J289" i="5" s="1"/>
  <c r="I1017" i="34"/>
  <c r="I1018" i="34"/>
  <c r="I1019" i="34"/>
  <c r="B1026" i="34"/>
  <c r="J1033" i="34"/>
  <c r="N1033" i="34" s="1"/>
  <c r="N1034" i="34" s="1"/>
  <c r="I1037" i="34"/>
  <c r="I1040" i="34" s="1"/>
  <c r="K290" i="5" s="1"/>
  <c r="I1038" i="34"/>
  <c r="I1039" i="34"/>
  <c r="B1047" i="34"/>
  <c r="J1054" i="34"/>
  <c r="N1054" i="34" s="1"/>
  <c r="N1055" i="34" s="1"/>
  <c r="I1058" i="34"/>
  <c r="I1059" i="34"/>
  <c r="I1060" i="34"/>
  <c r="K291" i="5" s="1"/>
  <c r="B1067" i="34"/>
  <c r="J1074" i="34"/>
  <c r="N1074" i="34" s="1"/>
  <c r="N1075" i="34" s="1"/>
  <c r="I1078" i="34"/>
  <c r="I1085" i="34" s="1"/>
  <c r="K292" i="5" s="1"/>
  <c r="I1079" i="34"/>
  <c r="I1080" i="34"/>
  <c r="I1081" i="34"/>
  <c r="I1082" i="34"/>
  <c r="I1083" i="34"/>
  <c r="I1084" i="34"/>
  <c r="B1092" i="34"/>
  <c r="J1099" i="34"/>
  <c r="N1099" i="34" s="1"/>
  <c r="N1100" i="34" s="1"/>
  <c r="I1103" i="34"/>
  <c r="I1104" i="34" s="1"/>
  <c r="K293" i="5" s="1"/>
  <c r="B1111" i="34"/>
  <c r="J1118" i="34"/>
  <c r="N1118" i="34"/>
  <c r="N1119" i="34" s="1"/>
  <c r="I1122" i="34"/>
  <c r="I1127" i="34" s="1"/>
  <c r="K294" i="5" s="1"/>
  <c r="I1123" i="34"/>
  <c r="I1124" i="34"/>
  <c r="I1125" i="34"/>
  <c r="I1126" i="34"/>
  <c r="J1141" i="34"/>
  <c r="N1141" i="34" s="1"/>
  <c r="N1142" i="34" s="1"/>
  <c r="J296" i="5" s="1"/>
  <c r="I1145" i="34"/>
  <c r="I1150" i="34" s="1"/>
  <c r="I1146" i="34"/>
  <c r="I1147" i="34"/>
  <c r="I1148" i="34"/>
  <c r="I1149" i="34"/>
  <c r="J1164" i="34"/>
  <c r="N1164" i="34"/>
  <c r="N1165" i="34" s="1"/>
  <c r="I1168" i="34"/>
  <c r="I1169" i="34" s="1"/>
  <c r="K297" i="5" s="1"/>
  <c r="J1183" i="34"/>
  <c r="N1183" i="34" s="1"/>
  <c r="N1184" i="34" s="1"/>
  <c r="I1187" i="34"/>
  <c r="I1194" i="34" s="1"/>
  <c r="K298" i="5" s="1"/>
  <c r="I1188" i="34"/>
  <c r="I1189" i="34"/>
  <c r="I1190" i="34"/>
  <c r="I1191" i="34"/>
  <c r="I1192" i="34"/>
  <c r="I1193" i="34"/>
  <c r="B1201" i="34"/>
  <c r="N1208" i="34"/>
  <c r="N1209" i="34" s="1"/>
  <c r="B1215" i="34"/>
  <c r="J1222" i="34"/>
  <c r="N1222" i="34"/>
  <c r="N1223" i="34"/>
  <c r="I1226" i="34"/>
  <c r="I1228" i="34" s="1"/>
  <c r="K301" i="5" s="1"/>
  <c r="I1227" i="34"/>
  <c r="B1234" i="34"/>
  <c r="J1241" i="34"/>
  <c r="N1241" i="34" s="1"/>
  <c r="N1242" i="34" s="1"/>
  <c r="I1245" i="34"/>
  <c r="I1246" i="34"/>
  <c r="I1247" i="34" s="1"/>
  <c r="K302" i="5" s="1"/>
  <c r="B1253" i="34"/>
  <c r="J1260" i="34"/>
  <c r="N1260" i="34" s="1"/>
  <c r="N1261" i="34" s="1"/>
  <c r="I1264" i="34"/>
  <c r="I1265" i="34"/>
  <c r="I1266" i="34"/>
  <c r="K303" i="5" s="1"/>
  <c r="B1272" i="34"/>
  <c r="J1279" i="34"/>
  <c r="N1279" i="34" s="1"/>
  <c r="N1280" i="34" s="1"/>
  <c r="J304" i="5" s="1"/>
  <c r="I1283" i="34"/>
  <c r="I1284" i="34"/>
  <c r="I1288" i="34" s="1"/>
  <c r="I1285" i="34"/>
  <c r="I1286" i="34"/>
  <c r="I1287" i="34"/>
  <c r="B1294" i="34"/>
  <c r="N1301" i="34"/>
  <c r="N1302" i="34" s="1"/>
  <c r="J305" i="5" s="1"/>
  <c r="F1305" i="34"/>
  <c r="I1305" i="34" s="1"/>
  <c r="I1306" i="34" s="1"/>
  <c r="B1312" i="34"/>
  <c r="J1319" i="34"/>
  <c r="N1319" i="34" s="1"/>
  <c r="N1320" i="34" s="1"/>
  <c r="J306" i="5" s="1"/>
  <c r="I1323" i="34"/>
  <c r="I1324" i="34"/>
  <c r="I1325" i="34"/>
  <c r="I1326" i="34"/>
  <c r="I1327" i="34"/>
  <c r="I1328" i="34"/>
  <c r="B1334" i="34"/>
  <c r="J1341" i="34"/>
  <c r="N1341" i="34" s="1"/>
  <c r="N1342" i="34" s="1"/>
  <c r="J308" i="5" s="1"/>
  <c r="I1345" i="34"/>
  <c r="I1351" i="34" s="1"/>
  <c r="I1346" i="34"/>
  <c r="I1347" i="34"/>
  <c r="I1348" i="34"/>
  <c r="I1349" i="34"/>
  <c r="I1350" i="34"/>
  <c r="B1358" i="34"/>
  <c r="J1365" i="34"/>
  <c r="N1365" i="34" s="1"/>
  <c r="N1366" i="34" s="1"/>
  <c r="I1369" i="34"/>
  <c r="I1370" i="34"/>
  <c r="I1371" i="34"/>
  <c r="I1372" i="34"/>
  <c r="I1373" i="34"/>
  <c r="I1374" i="34"/>
  <c r="B1382" i="34"/>
  <c r="J1389" i="34"/>
  <c r="N1389" i="34" s="1"/>
  <c r="N1390" i="34"/>
  <c r="I1393" i="34"/>
  <c r="I1397" i="34" s="1"/>
  <c r="K310" i="5" s="1"/>
  <c r="I1394" i="34"/>
  <c r="I1395" i="34"/>
  <c r="I1396" i="34"/>
  <c r="B1404" i="34"/>
  <c r="J1411" i="34"/>
  <c r="N1411" i="34" s="1"/>
  <c r="N1412" i="34" s="1"/>
  <c r="I1415" i="34"/>
  <c r="I1416" i="34"/>
  <c r="B1424" i="34"/>
  <c r="J1431" i="34"/>
  <c r="N1431" i="34" s="1"/>
  <c r="N1432" i="34" s="1"/>
  <c r="I1435" i="34"/>
  <c r="I1437" i="34" s="1"/>
  <c r="K312" i="5" s="1"/>
  <c r="I1436" i="34"/>
  <c r="B1444" i="34"/>
  <c r="J1451" i="34"/>
  <c r="N1451" i="34"/>
  <c r="N1452" i="34" s="1"/>
  <c r="J313" i="5" s="1"/>
  <c r="I1455" i="34"/>
  <c r="I1457" i="34" s="1"/>
  <c r="K313" i="5" s="1"/>
  <c r="I1456" i="34"/>
  <c r="B1464" i="34"/>
  <c r="J1471" i="34"/>
  <c r="N1471" i="34" s="1"/>
  <c r="N1472" i="34" s="1"/>
  <c r="J315" i="5" s="1"/>
  <c r="I1475" i="34"/>
  <c r="I1476" i="34"/>
  <c r="I1477" i="34"/>
  <c r="I1478" i="34"/>
  <c r="I1479" i="34"/>
  <c r="I1480" i="34"/>
  <c r="B1488" i="34"/>
  <c r="J1495" i="34"/>
  <c r="N1495" i="34" s="1"/>
  <c r="N1496" i="34" s="1"/>
  <c r="J316" i="5" s="1"/>
  <c r="I1499" i="34"/>
  <c r="I1503" i="34" s="1"/>
  <c r="K316" i="5" s="1"/>
  <c r="I1500" i="34"/>
  <c r="I1501" i="34"/>
  <c r="I1502" i="34"/>
  <c r="B1510" i="34"/>
  <c r="J1517" i="34"/>
  <c r="N1517" i="34" s="1"/>
  <c r="N1518" i="34" s="1"/>
  <c r="I1521" i="34"/>
  <c r="I1522" i="34"/>
  <c r="B1530" i="34"/>
  <c r="J1537" i="34"/>
  <c r="N1537" i="34" s="1"/>
  <c r="N1538" i="34" s="1"/>
  <c r="J318" i="5" s="1"/>
  <c r="H318" i="5" s="1"/>
  <c r="N318" i="5" s="1"/>
  <c r="I1541" i="34"/>
  <c r="I1543" i="34" s="1"/>
  <c r="K318" i="5" s="1"/>
  <c r="I1542" i="34"/>
  <c r="B1550" i="34"/>
  <c r="J1557" i="34"/>
  <c r="N1557" i="34" s="1"/>
  <c r="N1558" i="34"/>
  <c r="J319" i="5" s="1"/>
  <c r="I1561" i="34"/>
  <c r="I1562" i="34"/>
  <c r="B10" i="33"/>
  <c r="D10" i="33"/>
  <c r="D11" i="33"/>
  <c r="D12" i="33"/>
  <c r="D13" i="33"/>
  <c r="D14" i="33"/>
  <c r="D15" i="33"/>
  <c r="D16" i="33"/>
  <c r="D17" i="33"/>
  <c r="N21" i="33"/>
  <c r="N22" i="33"/>
  <c r="N23" i="33"/>
  <c r="I27" i="33"/>
  <c r="I28" i="33"/>
  <c r="I29" i="33"/>
  <c r="I30" i="33"/>
  <c r="I31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45" i="33"/>
  <c r="I46" i="33"/>
  <c r="I47" i="33"/>
  <c r="I48" i="33"/>
  <c r="J52" i="33"/>
  <c r="J53" i="33"/>
  <c r="J54" i="33"/>
  <c r="F58" i="33"/>
  <c r="I58" i="33" s="1"/>
  <c r="I59" i="33" s="1"/>
  <c r="M235" i="5" s="1"/>
  <c r="B71" i="33"/>
  <c r="D71" i="33"/>
  <c r="D72" i="33"/>
  <c r="D73" i="33"/>
  <c r="D74" i="33"/>
  <c r="D75" i="33"/>
  <c r="D76" i="33"/>
  <c r="D77" i="33"/>
  <c r="D78" i="33"/>
  <c r="N82" i="33"/>
  <c r="N83" i="33"/>
  <c r="N84" i="33"/>
  <c r="I88" i="33"/>
  <c r="I89" i="33"/>
  <c r="I90" i="33"/>
  <c r="I91" i="33"/>
  <c r="I92" i="33"/>
  <c r="I93" i="33"/>
  <c r="I94" i="33"/>
  <c r="I95" i="33"/>
  <c r="I96" i="33"/>
  <c r="I97" i="33"/>
  <c r="I98" i="33"/>
  <c r="I99" i="33"/>
  <c r="I100" i="33"/>
  <c r="I101" i="33"/>
  <c r="I102" i="33"/>
  <c r="I103" i="33"/>
  <c r="I104" i="33"/>
  <c r="I105" i="33"/>
  <c r="I106" i="33"/>
  <c r="I107" i="33"/>
  <c r="I108" i="33"/>
  <c r="I109" i="33"/>
  <c r="J113" i="33"/>
  <c r="J114" i="33"/>
  <c r="F118" i="33"/>
  <c r="I118" i="33" s="1"/>
  <c r="I119" i="33" s="1"/>
  <c r="M244" i="5" s="1"/>
  <c r="D131" i="33"/>
  <c r="D132" i="33"/>
  <c r="D133" i="33"/>
  <c r="D134" i="33"/>
  <c r="D135" i="33"/>
  <c r="D136" i="33"/>
  <c r="D137" i="33"/>
  <c r="D138" i="33"/>
  <c r="N142" i="33"/>
  <c r="N143" i="33"/>
  <c r="N144" i="33"/>
  <c r="I148" i="33"/>
  <c r="I149" i="33"/>
  <c r="I150" i="33"/>
  <c r="I151" i="33"/>
  <c r="I152" i="33"/>
  <c r="I153" i="33"/>
  <c r="I154" i="33"/>
  <c r="I155" i="33"/>
  <c r="I156" i="33"/>
  <c r="I157" i="33"/>
  <c r="I158" i="33"/>
  <c r="I159" i="33"/>
  <c r="I160" i="33"/>
  <c r="I161" i="33"/>
  <c r="I162" i="33"/>
  <c r="I163" i="33"/>
  <c r="I164" i="33"/>
  <c r="I165" i="33"/>
  <c r="I166" i="33"/>
  <c r="I167" i="33"/>
  <c r="I168" i="33"/>
  <c r="I169" i="33"/>
  <c r="J173" i="33"/>
  <c r="J174" i="33"/>
  <c r="F178" i="33"/>
  <c r="I178" i="33" s="1"/>
  <c r="I179" i="33" s="1"/>
  <c r="M253" i="5" s="1"/>
  <c r="D191" i="33"/>
  <c r="D192" i="33"/>
  <c r="D193" i="33"/>
  <c r="D194" i="33"/>
  <c r="D195" i="33"/>
  <c r="D196" i="33"/>
  <c r="D197" i="33"/>
  <c r="D198" i="33"/>
  <c r="N202" i="33"/>
  <c r="N203" i="33"/>
  <c r="N204" i="33"/>
  <c r="I208" i="33"/>
  <c r="I209" i="33"/>
  <c r="I210" i="33"/>
  <c r="I211" i="33"/>
  <c r="I212" i="33"/>
  <c r="I213" i="33"/>
  <c r="I214" i="33"/>
  <c r="I215" i="33"/>
  <c r="I216" i="33"/>
  <c r="I217" i="33"/>
  <c r="I218" i="33"/>
  <c r="I219" i="33"/>
  <c r="I220" i="33"/>
  <c r="I221" i="33"/>
  <c r="I222" i="33"/>
  <c r="I223" i="33"/>
  <c r="I224" i="33"/>
  <c r="I225" i="33"/>
  <c r="I226" i="33"/>
  <c r="I227" i="33"/>
  <c r="I228" i="33"/>
  <c r="I229" i="33"/>
  <c r="J233" i="33"/>
  <c r="J234" i="33"/>
  <c r="J235" i="33"/>
  <c r="F239" i="33"/>
  <c r="I239" i="33" s="1"/>
  <c r="I240" i="33" s="1"/>
  <c r="M262" i="5" s="1"/>
  <c r="B252" i="33"/>
  <c r="D252" i="33"/>
  <c r="B253" i="33"/>
  <c r="D253" i="33"/>
  <c r="B254" i="33"/>
  <c r="D254" i="33"/>
  <c r="B255" i="33"/>
  <c r="D255" i="33"/>
  <c r="N259" i="33"/>
  <c r="N260" i="33" s="1"/>
  <c r="J271" i="5" s="1"/>
  <c r="I263" i="33"/>
  <c r="I264" i="33"/>
  <c r="I265" i="33"/>
  <c r="I266" i="33"/>
  <c r="I267" i="33"/>
  <c r="I268" i="33"/>
  <c r="I269" i="33"/>
  <c r="I270" i="33"/>
  <c r="I271" i="33"/>
  <c r="J275" i="33"/>
  <c r="J276" i="33"/>
  <c r="J277" i="33"/>
  <c r="I281" i="33"/>
  <c r="I282" i="33" s="1"/>
  <c r="M271" i="5" s="1"/>
  <c r="B294" i="33"/>
  <c r="D294" i="33"/>
  <c r="B295" i="33"/>
  <c r="D295" i="33"/>
  <c r="B296" i="33"/>
  <c r="D296" i="33"/>
  <c r="B297" i="33"/>
  <c r="D297" i="33"/>
  <c r="B298" i="33"/>
  <c r="D298" i="33"/>
  <c r="B299" i="33"/>
  <c r="D299" i="33"/>
  <c r="N303" i="33"/>
  <c r="N304" i="33"/>
  <c r="I308" i="33"/>
  <c r="I309" i="33"/>
  <c r="I310" i="33"/>
  <c r="I311" i="33"/>
  <c r="I312" i="33"/>
  <c r="I313" i="33"/>
  <c r="I314" i="33"/>
  <c r="I315" i="33"/>
  <c r="I316" i="33"/>
  <c r="I317" i="33"/>
  <c r="I318" i="33"/>
  <c r="I319" i="33"/>
  <c r="I320" i="33"/>
  <c r="I321" i="33"/>
  <c r="I322" i="33"/>
  <c r="I323" i="33"/>
  <c r="I335" i="33"/>
  <c r="I336" i="33" s="1"/>
  <c r="M276" i="5" s="1"/>
  <c r="B348" i="33"/>
  <c r="D348" i="33"/>
  <c r="B349" i="33"/>
  <c r="D349" i="33"/>
  <c r="B350" i="33"/>
  <c r="D350" i="33"/>
  <c r="B351" i="33"/>
  <c r="D351" i="33"/>
  <c r="N355" i="33"/>
  <c r="N356" i="33" s="1"/>
  <c r="J283" i="5" s="1"/>
  <c r="I359" i="33"/>
  <c r="I360" i="33"/>
  <c r="I361" i="33"/>
  <c r="I362" i="33"/>
  <c r="I363" i="33"/>
  <c r="I364" i="33"/>
  <c r="I365" i="33"/>
  <c r="I366" i="33"/>
  <c r="I367" i="33"/>
  <c r="I368" i="33"/>
  <c r="J372" i="33"/>
  <c r="J373" i="33"/>
  <c r="J374" i="33"/>
  <c r="J375" i="33"/>
  <c r="I379" i="33"/>
  <c r="I380" i="33" s="1"/>
  <c r="M283" i="5" s="1"/>
  <c r="B392" i="33"/>
  <c r="D392" i="33"/>
  <c r="B393" i="33"/>
  <c r="D393" i="33"/>
  <c r="B394" i="33"/>
  <c r="D394" i="33"/>
  <c r="B395" i="33"/>
  <c r="D395" i="33"/>
  <c r="B396" i="33"/>
  <c r="D396" i="33"/>
  <c r="B397" i="33"/>
  <c r="D397" i="33"/>
  <c r="N401" i="33"/>
  <c r="N402" i="33"/>
  <c r="I406" i="33"/>
  <c r="I407" i="33"/>
  <c r="I408" i="33"/>
  <c r="I409" i="33"/>
  <c r="I410" i="33"/>
  <c r="I411" i="33"/>
  <c r="I412" i="33"/>
  <c r="I413" i="33"/>
  <c r="I414" i="33"/>
  <c r="I415" i="33"/>
  <c r="I416" i="33"/>
  <c r="I417" i="33"/>
  <c r="I418" i="33"/>
  <c r="I419" i="33"/>
  <c r="I420" i="33"/>
  <c r="I421" i="33"/>
  <c r="J425" i="33"/>
  <c r="J427" i="33"/>
  <c r="J428" i="33"/>
  <c r="D429" i="33"/>
  <c r="J429" i="33" s="1"/>
  <c r="I433" i="33"/>
  <c r="I434" i="33" s="1"/>
  <c r="M288" i="5" s="1"/>
  <c r="B446" i="33"/>
  <c r="D446" i="33"/>
  <c r="B447" i="33"/>
  <c r="D447" i="33"/>
  <c r="B448" i="33"/>
  <c r="D448" i="33"/>
  <c r="N452" i="33"/>
  <c r="N453" i="33"/>
  <c r="I457" i="33"/>
  <c r="I458" i="33"/>
  <c r="I459" i="33"/>
  <c r="I460" i="33"/>
  <c r="I461" i="33"/>
  <c r="I462" i="33"/>
  <c r="I463" i="33"/>
  <c r="I464" i="33"/>
  <c r="I465" i="33"/>
  <c r="I466" i="33"/>
  <c r="I467" i="33"/>
  <c r="J471" i="33"/>
  <c r="J472" i="33"/>
  <c r="J473" i="33"/>
  <c r="D474" i="33"/>
  <c r="J474" i="33" s="1"/>
  <c r="I478" i="33"/>
  <c r="I479" i="33" s="1"/>
  <c r="M295" i="5" s="1"/>
  <c r="N305" i="33" l="1"/>
  <c r="J276" i="5" s="1"/>
  <c r="N403" i="33"/>
  <c r="J288" i="5" s="1"/>
  <c r="I272" i="33"/>
  <c r="K271" i="5" s="1"/>
  <c r="I369" i="33"/>
  <c r="K283" i="5" s="1"/>
  <c r="N205" i="33"/>
  <c r="J262" i="5" s="1"/>
  <c r="N1132" i="34"/>
  <c r="K296" i="5"/>
  <c r="H296" i="5"/>
  <c r="N296" i="5" s="1"/>
  <c r="N1045" i="34"/>
  <c r="J291" i="5"/>
  <c r="H291" i="5" s="1"/>
  <c r="N291" i="5" s="1"/>
  <c r="J287" i="5"/>
  <c r="H287" i="5" s="1"/>
  <c r="N287" i="5" s="1"/>
  <c r="N983" i="34"/>
  <c r="N841" i="34"/>
  <c r="J279" i="5"/>
  <c r="H279" i="5" s="1"/>
  <c r="N279" i="5" s="1"/>
  <c r="N654" i="34"/>
  <c r="J268" i="5"/>
  <c r="H268" i="5" s="1"/>
  <c r="N268" i="5" s="1"/>
  <c r="N363" i="34"/>
  <c r="C131" i="33" s="1"/>
  <c r="E131" i="33" s="1"/>
  <c r="J254" i="5"/>
  <c r="H254" i="5" s="1"/>
  <c r="N254" i="5" s="1"/>
  <c r="N338" i="34"/>
  <c r="N341" i="34" s="1"/>
  <c r="J252" i="5"/>
  <c r="H252" i="5" s="1"/>
  <c r="N252" i="5" s="1"/>
  <c r="H251" i="5"/>
  <c r="N251" i="5" s="1"/>
  <c r="N272" i="34"/>
  <c r="C75" i="33" s="1"/>
  <c r="E75" i="33" s="1"/>
  <c r="J249" i="5"/>
  <c r="H249" i="5" s="1"/>
  <c r="N249" i="5" s="1"/>
  <c r="N594" i="34"/>
  <c r="J265" i="5"/>
  <c r="H265" i="5" s="1"/>
  <c r="N265" i="5" s="1"/>
  <c r="N1332" i="34"/>
  <c r="N1335" i="34" s="1"/>
  <c r="K308" i="5"/>
  <c r="H308" i="5" s="1"/>
  <c r="N308" i="5" s="1"/>
  <c r="J303" i="5"/>
  <c r="H303" i="5" s="1"/>
  <c r="N303" i="5" s="1"/>
  <c r="N1251" i="34"/>
  <c r="N1254" i="34" s="1"/>
  <c r="N1090" i="34"/>
  <c r="J293" i="5"/>
  <c r="H293" i="5" s="1"/>
  <c r="N293" i="5" s="1"/>
  <c r="N754" i="34"/>
  <c r="J274" i="5"/>
  <c r="H274" i="5" s="1"/>
  <c r="N274" i="5" s="1"/>
  <c r="N699" i="34"/>
  <c r="J270" i="5"/>
  <c r="H270" i="5" s="1"/>
  <c r="N270" i="5" s="1"/>
  <c r="J257" i="5"/>
  <c r="H257" i="5" s="1"/>
  <c r="N257" i="5" s="1"/>
  <c r="N430" i="34"/>
  <c r="N612" i="34"/>
  <c r="N615" i="34" s="1"/>
  <c r="N251" i="34"/>
  <c r="J248" i="5"/>
  <c r="H248" i="5" s="1"/>
  <c r="N248" i="5" s="1"/>
  <c r="H306" i="5"/>
  <c r="N306" i="5" s="1"/>
  <c r="N1270" i="34"/>
  <c r="N1273" i="34" s="1"/>
  <c r="K304" i="5"/>
  <c r="J292" i="5"/>
  <c r="H292" i="5" s="1"/>
  <c r="N292" i="5" s="1"/>
  <c r="N1065" i="34"/>
  <c r="N800" i="34"/>
  <c r="J277" i="5"/>
  <c r="H277" i="5" s="1"/>
  <c r="N277" i="5" s="1"/>
  <c r="H269" i="5"/>
  <c r="N269" i="5" s="1"/>
  <c r="H267" i="5"/>
  <c r="N267" i="5" s="1"/>
  <c r="H246" i="5"/>
  <c r="N246" i="5" s="1"/>
  <c r="N114" i="34"/>
  <c r="J241" i="5"/>
  <c r="J275" i="5"/>
  <c r="H275" i="5" s="1"/>
  <c r="N275" i="5" s="1"/>
  <c r="N779" i="34"/>
  <c r="J309" i="5"/>
  <c r="H280" i="5"/>
  <c r="N280" i="5" s="1"/>
  <c r="J247" i="5"/>
  <c r="H247" i="5" s="1"/>
  <c r="N247" i="5" s="1"/>
  <c r="N233" i="34"/>
  <c r="K241" i="5"/>
  <c r="K240" i="5"/>
  <c r="J298" i="5"/>
  <c r="H298" i="5" s="1"/>
  <c r="N298" i="5" s="1"/>
  <c r="N1174" i="34"/>
  <c r="H304" i="5"/>
  <c r="N304" i="5" s="1"/>
  <c r="J290" i="5"/>
  <c r="H290" i="5" s="1"/>
  <c r="N290" i="5" s="1"/>
  <c r="N1024" i="34"/>
  <c r="J264" i="5"/>
  <c r="H264" i="5" s="1"/>
  <c r="N264" i="5" s="1"/>
  <c r="N565" i="34"/>
  <c r="J263" i="5"/>
  <c r="H263" i="5" s="1"/>
  <c r="N263" i="5" s="1"/>
  <c r="N542" i="34"/>
  <c r="J259" i="5"/>
  <c r="H259" i="5" s="1"/>
  <c r="N259" i="5" s="1"/>
  <c r="N472" i="34"/>
  <c r="N184" i="34"/>
  <c r="C71" i="33" s="1"/>
  <c r="E71" i="33" s="1"/>
  <c r="J245" i="5"/>
  <c r="H245" i="5" s="1"/>
  <c r="N245" i="5" s="1"/>
  <c r="N159" i="34"/>
  <c r="J243" i="5"/>
  <c r="H243" i="5" s="1"/>
  <c r="N243" i="5" s="1"/>
  <c r="N314" i="34"/>
  <c r="J242" i="5"/>
  <c r="H242" i="5" s="1"/>
  <c r="N242" i="5" s="1"/>
  <c r="N135" i="34"/>
  <c r="H240" i="5"/>
  <c r="N240" i="5" s="1"/>
  <c r="J297" i="5"/>
  <c r="H297" i="5" s="1"/>
  <c r="N297" i="5" s="1"/>
  <c r="N1155" i="34"/>
  <c r="N1292" i="34"/>
  <c r="N1295" i="34" s="1"/>
  <c r="K305" i="5"/>
  <c r="H305" i="5"/>
  <c r="N305" i="5" s="1"/>
  <c r="J300" i="5"/>
  <c r="H300" i="5" s="1"/>
  <c r="N300" i="5" s="1"/>
  <c r="N1199" i="34"/>
  <c r="N1202" i="34" s="1"/>
  <c r="N1109" i="34"/>
  <c r="J294" i="5"/>
  <c r="H294" i="5" s="1"/>
  <c r="N294" i="5" s="1"/>
  <c r="N928" i="34"/>
  <c r="J284" i="5"/>
  <c r="H284" i="5" s="1"/>
  <c r="N284" i="5" s="1"/>
  <c r="N905" i="34"/>
  <c r="J282" i="5"/>
  <c r="H282" i="5" s="1"/>
  <c r="N282" i="5" s="1"/>
  <c r="J278" i="5"/>
  <c r="H278" i="5" s="1"/>
  <c r="N278" i="5" s="1"/>
  <c r="N820" i="34"/>
  <c r="N517" i="34"/>
  <c r="J261" i="5"/>
  <c r="H261" i="5" s="1"/>
  <c r="N261" i="5" s="1"/>
  <c r="N493" i="34"/>
  <c r="J260" i="5"/>
  <c r="H260" i="5" s="1"/>
  <c r="N260" i="5" s="1"/>
  <c r="N675" i="34"/>
  <c r="N412" i="34"/>
  <c r="J256" i="5"/>
  <c r="H256" i="5" s="1"/>
  <c r="N256" i="5" s="1"/>
  <c r="N207" i="34"/>
  <c r="J246" i="5"/>
  <c r="J239" i="5"/>
  <c r="H239" i="5" s="1"/>
  <c r="N239" i="5" s="1"/>
  <c r="J237" i="5"/>
  <c r="H237" i="5" s="1"/>
  <c r="N237" i="5" s="1"/>
  <c r="N25" i="34"/>
  <c r="J236" i="5"/>
  <c r="H236" i="5" s="1"/>
  <c r="N236" i="5" s="1"/>
  <c r="N2" i="34"/>
  <c r="J175" i="33"/>
  <c r="L253" i="5" s="1"/>
  <c r="N85" i="33"/>
  <c r="J244" i="5" s="1"/>
  <c r="I1563" i="34"/>
  <c r="K319" i="5" s="1"/>
  <c r="H319" i="5" s="1"/>
  <c r="N319" i="5" s="1"/>
  <c r="I1523" i="34"/>
  <c r="K317" i="5" s="1"/>
  <c r="N1402" i="34"/>
  <c r="N1405" i="34" s="1"/>
  <c r="J311" i="5"/>
  <c r="H311" i="5" s="1"/>
  <c r="N311" i="5" s="1"/>
  <c r="H313" i="5"/>
  <c r="N313" i="5" s="1"/>
  <c r="N1310" i="34"/>
  <c r="N1313" i="34" s="1"/>
  <c r="K306" i="5"/>
  <c r="I1417" i="34"/>
  <c r="K311" i="5" s="1"/>
  <c r="H250" i="5"/>
  <c r="N250" i="5" s="1"/>
  <c r="J475" i="33"/>
  <c r="L295" i="5" s="1"/>
  <c r="H316" i="5"/>
  <c r="N316" i="5" s="1"/>
  <c r="N1442" i="34"/>
  <c r="N1445" i="34" s="1"/>
  <c r="N1232" i="34"/>
  <c r="N1235" i="34" s="1"/>
  <c r="J302" i="5"/>
  <c r="H302" i="5" s="1"/>
  <c r="N302" i="5" s="1"/>
  <c r="N1004" i="34"/>
  <c r="N1007" i="34" s="1"/>
  <c r="K289" i="5"/>
  <c r="H289" i="5" s="1"/>
  <c r="N289" i="5" s="1"/>
  <c r="N886" i="34"/>
  <c r="J281" i="5"/>
  <c r="H281" i="5" s="1"/>
  <c r="N281" i="5" s="1"/>
  <c r="N54" i="34"/>
  <c r="C12" i="33" s="1"/>
  <c r="E12" i="33" s="1"/>
  <c r="J238" i="5"/>
  <c r="H238" i="5" s="1"/>
  <c r="N238" i="5" s="1"/>
  <c r="N1213" i="34"/>
  <c r="N1216" i="34" s="1"/>
  <c r="J301" i="5"/>
  <c r="H301" i="5" s="1"/>
  <c r="N301" i="5" s="1"/>
  <c r="H255" i="5"/>
  <c r="N255" i="5" s="1"/>
  <c r="N1508" i="34"/>
  <c r="N1511" i="34" s="1"/>
  <c r="J317" i="5"/>
  <c r="I1375" i="34"/>
  <c r="K309" i="5" s="1"/>
  <c r="N943" i="34"/>
  <c r="I422" i="33"/>
  <c r="K288" i="5" s="1"/>
  <c r="N739" i="34"/>
  <c r="F85" i="34"/>
  <c r="I85" i="34" s="1"/>
  <c r="I86" i="34" s="1"/>
  <c r="K239" i="5" s="1"/>
  <c r="N633" i="34"/>
  <c r="N636" i="34" s="1"/>
  <c r="K267" i="5"/>
  <c r="N451" i="34"/>
  <c r="K258" i="5"/>
  <c r="H258" i="5" s="1"/>
  <c r="N258" i="5" s="1"/>
  <c r="I110" i="33"/>
  <c r="K244" i="5" s="1"/>
  <c r="N1422" i="34"/>
  <c r="N1425" i="34" s="1"/>
  <c r="J312" i="5"/>
  <c r="H312" i="5" s="1"/>
  <c r="N312" i="5" s="1"/>
  <c r="N1380" i="34"/>
  <c r="N1383" i="34" s="1"/>
  <c r="J310" i="5"/>
  <c r="H310" i="5" s="1"/>
  <c r="N310" i="5" s="1"/>
  <c r="J115" i="33"/>
  <c r="L244" i="5" s="1"/>
  <c r="J236" i="33"/>
  <c r="L262" i="5" s="1"/>
  <c r="N454" i="33"/>
  <c r="J295" i="5" s="1"/>
  <c r="J55" i="33"/>
  <c r="L235" i="5" s="1"/>
  <c r="I468" i="33"/>
  <c r="K295" i="5" s="1"/>
  <c r="J278" i="33"/>
  <c r="L271" i="5" s="1"/>
  <c r="H271" i="5" s="1"/>
  <c r="N271" i="5" s="1"/>
  <c r="N145" i="33"/>
  <c r="J253" i="5" s="1"/>
  <c r="N24" i="33"/>
  <c r="J235" i="5" s="1"/>
  <c r="N657" i="34"/>
  <c r="C196" i="33"/>
  <c r="E196" i="33" s="1"/>
  <c r="J430" i="33"/>
  <c r="L288" i="5" s="1"/>
  <c r="N454" i="34"/>
  <c r="C135" i="33"/>
  <c r="E135" i="33" s="1"/>
  <c r="N908" i="34"/>
  <c r="C299" i="33"/>
  <c r="E299" i="33" s="1"/>
  <c r="N861" i="34"/>
  <c r="N803" i="34"/>
  <c r="C294" i="33"/>
  <c r="E294" i="33" s="1"/>
  <c r="N475" i="34"/>
  <c r="C136" i="33"/>
  <c r="E136" i="33" s="1"/>
  <c r="C78" i="33"/>
  <c r="E78" i="33" s="1"/>
  <c r="N236" i="34"/>
  <c r="C73" i="33"/>
  <c r="E73" i="33" s="1"/>
  <c r="N5" i="34"/>
  <c r="C10" i="33"/>
  <c r="E10" i="33" s="1"/>
  <c r="I49" i="33"/>
  <c r="K235" i="5" s="1"/>
  <c r="C255" i="33"/>
  <c r="E255" i="33" s="1"/>
  <c r="N782" i="34"/>
  <c r="N545" i="34"/>
  <c r="C191" i="33"/>
  <c r="E191" i="33" s="1"/>
  <c r="N293" i="34"/>
  <c r="J376" i="33"/>
  <c r="L283" i="5" s="1"/>
  <c r="H283" i="5" s="1"/>
  <c r="N283" i="5" s="1"/>
  <c r="N823" i="34"/>
  <c r="C295" i="33"/>
  <c r="E295" i="33" s="1"/>
  <c r="C193" i="33"/>
  <c r="E193" i="33" s="1"/>
  <c r="N597" i="34"/>
  <c r="N433" i="34"/>
  <c r="C134" i="33"/>
  <c r="E134" i="33" s="1"/>
  <c r="I324" i="33"/>
  <c r="I170" i="33"/>
  <c r="K253" i="5" s="1"/>
  <c r="N889" i="34"/>
  <c r="C298" i="33"/>
  <c r="E298" i="33" s="1"/>
  <c r="N138" i="34"/>
  <c r="C16" i="33"/>
  <c r="E16" i="33" s="1"/>
  <c r="J332" i="33"/>
  <c r="I1481" i="34"/>
  <c r="N958" i="34"/>
  <c r="N568" i="34"/>
  <c r="C192" i="33"/>
  <c r="E192" i="33" s="1"/>
  <c r="N317" i="34"/>
  <c r="C77" i="33"/>
  <c r="E77" i="33" s="1"/>
  <c r="C15" i="33"/>
  <c r="E15" i="33" s="1"/>
  <c r="N117" i="34"/>
  <c r="I230" i="33"/>
  <c r="C194" i="33"/>
  <c r="E194" i="33" s="1"/>
  <c r="N1528" i="34"/>
  <c r="N1531" i="34" s="1"/>
  <c r="N1486" i="34"/>
  <c r="N1489" i="34" s="1"/>
  <c r="N1068" i="34"/>
  <c r="C395" i="33"/>
  <c r="E395" i="33" s="1"/>
  <c r="N1048" i="34"/>
  <c r="C394" i="33"/>
  <c r="E394" i="33" s="1"/>
  <c r="C252" i="33"/>
  <c r="E252" i="33" s="1"/>
  <c r="N727" i="34"/>
  <c r="N386" i="34"/>
  <c r="N366" i="34"/>
  <c r="N275" i="34"/>
  <c r="N93" i="34"/>
  <c r="N57" i="34"/>
  <c r="F491" i="33"/>
  <c r="B491" i="33"/>
  <c r="D491" i="33"/>
  <c r="H288" i="5" l="1"/>
  <c r="N288" i="5" s="1"/>
  <c r="H244" i="5"/>
  <c r="N244" i="5" s="1"/>
  <c r="C195" i="33"/>
  <c r="E195" i="33" s="1"/>
  <c r="C253" i="33"/>
  <c r="E253" i="33" s="1"/>
  <c r="N742" i="34"/>
  <c r="C138" i="33"/>
  <c r="E138" i="33" s="1"/>
  <c r="N520" i="34"/>
  <c r="C397" i="33"/>
  <c r="E397" i="33" s="1"/>
  <c r="N1112" i="34"/>
  <c r="H309" i="5"/>
  <c r="N309" i="5" s="1"/>
  <c r="N931" i="34"/>
  <c r="C348" i="33"/>
  <c r="E348" i="33" s="1"/>
  <c r="N986" i="34"/>
  <c r="C351" i="33"/>
  <c r="E351" i="33" s="1"/>
  <c r="N1462" i="34"/>
  <c r="N1465" i="34" s="1"/>
  <c r="K315" i="5"/>
  <c r="H315" i="5" s="1"/>
  <c r="N315" i="5" s="1"/>
  <c r="N187" i="34"/>
  <c r="N210" i="34"/>
  <c r="C72" i="33"/>
  <c r="E72" i="33" s="1"/>
  <c r="N1177" i="34"/>
  <c r="C448" i="33"/>
  <c r="E448" i="33" s="1"/>
  <c r="N1356" i="34"/>
  <c r="N1359" i="34" s="1"/>
  <c r="C254" i="33"/>
  <c r="E254" i="33" s="1"/>
  <c r="N757" i="34"/>
  <c r="N702" i="34"/>
  <c r="C198" i="33"/>
  <c r="E198" i="33" s="1"/>
  <c r="N1548" i="34"/>
  <c r="N1551" i="34" s="1"/>
  <c r="C74" i="33"/>
  <c r="E74" i="33" s="1"/>
  <c r="N254" i="34"/>
  <c r="N496" i="34"/>
  <c r="C137" i="33"/>
  <c r="E137" i="33" s="1"/>
  <c r="N1027" i="34"/>
  <c r="C393" i="33"/>
  <c r="E393" i="33" s="1"/>
  <c r="C296" i="33"/>
  <c r="E296" i="33" s="1"/>
  <c r="N844" i="34"/>
  <c r="C392" i="33"/>
  <c r="E392" i="33" s="1"/>
  <c r="C349" i="33"/>
  <c r="E349" i="33" s="1"/>
  <c r="N946" i="34"/>
  <c r="N415" i="34"/>
  <c r="C133" i="33"/>
  <c r="E133" i="33" s="1"/>
  <c r="N28" i="34"/>
  <c r="C11" i="33"/>
  <c r="E11" i="33" s="1"/>
  <c r="N678" i="34"/>
  <c r="C197" i="33"/>
  <c r="E197" i="33" s="1"/>
  <c r="H241" i="5"/>
  <c r="N241" i="5" s="1"/>
  <c r="C396" i="33"/>
  <c r="E396" i="33" s="1"/>
  <c r="N1093" i="34"/>
  <c r="N1158" i="34"/>
  <c r="C447" i="33"/>
  <c r="E447" i="33" s="1"/>
  <c r="N72" i="34"/>
  <c r="H317" i="5"/>
  <c r="N317" i="5" s="1"/>
  <c r="N162" i="34"/>
  <c r="C17" i="33"/>
  <c r="E17" i="33" s="1"/>
  <c r="N1135" i="34"/>
  <c r="C446" i="33"/>
  <c r="E446" i="33" s="1"/>
  <c r="K262" i="5"/>
  <c r="H262" i="5" s="1"/>
  <c r="N262" i="5" s="1"/>
  <c r="H235" i="5"/>
  <c r="N235" i="5" s="1"/>
  <c r="L276" i="5"/>
  <c r="K276" i="5"/>
  <c r="H253" i="5"/>
  <c r="N253" i="5" s="1"/>
  <c r="H295" i="5"/>
  <c r="N295" i="5" s="1"/>
  <c r="N96" i="34"/>
  <c r="C14" i="33"/>
  <c r="E14" i="33" s="1"/>
  <c r="N864" i="34"/>
  <c r="C297" i="33"/>
  <c r="E297" i="33" s="1"/>
  <c r="C132" i="33"/>
  <c r="E132" i="33" s="1"/>
  <c r="N389" i="34"/>
  <c r="N961" i="34"/>
  <c r="C350" i="33"/>
  <c r="E350" i="33" s="1"/>
  <c r="C76" i="33"/>
  <c r="E76" i="33" s="1"/>
  <c r="N296" i="34"/>
  <c r="F492" i="33"/>
  <c r="C491" i="33"/>
  <c r="D492" i="33"/>
  <c r="E256" i="33" l="1"/>
  <c r="N244" i="33" s="1"/>
  <c r="N247" i="33" s="1"/>
  <c r="E398" i="33"/>
  <c r="N384" i="33" s="1"/>
  <c r="N387" i="33" s="1"/>
  <c r="E139" i="33"/>
  <c r="N123" i="33" s="1"/>
  <c r="N126" i="33" s="1"/>
  <c r="E79" i="33"/>
  <c r="N63" i="33" s="1"/>
  <c r="N66" i="33" s="1"/>
  <c r="E199" i="33"/>
  <c r="N183" i="33" s="1"/>
  <c r="N186" i="33" s="1"/>
  <c r="E300" i="33"/>
  <c r="N286" i="33" s="1"/>
  <c r="N289" i="33" s="1"/>
  <c r="E491" i="33"/>
  <c r="E449" i="33"/>
  <c r="N438" i="33" s="1"/>
  <c r="N441" i="33" s="1"/>
  <c r="E352" i="33"/>
  <c r="N340" i="33" s="1"/>
  <c r="N343" i="33" s="1"/>
  <c r="N75" i="34"/>
  <c r="C13" i="33"/>
  <c r="E13" i="33" s="1"/>
  <c r="E18" i="33" s="1"/>
  <c r="N2" i="33" s="1"/>
  <c r="N5" i="33" s="1"/>
  <c r="H276" i="5"/>
  <c r="N276" i="5" s="1"/>
  <c r="F493" i="33"/>
  <c r="B492" i="33"/>
  <c r="C492" i="33"/>
  <c r="C493" i="33"/>
  <c r="E492" i="33" l="1"/>
  <c r="F494" i="33"/>
  <c r="B493" i="33"/>
  <c r="D493" i="33"/>
  <c r="D494" i="33"/>
  <c r="E493" i="33" l="1"/>
  <c r="F495" i="33"/>
  <c r="B495" i="33"/>
  <c r="B494" i="33"/>
  <c r="C494" i="33"/>
  <c r="E494" i="33" l="1"/>
  <c r="F496" i="33"/>
  <c r="C495" i="33"/>
  <c r="D496" i="33"/>
  <c r="D495" i="33"/>
  <c r="E495" i="33" l="1"/>
  <c r="F497" i="33"/>
  <c r="N502" i="33"/>
  <c r="N503" i="33" s="1"/>
  <c r="J299" i="5" s="1"/>
  <c r="I506" i="33"/>
  <c r="I507" i="33"/>
  <c r="I508" i="33"/>
  <c r="I509" i="33"/>
  <c r="I510" i="33"/>
  <c r="I511" i="33"/>
  <c r="I512" i="33"/>
  <c r="I513" i="33"/>
  <c r="I514" i="33"/>
  <c r="I515" i="33"/>
  <c r="I516" i="33"/>
  <c r="I517" i="33"/>
  <c r="I518" i="33"/>
  <c r="I519" i="33"/>
  <c r="I520" i="33"/>
  <c r="I521" i="33"/>
  <c r="D525" i="33"/>
  <c r="J525" i="33" s="1"/>
  <c r="D526" i="33"/>
  <c r="J526" i="33" s="1"/>
  <c r="J527" i="33"/>
  <c r="D528" i="33"/>
  <c r="J528" i="33" s="1"/>
  <c r="D529" i="33"/>
  <c r="J529" i="33" s="1"/>
  <c r="I533" i="33"/>
  <c r="I534" i="33"/>
  <c r="B547" i="33"/>
  <c r="C547" i="33"/>
  <c r="D547" i="33"/>
  <c r="B548" i="33"/>
  <c r="C548" i="33"/>
  <c r="D548" i="33"/>
  <c r="B549" i="33"/>
  <c r="C549" i="33"/>
  <c r="D549" i="33"/>
  <c r="B550" i="33"/>
  <c r="C550" i="33"/>
  <c r="D550" i="33"/>
  <c r="B551" i="33"/>
  <c r="C551" i="33"/>
  <c r="D551" i="33"/>
  <c r="B552" i="33"/>
  <c r="C552" i="33"/>
  <c r="D552" i="33"/>
  <c r="I557" i="33"/>
  <c r="I558" i="33"/>
  <c r="I559" i="33"/>
  <c r="I560" i="33"/>
  <c r="I561" i="33"/>
  <c r="I562" i="33"/>
  <c r="I563" i="33"/>
  <c r="I564" i="33"/>
  <c r="I565" i="33"/>
  <c r="I566" i="33"/>
  <c r="I567" i="33"/>
  <c r="I568" i="33"/>
  <c r="J573" i="33"/>
  <c r="J574" i="33"/>
  <c r="J575" i="33"/>
  <c r="J576" i="33"/>
  <c r="J577" i="33"/>
  <c r="J578" i="33"/>
  <c r="J579" i="33"/>
  <c r="B592" i="33"/>
  <c r="C592" i="33"/>
  <c r="D592" i="33"/>
  <c r="B593" i="33"/>
  <c r="C593" i="33"/>
  <c r="D593" i="33"/>
  <c r="B594" i="33"/>
  <c r="C594" i="33"/>
  <c r="D594" i="33"/>
  <c r="B595" i="33"/>
  <c r="C595" i="33"/>
  <c r="D595" i="33"/>
  <c r="B596" i="33"/>
  <c r="C596" i="33"/>
  <c r="D596" i="33"/>
  <c r="I601" i="33"/>
  <c r="I602" i="33"/>
  <c r="I603" i="33"/>
  <c r="I604" i="33"/>
  <c r="I605" i="33"/>
  <c r="I606" i="33"/>
  <c r="I607" i="33"/>
  <c r="I608" i="33"/>
  <c r="I609" i="33"/>
  <c r="J614" i="33"/>
  <c r="J615" i="33"/>
  <c r="J616" i="33"/>
  <c r="J617" i="33"/>
  <c r="J618" i="33"/>
  <c r="J619" i="33"/>
  <c r="C497" i="33"/>
  <c r="D497" i="33"/>
  <c r="C496" i="33"/>
  <c r="B496" i="33"/>
  <c r="B497" i="33"/>
  <c r="I570" i="33" l="1"/>
  <c r="K307" i="5" s="1"/>
  <c r="I611" i="33"/>
  <c r="K314" i="5" s="1"/>
  <c r="E595" i="33"/>
  <c r="E496" i="33"/>
  <c r="E596" i="33"/>
  <c r="E550" i="33"/>
  <c r="E592" i="33"/>
  <c r="J580" i="33"/>
  <c r="L307" i="5" s="1"/>
  <c r="E547" i="33"/>
  <c r="J320" i="5"/>
  <c r="E594" i="33"/>
  <c r="E552" i="33"/>
  <c r="E548" i="33"/>
  <c r="J620" i="33"/>
  <c r="L314" i="5" s="1"/>
  <c r="E593" i="33"/>
  <c r="E551" i="33"/>
  <c r="E549" i="33"/>
  <c r="I535" i="33"/>
  <c r="M299" i="5" s="1"/>
  <c r="M320" i="5" s="1"/>
  <c r="I522" i="33"/>
  <c r="K299" i="5" s="1"/>
  <c r="E497" i="33"/>
  <c r="J530" i="33"/>
  <c r="L299" i="5" s="1"/>
  <c r="H307" i="5" l="1"/>
  <c r="N307" i="5" s="1"/>
  <c r="E553" i="33"/>
  <c r="N539" i="33" s="1"/>
  <c r="N542" i="33" s="1"/>
  <c r="E498" i="33"/>
  <c r="N483" i="33" s="1"/>
  <c r="N486" i="33" s="1"/>
  <c r="E597" i="33"/>
  <c r="N584" i="33" s="1"/>
  <c r="N587" i="33" s="1"/>
  <c r="L320" i="5"/>
  <c r="K320" i="5"/>
  <c r="H314" i="5"/>
  <c r="N314" i="5" s="1"/>
  <c r="H299" i="5"/>
  <c r="N299" i="5" s="1"/>
  <c r="C186" i="5"/>
  <c r="N320" i="5" l="1"/>
  <c r="J319" i="23"/>
  <c r="J54" i="23"/>
  <c r="J79" i="23" l="1"/>
  <c r="N79" i="23" l="1"/>
  <c r="J136" i="23"/>
  <c r="J117" i="23"/>
  <c r="J155" i="23"/>
  <c r="N32" i="23"/>
  <c r="N793" i="23"/>
  <c r="F204" i="5" l="1"/>
  <c r="F203" i="5"/>
  <c r="F202" i="5"/>
  <c r="F201" i="5"/>
  <c r="E203" i="5" s="1"/>
  <c r="F200" i="5"/>
  <c r="F199" i="5"/>
  <c r="E200" i="5" s="1"/>
  <c r="F198" i="5"/>
  <c r="F197" i="5"/>
  <c r="F196" i="5"/>
  <c r="F195" i="5"/>
  <c r="E198" i="5" s="1"/>
  <c r="F194" i="5"/>
  <c r="F193" i="5"/>
  <c r="E194" i="5" s="1"/>
  <c r="F192" i="5"/>
  <c r="F191" i="5"/>
  <c r="F190" i="5"/>
  <c r="F189" i="5"/>
  <c r="F188" i="5"/>
  <c r="F187" i="5"/>
  <c r="F186" i="5"/>
  <c r="F185" i="5"/>
  <c r="E192" i="5" s="1"/>
  <c r="I204" i="5"/>
  <c r="C204" i="5"/>
  <c r="I203" i="5"/>
  <c r="C203" i="5"/>
  <c r="I202" i="5"/>
  <c r="C202" i="5"/>
  <c r="I201" i="5"/>
  <c r="C201" i="5"/>
  <c r="I200" i="5"/>
  <c r="C200" i="5"/>
  <c r="I199" i="5"/>
  <c r="C199" i="5"/>
  <c r="I198" i="5"/>
  <c r="C198" i="5"/>
  <c r="I197" i="5"/>
  <c r="C197" i="5"/>
  <c r="I196" i="5"/>
  <c r="C196" i="5"/>
  <c r="I195" i="5"/>
  <c r="C195" i="5"/>
  <c r="I194" i="5"/>
  <c r="C194" i="5"/>
  <c r="I193" i="5"/>
  <c r="C193" i="5"/>
  <c r="I192" i="5"/>
  <c r="C192" i="5"/>
  <c r="I191" i="5"/>
  <c r="C191" i="5"/>
  <c r="I190" i="5"/>
  <c r="C190" i="5"/>
  <c r="I189" i="5"/>
  <c r="C189" i="5"/>
  <c r="I188" i="5"/>
  <c r="C188" i="5"/>
  <c r="I187" i="5"/>
  <c r="C187" i="5"/>
  <c r="I186" i="5"/>
  <c r="I185" i="5"/>
  <c r="C185" i="5"/>
  <c r="E202" i="5" l="1"/>
  <c r="E204" i="5"/>
  <c r="E186" i="5"/>
  <c r="E187" i="5"/>
  <c r="E188" i="5"/>
  <c r="E189" i="5"/>
  <c r="E190" i="5"/>
  <c r="E191" i="5"/>
  <c r="E196" i="5"/>
  <c r="E197" i="5"/>
  <c r="B1" i="32" l="1"/>
  <c r="G1" i="32"/>
  <c r="B14" i="32"/>
  <c r="G14" i="32"/>
  <c r="B27" i="32"/>
  <c r="G27" i="32"/>
  <c r="B40" i="32"/>
  <c r="G40" i="32"/>
  <c r="B58" i="32"/>
  <c r="G58" i="32"/>
  <c r="B76" i="32"/>
  <c r="G76" i="32"/>
  <c r="B94" i="32"/>
  <c r="B4" i="31"/>
  <c r="J11" i="31"/>
  <c r="N11" i="31" s="1"/>
  <c r="N12" i="31" s="1"/>
  <c r="J186" i="5" s="1"/>
  <c r="I15" i="31"/>
  <c r="I16" i="31"/>
  <c r="I17" i="31"/>
  <c r="I18" i="31"/>
  <c r="B32" i="31"/>
  <c r="J39" i="31"/>
  <c r="N39" i="31" s="1"/>
  <c r="N40" i="31" s="1"/>
  <c r="J187" i="5" s="1"/>
  <c r="I43" i="31"/>
  <c r="I44" i="31"/>
  <c r="I45" i="31"/>
  <c r="I46" i="31"/>
  <c r="B57" i="31"/>
  <c r="J64" i="31"/>
  <c r="N64" i="31" s="1"/>
  <c r="N65" i="31" s="1"/>
  <c r="I68" i="31"/>
  <c r="I69" i="31"/>
  <c r="I70" i="31"/>
  <c r="I71" i="31"/>
  <c r="B82" i="31"/>
  <c r="J89" i="31"/>
  <c r="N89" i="31" s="1"/>
  <c r="N90" i="31" s="1"/>
  <c r="I93" i="31"/>
  <c r="I94" i="31"/>
  <c r="I95" i="31"/>
  <c r="B106" i="31"/>
  <c r="J113" i="31"/>
  <c r="N113" i="31" s="1"/>
  <c r="N114" i="31" s="1"/>
  <c r="J190" i="5" s="1"/>
  <c r="I117" i="31"/>
  <c r="I118" i="31"/>
  <c r="I119" i="31"/>
  <c r="I120" i="31"/>
  <c r="B132" i="31"/>
  <c r="J139" i="31"/>
  <c r="N139" i="31" s="1"/>
  <c r="N140" i="31" s="1"/>
  <c r="I143" i="31"/>
  <c r="I144" i="31"/>
  <c r="I145" i="31"/>
  <c r="I146" i="31"/>
  <c r="B157" i="31"/>
  <c r="J164" i="31"/>
  <c r="N164" i="31" s="1"/>
  <c r="N165" i="31" s="1"/>
  <c r="I168" i="31"/>
  <c r="I169" i="31"/>
  <c r="B180" i="31"/>
  <c r="J187" i="31"/>
  <c r="N187" i="31" s="1"/>
  <c r="N188" i="31" s="1"/>
  <c r="I191" i="31"/>
  <c r="I192" i="31"/>
  <c r="B203" i="31"/>
  <c r="J210" i="31"/>
  <c r="N210" i="31" s="1"/>
  <c r="N211" i="31" s="1"/>
  <c r="J196" i="5" s="1"/>
  <c r="I214" i="31"/>
  <c r="I215" i="31"/>
  <c r="I216" i="31"/>
  <c r="I217" i="31"/>
  <c r="B229" i="31"/>
  <c r="J236" i="31"/>
  <c r="N236" i="31" s="1"/>
  <c r="N237" i="31" s="1"/>
  <c r="I240" i="31"/>
  <c r="I242" i="31" s="1"/>
  <c r="K197" i="5" s="1"/>
  <c r="I241" i="31"/>
  <c r="B253" i="31"/>
  <c r="J260" i="31"/>
  <c r="N260" i="31"/>
  <c r="N261" i="31" s="1"/>
  <c r="I264" i="31"/>
  <c r="I265" i="31"/>
  <c r="I266" i="31"/>
  <c r="K198" i="5" s="1"/>
  <c r="B277" i="31"/>
  <c r="N284" i="31"/>
  <c r="N285" i="31"/>
  <c r="I289" i="31"/>
  <c r="I290" i="31" s="1"/>
  <c r="B296" i="31"/>
  <c r="N303" i="31"/>
  <c r="N304" i="31"/>
  <c r="N305" i="31"/>
  <c r="I309" i="31"/>
  <c r="I310" i="31"/>
  <c r="I311" i="31"/>
  <c r="I312" i="31"/>
  <c r="I313" i="31"/>
  <c r="I314" i="31"/>
  <c r="F315" i="31"/>
  <c r="I315" i="31" s="1"/>
  <c r="I316" i="31"/>
  <c r="I320" i="31"/>
  <c r="I321" i="31" s="1"/>
  <c r="M202" i="5" s="1"/>
  <c r="B327" i="31"/>
  <c r="J334" i="31"/>
  <c r="N334" i="31" s="1"/>
  <c r="N335" i="31" s="1"/>
  <c r="I338" i="31"/>
  <c r="I339" i="31"/>
  <c r="I340" i="31"/>
  <c r="B351" i="31"/>
  <c r="J358" i="31"/>
  <c r="N358" i="31" s="1"/>
  <c r="N359" i="31" s="1"/>
  <c r="I362" i="31"/>
  <c r="I363" i="31"/>
  <c r="I364" i="31"/>
  <c r="I365" i="31"/>
  <c r="B10" i="30"/>
  <c r="D10" i="30"/>
  <c r="B11" i="30"/>
  <c r="D11" i="30"/>
  <c r="B12" i="30"/>
  <c r="D12" i="30"/>
  <c r="B13" i="30"/>
  <c r="D13" i="30"/>
  <c r="B14" i="30"/>
  <c r="D14" i="30"/>
  <c r="B15" i="30"/>
  <c r="D15" i="30"/>
  <c r="B16" i="30"/>
  <c r="D16" i="30"/>
  <c r="N20" i="30"/>
  <c r="N21" i="30"/>
  <c r="I25" i="30"/>
  <c r="I26" i="30"/>
  <c r="I27" i="30"/>
  <c r="I28" i="30"/>
  <c r="I29" i="30"/>
  <c r="I30" i="30"/>
  <c r="I31" i="30"/>
  <c r="I32" i="30"/>
  <c r="I33" i="30"/>
  <c r="I34" i="30"/>
  <c r="I35" i="30"/>
  <c r="I36" i="30"/>
  <c r="I37" i="30"/>
  <c r="I41" i="30"/>
  <c r="J41" i="30" s="1"/>
  <c r="J42" i="30" s="1"/>
  <c r="L185" i="5" s="1"/>
  <c r="I45" i="30"/>
  <c r="I46" i="30" s="1"/>
  <c r="M185" i="5" s="1"/>
  <c r="B58" i="30"/>
  <c r="D58" i="30"/>
  <c r="N62" i="30"/>
  <c r="N63" i="30"/>
  <c r="N64" i="30"/>
  <c r="N65" i="30"/>
  <c r="N66" i="30"/>
  <c r="I70" i="30"/>
  <c r="I71" i="30"/>
  <c r="I72" i="30"/>
  <c r="I73" i="30"/>
  <c r="I74" i="30"/>
  <c r="I75" i="30"/>
  <c r="I76" i="30"/>
  <c r="I77" i="30"/>
  <c r="I78" i="30"/>
  <c r="J82" i="30"/>
  <c r="J83" i="30"/>
  <c r="J84" i="30"/>
  <c r="I88" i="30"/>
  <c r="I89" i="30" s="1"/>
  <c r="M193" i="5" s="1"/>
  <c r="B101" i="30"/>
  <c r="D101" i="30"/>
  <c r="B102" i="30"/>
  <c r="D102" i="30"/>
  <c r="B103" i="30"/>
  <c r="D103" i="30"/>
  <c r="N107" i="30"/>
  <c r="N108" i="30"/>
  <c r="N109" i="30"/>
  <c r="N110" i="30"/>
  <c r="I114" i="30"/>
  <c r="I115" i="30"/>
  <c r="I116" i="30"/>
  <c r="I117" i="30"/>
  <c r="I118" i="30"/>
  <c r="I119" i="30"/>
  <c r="I120" i="30"/>
  <c r="I121" i="30"/>
  <c r="I122" i="30"/>
  <c r="I123" i="30"/>
  <c r="I124" i="30"/>
  <c r="I125" i="30"/>
  <c r="I126" i="30"/>
  <c r="I127" i="30"/>
  <c r="J131" i="30"/>
  <c r="J134" i="30" s="1"/>
  <c r="L195" i="5" s="1"/>
  <c r="J132" i="30"/>
  <c r="J133" i="30"/>
  <c r="I137" i="30"/>
  <c r="I138" i="30"/>
  <c r="M195" i="5" s="1"/>
  <c r="B150" i="30"/>
  <c r="D150" i="30"/>
  <c r="I154" i="30"/>
  <c r="I156" i="30" s="1"/>
  <c r="K199" i="5" s="1"/>
  <c r="I155" i="30"/>
  <c r="J159" i="30"/>
  <c r="J160" i="30" s="1"/>
  <c r="L199" i="5" s="1"/>
  <c r="B172" i="30"/>
  <c r="D172" i="30"/>
  <c r="B173" i="30"/>
  <c r="D173" i="30"/>
  <c r="B174" i="30"/>
  <c r="D174" i="30"/>
  <c r="N178" i="30"/>
  <c r="N179" i="30"/>
  <c r="N180" i="30"/>
  <c r="I184" i="30"/>
  <c r="I185" i="30"/>
  <c r="I186" i="30"/>
  <c r="I187" i="30"/>
  <c r="I188" i="30"/>
  <c r="I189" i="30"/>
  <c r="I190" i="30"/>
  <c r="I191" i="30"/>
  <c r="J195" i="30"/>
  <c r="J196" i="30"/>
  <c r="J197" i="30"/>
  <c r="I201" i="30"/>
  <c r="I202" i="30" s="1"/>
  <c r="M201" i="5" s="1"/>
  <c r="I193" i="31" l="1"/>
  <c r="I147" i="31"/>
  <c r="K191" i="5" s="1"/>
  <c r="I341" i="31"/>
  <c r="K203" i="5" s="1"/>
  <c r="I128" i="30"/>
  <c r="K195" i="5" s="1"/>
  <c r="I72" i="31"/>
  <c r="K188" i="5" s="1"/>
  <c r="I170" i="31"/>
  <c r="K192" i="5" s="1"/>
  <c r="N111" i="30"/>
  <c r="J195" i="5" s="1"/>
  <c r="H195" i="5" s="1"/>
  <c r="N195" i="5" s="1"/>
  <c r="I47" i="31"/>
  <c r="K187" i="5" s="1"/>
  <c r="H187" i="5" s="1"/>
  <c r="N187" i="5" s="1"/>
  <c r="H199" i="5"/>
  <c r="N199" i="5" s="1"/>
  <c r="I96" i="31"/>
  <c r="K189" i="5" s="1"/>
  <c r="N325" i="31"/>
  <c r="J203" i="5"/>
  <c r="H203" i="5" s="1"/>
  <c r="N203" i="5" s="1"/>
  <c r="N251" i="31"/>
  <c r="J198" i="5"/>
  <c r="H198" i="5" s="1"/>
  <c r="N198" i="5" s="1"/>
  <c r="N306" i="31"/>
  <c r="J192" i="5"/>
  <c r="M205" i="5"/>
  <c r="N22" i="30"/>
  <c r="J185" i="5" s="1"/>
  <c r="N227" i="31"/>
  <c r="N230" i="31" s="1"/>
  <c r="J197" i="5"/>
  <c r="H197" i="5" s="1"/>
  <c r="N197" i="5" s="1"/>
  <c r="I192" i="30"/>
  <c r="K201" i="5" s="1"/>
  <c r="I366" i="31"/>
  <c r="K204" i="5" s="1"/>
  <c r="I121" i="31"/>
  <c r="K190" i="5" s="1"/>
  <c r="H190" i="5" s="1"/>
  <c r="N190" i="5" s="1"/>
  <c r="J198" i="30"/>
  <c r="L201" i="5" s="1"/>
  <c r="N80" i="31"/>
  <c r="C13" i="30" s="1"/>
  <c r="E13" i="30" s="1"/>
  <c r="J189" i="5"/>
  <c r="I218" i="31"/>
  <c r="K196" i="5" s="1"/>
  <c r="H196" i="5" s="1"/>
  <c r="N196" i="5" s="1"/>
  <c r="K194" i="5"/>
  <c r="K200" i="5"/>
  <c r="N55" i="31"/>
  <c r="J188" i="5"/>
  <c r="H188" i="5" s="1"/>
  <c r="N188" i="5" s="1"/>
  <c r="N67" i="30"/>
  <c r="J193" i="5" s="1"/>
  <c r="N178" i="31"/>
  <c r="N181" i="31" s="1"/>
  <c r="J200" i="5"/>
  <c r="J194" i="5"/>
  <c r="N286" i="31"/>
  <c r="N275" i="31" s="1"/>
  <c r="C150" i="30" s="1"/>
  <c r="E150" i="30" s="1"/>
  <c r="E151" i="30" s="1"/>
  <c r="N142" i="30" s="1"/>
  <c r="N145" i="30" s="1"/>
  <c r="N181" i="30"/>
  <c r="J201" i="5" s="1"/>
  <c r="J85" i="30"/>
  <c r="L193" i="5" s="1"/>
  <c r="I38" i="30"/>
  <c r="K185" i="5" s="1"/>
  <c r="N349" i="31"/>
  <c r="N352" i="31" s="1"/>
  <c r="J204" i="5"/>
  <c r="I79" i="30"/>
  <c r="K193" i="5" s="1"/>
  <c r="I317" i="31"/>
  <c r="K202" i="5" s="1"/>
  <c r="N130" i="31"/>
  <c r="N133" i="31" s="1"/>
  <c r="J191" i="5"/>
  <c r="H191" i="5" s="1"/>
  <c r="N191" i="5" s="1"/>
  <c r="I19" i="31"/>
  <c r="K186" i="5" s="1"/>
  <c r="H186" i="5" s="1"/>
  <c r="N186" i="5" s="1"/>
  <c r="N83" i="31"/>
  <c r="N328" i="31"/>
  <c r="C173" i="30"/>
  <c r="E173" i="30" s="1"/>
  <c r="N278" i="31"/>
  <c r="N104" i="31"/>
  <c r="N30" i="31"/>
  <c r="N2" i="31"/>
  <c r="N254" i="31"/>
  <c r="C103" i="30"/>
  <c r="E103" i="30" s="1"/>
  <c r="C174" i="30"/>
  <c r="E174" i="30" s="1"/>
  <c r="C15" i="30"/>
  <c r="E15" i="30" s="1"/>
  <c r="C12" i="30"/>
  <c r="E12" i="30" s="1"/>
  <c r="N58" i="31"/>
  <c r="N201" i="31" l="1"/>
  <c r="C102" i="30"/>
  <c r="E102" i="30" s="1"/>
  <c r="H192" i="5"/>
  <c r="N192" i="5" s="1"/>
  <c r="N155" i="31"/>
  <c r="N158" i="31" s="1"/>
  <c r="L205" i="5"/>
  <c r="H204" i="5"/>
  <c r="N204" i="5" s="1"/>
  <c r="H193" i="5"/>
  <c r="N193" i="5" s="1"/>
  <c r="H201" i="5"/>
  <c r="N201" i="5" s="1"/>
  <c r="H189" i="5"/>
  <c r="N189" i="5" s="1"/>
  <c r="H194" i="5"/>
  <c r="N194" i="5" s="1"/>
  <c r="N294" i="31"/>
  <c r="J202" i="5"/>
  <c r="H202" i="5" s="1"/>
  <c r="N202" i="5" s="1"/>
  <c r="H200" i="5"/>
  <c r="N200" i="5" s="1"/>
  <c r="H185" i="5"/>
  <c r="N185" i="5" s="1"/>
  <c r="K205" i="5"/>
  <c r="C58" i="30"/>
  <c r="E58" i="30" s="1"/>
  <c r="E59" i="30" s="1"/>
  <c r="N50" i="30" s="1"/>
  <c r="N53" i="30" s="1"/>
  <c r="N204" i="31"/>
  <c r="C101" i="30"/>
  <c r="E101" i="30" s="1"/>
  <c r="E104" i="30" s="1"/>
  <c r="N93" i="30" s="1"/>
  <c r="N96" i="30" s="1"/>
  <c r="C10" i="30"/>
  <c r="E10" i="30" s="1"/>
  <c r="N5" i="31"/>
  <c r="C11" i="30"/>
  <c r="E11" i="30" s="1"/>
  <c r="N33" i="31"/>
  <c r="C14" i="30"/>
  <c r="E14" i="30" s="1"/>
  <c r="N107" i="31"/>
  <c r="C16" i="30" l="1"/>
  <c r="E16" i="30" s="1"/>
  <c r="J205" i="5"/>
  <c r="N205" i="5"/>
  <c r="N297" i="31"/>
  <c r="C172" i="30"/>
  <c r="E172" i="30" s="1"/>
  <c r="E175" i="30" s="1"/>
  <c r="N164" i="30" s="1"/>
  <c r="N167" i="30" s="1"/>
  <c r="E17" i="30"/>
  <c r="N2" i="30" s="1"/>
  <c r="N5" i="30" s="1"/>
  <c r="F183" i="5" l="1"/>
  <c r="F182" i="5"/>
  <c r="F180" i="5"/>
  <c r="E181" i="5" s="1"/>
  <c r="F178" i="5"/>
  <c r="E179" i="5" s="1"/>
  <c r="F172" i="5"/>
  <c r="E177" i="5" s="1"/>
  <c r="F166" i="5"/>
  <c r="E171" i="5" s="1"/>
  <c r="I183" i="5"/>
  <c r="C183" i="5"/>
  <c r="I182" i="5"/>
  <c r="C182" i="5"/>
  <c r="I181" i="5"/>
  <c r="C181" i="5"/>
  <c r="I180" i="5"/>
  <c r="C180" i="5"/>
  <c r="I179" i="5"/>
  <c r="C179" i="5"/>
  <c r="I178" i="5"/>
  <c r="C178" i="5"/>
  <c r="I177" i="5"/>
  <c r="C177" i="5"/>
  <c r="I176" i="5"/>
  <c r="C176" i="5"/>
  <c r="I175" i="5"/>
  <c r="C175" i="5"/>
  <c r="I174" i="5"/>
  <c r="C174" i="5"/>
  <c r="I173" i="5"/>
  <c r="C173" i="5"/>
  <c r="I172" i="5"/>
  <c r="C172" i="5"/>
  <c r="I171" i="5"/>
  <c r="C171" i="5"/>
  <c r="I170" i="5"/>
  <c r="C170" i="5"/>
  <c r="I169" i="5"/>
  <c r="C169" i="5"/>
  <c r="I168" i="5"/>
  <c r="C168" i="5"/>
  <c r="I167" i="5"/>
  <c r="C167" i="5"/>
  <c r="I166" i="5"/>
  <c r="C166" i="5"/>
  <c r="E167" i="5" l="1"/>
  <c r="E168" i="5"/>
  <c r="E170" i="5"/>
  <c r="E169" i="5"/>
  <c r="E173" i="5"/>
  <c r="E174" i="5"/>
  <c r="E176" i="5"/>
  <c r="E175" i="5"/>
  <c r="B1" i="29" l="1"/>
  <c r="B4" i="28"/>
  <c r="B5" i="28"/>
  <c r="F167" i="5" s="1"/>
  <c r="N11" i="28"/>
  <c r="N12" i="28"/>
  <c r="N13" i="28"/>
  <c r="N14" i="28"/>
  <c r="N15" i="28"/>
  <c r="N16" i="28"/>
  <c r="N17" i="28"/>
  <c r="N18" i="28"/>
  <c r="N19" i="28"/>
  <c r="N20" i="28"/>
  <c r="I24" i="28"/>
  <c r="I25" i="28"/>
  <c r="I26" i="28"/>
  <c r="I27" i="28"/>
  <c r="I28" i="28"/>
  <c r="I29" i="28"/>
  <c r="I30" i="28"/>
  <c r="I31" i="28"/>
  <c r="I32" i="28"/>
  <c r="I33" i="28"/>
  <c r="I34" i="28"/>
  <c r="I35" i="28"/>
  <c r="I36" i="28"/>
  <c r="I37" i="28"/>
  <c r="I41" i="28"/>
  <c r="I42" i="28" s="1"/>
  <c r="M167" i="5" s="1"/>
  <c r="B48" i="28"/>
  <c r="B49" i="28"/>
  <c r="F168" i="5" s="1"/>
  <c r="J58" i="28"/>
  <c r="N58" i="28" s="1"/>
  <c r="J55" i="28"/>
  <c r="N55" i="28" s="1"/>
  <c r="J56" i="28"/>
  <c r="N56" i="28" s="1"/>
  <c r="J60" i="28"/>
  <c r="N60" i="28" s="1"/>
  <c r="J61" i="28"/>
  <c r="N61" i="28" s="1"/>
  <c r="J57" i="28"/>
  <c r="N57" i="28" s="1"/>
  <c r="N62" i="28"/>
  <c r="I66" i="28"/>
  <c r="I71" i="28"/>
  <c r="I67" i="28"/>
  <c r="I68" i="28"/>
  <c r="I72" i="28"/>
  <c r="I73" i="28"/>
  <c r="I74" i="28"/>
  <c r="I69" i="28"/>
  <c r="I75" i="28"/>
  <c r="B82" i="28"/>
  <c r="B83" i="28"/>
  <c r="F169" i="5" s="1"/>
  <c r="J89" i="28"/>
  <c r="N89" i="28" s="1"/>
  <c r="J90" i="28"/>
  <c r="N90" i="28" s="1"/>
  <c r="J91" i="28"/>
  <c r="N91" i="28" s="1"/>
  <c r="I95" i="28"/>
  <c r="I96" i="28"/>
  <c r="I97" i="28"/>
  <c r="I98" i="28"/>
  <c r="I99" i="28"/>
  <c r="I100" i="28"/>
  <c r="I101" i="28"/>
  <c r="B108" i="28"/>
  <c r="B109" i="28"/>
  <c r="F170" i="5" s="1"/>
  <c r="J115" i="28"/>
  <c r="N115" i="28" s="1"/>
  <c r="N116" i="28" s="1"/>
  <c r="I119" i="28"/>
  <c r="I120" i="28"/>
  <c r="B133" i="28"/>
  <c r="B134" i="28"/>
  <c r="F171" i="5" s="1"/>
  <c r="J140" i="28"/>
  <c r="N140" i="28" s="1"/>
  <c r="N141" i="28" s="1"/>
  <c r="I144" i="28"/>
  <c r="I145" i="28"/>
  <c r="B155" i="28"/>
  <c r="B156" i="28"/>
  <c r="F173" i="5" s="1"/>
  <c r="N162" i="28"/>
  <c r="N163" i="28" s="1"/>
  <c r="J173" i="5" s="1"/>
  <c r="I166" i="28"/>
  <c r="I167" i="28"/>
  <c r="I168" i="28"/>
  <c r="B181" i="28"/>
  <c r="B182" i="28"/>
  <c r="F174" i="5" s="1"/>
  <c r="N188" i="28"/>
  <c r="N189" i="28" s="1"/>
  <c r="I192" i="28"/>
  <c r="I193" i="28"/>
  <c r="I194" i="28"/>
  <c r="B207" i="28"/>
  <c r="B208" i="28"/>
  <c r="F175" i="5" s="1"/>
  <c r="N214" i="28"/>
  <c r="N215" i="28"/>
  <c r="I219" i="28"/>
  <c r="I220" i="28"/>
  <c r="I221" i="28"/>
  <c r="B229" i="28"/>
  <c r="B230" i="28"/>
  <c r="F176" i="5" s="1"/>
  <c r="N236" i="28"/>
  <c r="N237" i="28"/>
  <c r="I241" i="28"/>
  <c r="I242" i="28"/>
  <c r="I243" i="28"/>
  <c r="B251" i="28"/>
  <c r="B252" i="28"/>
  <c r="F177" i="5" s="1"/>
  <c r="N258" i="28"/>
  <c r="N259" i="28" s="1"/>
  <c r="I262" i="28"/>
  <c r="I263" i="28"/>
  <c r="I264" i="28"/>
  <c r="B277" i="28"/>
  <c r="B278" i="28"/>
  <c r="F179" i="5" s="1"/>
  <c r="N284" i="28"/>
  <c r="N285" i="28" s="1"/>
  <c r="J179" i="5" s="1"/>
  <c r="I288" i="28"/>
  <c r="I289" i="28"/>
  <c r="B296" i="28"/>
  <c r="B297" i="28"/>
  <c r="F181" i="5" s="1"/>
  <c r="J303" i="28"/>
  <c r="N303" i="28" s="1"/>
  <c r="N304" i="28" s="1"/>
  <c r="J181" i="5" s="1"/>
  <c r="I307" i="28"/>
  <c r="I308" i="28"/>
  <c r="D10" i="27"/>
  <c r="D11" i="27"/>
  <c r="D12" i="27"/>
  <c r="D14" i="27"/>
  <c r="N18" i="27"/>
  <c r="N19" i="27"/>
  <c r="N20" i="27"/>
  <c r="N21" i="27"/>
  <c r="N22" i="27"/>
  <c r="N23" i="27"/>
  <c r="N24" i="27"/>
  <c r="N25" i="27"/>
  <c r="N26" i="27"/>
  <c r="N27" i="27"/>
  <c r="N28" i="27"/>
  <c r="N29" i="27"/>
  <c r="N30" i="27"/>
  <c r="N31" i="27"/>
  <c r="N32" i="27"/>
  <c r="N33" i="27"/>
  <c r="I37" i="27"/>
  <c r="I38" i="27"/>
  <c r="I39" i="27"/>
  <c r="I40" i="27"/>
  <c r="I41" i="27"/>
  <c r="I42" i="27"/>
  <c r="I43" i="27"/>
  <c r="I44" i="27"/>
  <c r="I45" i="27"/>
  <c r="I46" i="27"/>
  <c r="I47" i="27"/>
  <c r="I48" i="27"/>
  <c r="I49" i="27"/>
  <c r="I50" i="27"/>
  <c r="I51" i="27"/>
  <c r="I52" i="27"/>
  <c r="I53" i="27"/>
  <c r="I54" i="27"/>
  <c r="I55" i="27"/>
  <c r="I56" i="27"/>
  <c r="I57" i="27"/>
  <c r="I58" i="27"/>
  <c r="I59" i="27"/>
  <c r="I60" i="27"/>
  <c r="I61" i="27"/>
  <c r="I62" i="27"/>
  <c r="I63" i="27"/>
  <c r="I64" i="27"/>
  <c r="I65" i="27"/>
  <c r="I66" i="27"/>
  <c r="I67" i="27"/>
  <c r="I68" i="27"/>
  <c r="J73" i="27"/>
  <c r="J74" i="27"/>
  <c r="J75" i="27"/>
  <c r="J76" i="27"/>
  <c r="J77" i="27"/>
  <c r="J78" i="27"/>
  <c r="J79" i="27"/>
  <c r="I83" i="27"/>
  <c r="I84" i="27" s="1"/>
  <c r="M166" i="5" s="1"/>
  <c r="D96" i="27"/>
  <c r="D97" i="27"/>
  <c r="D98" i="27"/>
  <c r="D99" i="27"/>
  <c r="D100" i="27"/>
  <c r="N104" i="27"/>
  <c r="N105" i="27"/>
  <c r="N106" i="27"/>
  <c r="N107" i="27"/>
  <c r="N108" i="27"/>
  <c r="N109" i="27"/>
  <c r="N110" i="27"/>
  <c r="N111" i="27"/>
  <c r="I115" i="27"/>
  <c r="I116" i="27"/>
  <c r="I117" i="27"/>
  <c r="I118" i="27"/>
  <c r="I119" i="27"/>
  <c r="I120" i="27"/>
  <c r="I121" i="27"/>
  <c r="I122" i="27"/>
  <c r="I123" i="27"/>
  <c r="I124" i="27"/>
  <c r="I125" i="27"/>
  <c r="I126" i="27"/>
  <c r="I127" i="27"/>
  <c r="I128" i="27"/>
  <c r="I129" i="27"/>
  <c r="I130" i="27"/>
  <c r="I131" i="27"/>
  <c r="I132" i="27"/>
  <c r="J136" i="27"/>
  <c r="J137" i="27"/>
  <c r="J138" i="27"/>
  <c r="J139" i="27"/>
  <c r="J140" i="27"/>
  <c r="J141" i="27"/>
  <c r="J142" i="27"/>
  <c r="J143" i="27"/>
  <c r="J144" i="27"/>
  <c r="J145" i="27"/>
  <c r="J146" i="27"/>
  <c r="I150" i="27"/>
  <c r="I151" i="27" s="1"/>
  <c r="M172" i="5" s="1"/>
  <c r="D163" i="27"/>
  <c r="N167" i="27"/>
  <c r="N168" i="27"/>
  <c r="N169" i="27"/>
  <c r="N170" i="27"/>
  <c r="I174" i="27"/>
  <c r="I183" i="27" s="1"/>
  <c r="K178" i="5" s="1"/>
  <c r="I175" i="27"/>
  <c r="I176" i="27"/>
  <c r="I177" i="27"/>
  <c r="I178" i="27"/>
  <c r="I179" i="27"/>
  <c r="I180" i="27"/>
  <c r="I181" i="27"/>
  <c r="I182" i="27"/>
  <c r="J186" i="27"/>
  <c r="J187" i="27" s="1"/>
  <c r="L178" i="5" s="1"/>
  <c r="I190" i="27"/>
  <c r="I191" i="27"/>
  <c r="M178" i="5" s="1"/>
  <c r="D203" i="27"/>
  <c r="N207" i="27"/>
  <c r="N208" i="27"/>
  <c r="N209" i="27"/>
  <c r="N210" i="27"/>
  <c r="N211" i="27"/>
  <c r="N212" i="27"/>
  <c r="I216" i="27"/>
  <c r="I217" i="27"/>
  <c r="I218" i="27"/>
  <c r="I219" i="27"/>
  <c r="I220" i="27"/>
  <c r="I221" i="27"/>
  <c r="I222" i="27"/>
  <c r="I223" i="27"/>
  <c r="I224" i="27"/>
  <c r="I225" i="27"/>
  <c r="N238" i="27"/>
  <c r="N239" i="27"/>
  <c r="N240" i="27"/>
  <c r="N241" i="27"/>
  <c r="I245" i="27"/>
  <c r="I246" i="27"/>
  <c r="I247" i="27"/>
  <c r="I253" i="27" s="1"/>
  <c r="K182" i="5" s="1"/>
  <c r="I248" i="27"/>
  <c r="I249" i="27"/>
  <c r="I250" i="27"/>
  <c r="I251" i="27"/>
  <c r="I252" i="27"/>
  <c r="N265" i="27"/>
  <c r="N266" i="27"/>
  <c r="N267" i="27"/>
  <c r="N268" i="27"/>
  <c r="N269" i="27"/>
  <c r="N270" i="27"/>
  <c r="N271" i="27"/>
  <c r="N272" i="27"/>
  <c r="N296" i="27" s="1"/>
  <c r="N273" i="27"/>
  <c r="N274" i="27"/>
  <c r="N275" i="27"/>
  <c r="N276" i="27"/>
  <c r="N277" i="27"/>
  <c r="N278" i="27"/>
  <c r="N279" i="27"/>
  <c r="N280" i="27"/>
  <c r="N281" i="27"/>
  <c r="N282" i="27"/>
  <c r="N283" i="27"/>
  <c r="N284" i="27"/>
  <c r="N285" i="27"/>
  <c r="N286" i="27"/>
  <c r="N287" i="27"/>
  <c r="N288" i="27"/>
  <c r="N289" i="27"/>
  <c r="N290" i="27"/>
  <c r="N291" i="27"/>
  <c r="N292" i="27"/>
  <c r="N293" i="27"/>
  <c r="N294" i="27"/>
  <c r="N295" i="27"/>
  <c r="I299" i="27"/>
  <c r="I322" i="27" s="1"/>
  <c r="K183" i="5" s="1"/>
  <c r="I300" i="27"/>
  <c r="I301" i="27"/>
  <c r="I302" i="27"/>
  <c r="I303" i="27"/>
  <c r="I304" i="27"/>
  <c r="I305" i="27"/>
  <c r="I306" i="27"/>
  <c r="I307" i="27"/>
  <c r="I308" i="27"/>
  <c r="I309" i="27"/>
  <c r="I310" i="27"/>
  <c r="I311" i="27"/>
  <c r="I312" i="27"/>
  <c r="I313" i="27"/>
  <c r="I314" i="27"/>
  <c r="I315" i="27"/>
  <c r="I316" i="27"/>
  <c r="I317" i="27"/>
  <c r="I318" i="27"/>
  <c r="I319" i="27"/>
  <c r="I320" i="27"/>
  <c r="I321" i="27"/>
  <c r="J325" i="27"/>
  <c r="J326" i="27"/>
  <c r="J327" i="27"/>
  <c r="J328" i="27"/>
  <c r="I195" i="28" l="1"/>
  <c r="K174" i="5" s="1"/>
  <c r="I102" i="28"/>
  <c r="K169" i="5" s="1"/>
  <c r="I309" i="28"/>
  <c r="K181" i="5" s="1"/>
  <c r="H181" i="5" s="1"/>
  <c r="N181" i="5" s="1"/>
  <c r="I121" i="28"/>
  <c r="K170" i="5" s="1"/>
  <c r="N112" i="27"/>
  <c r="J172" i="5" s="1"/>
  <c r="N216" i="28"/>
  <c r="I146" i="28"/>
  <c r="K171" i="5" s="1"/>
  <c r="N171" i="27"/>
  <c r="J178" i="5" s="1"/>
  <c r="H178" i="5" s="1"/>
  <c r="N178" i="5" s="1"/>
  <c r="I265" i="28"/>
  <c r="K177" i="5" s="1"/>
  <c r="I169" i="28"/>
  <c r="K173" i="5" s="1"/>
  <c r="H173" i="5" s="1"/>
  <c r="N173" i="5" s="1"/>
  <c r="N106" i="28"/>
  <c r="N109" i="28" s="1"/>
  <c r="J170" i="5"/>
  <c r="H170" i="5" s="1"/>
  <c r="N170" i="5" s="1"/>
  <c r="J183" i="5"/>
  <c r="N249" i="28"/>
  <c r="N252" i="28" s="1"/>
  <c r="J177" i="5"/>
  <c r="H177" i="5" s="1"/>
  <c r="N177" i="5" s="1"/>
  <c r="N179" i="28"/>
  <c r="C97" i="27" s="1"/>
  <c r="E97" i="27" s="1"/>
  <c r="J174" i="5"/>
  <c r="H174" i="5" s="1"/>
  <c r="N174" i="5" s="1"/>
  <c r="K166" i="5"/>
  <c r="I38" i="28"/>
  <c r="K167" i="5" s="1"/>
  <c r="I226" i="27"/>
  <c r="K180" i="5" s="1"/>
  <c r="I133" i="27"/>
  <c r="K172" i="5" s="1"/>
  <c r="M184" i="5"/>
  <c r="J171" i="5"/>
  <c r="J329" i="27"/>
  <c r="L183" i="5" s="1"/>
  <c r="I244" i="28"/>
  <c r="K176" i="5" s="1"/>
  <c r="I222" i="28"/>
  <c r="K175" i="5" s="1"/>
  <c r="J147" i="27"/>
  <c r="L172" i="5" s="1"/>
  <c r="J80" i="27"/>
  <c r="L166" i="5" s="1"/>
  <c r="I76" i="28"/>
  <c r="K168" i="5" s="1"/>
  <c r="I290" i="28"/>
  <c r="K179" i="5" s="1"/>
  <c r="H179" i="5" s="1"/>
  <c r="N179" i="5" s="1"/>
  <c r="N21" i="28"/>
  <c r="N238" i="28"/>
  <c r="N242" i="27"/>
  <c r="J182" i="5" s="1"/>
  <c r="H182" i="5" s="1"/>
  <c r="N182" i="5" s="1"/>
  <c r="N213" i="27"/>
  <c r="J180" i="5" s="1"/>
  <c r="N34" i="27"/>
  <c r="J166" i="5" s="1"/>
  <c r="N63" i="28"/>
  <c r="N92" i="28"/>
  <c r="N153" i="28"/>
  <c r="I27" i="5"/>
  <c r="C27" i="5"/>
  <c r="I26" i="5"/>
  <c r="C26" i="5"/>
  <c r="I25" i="5"/>
  <c r="C25" i="5"/>
  <c r="I24" i="5"/>
  <c r="C24" i="5"/>
  <c r="I23" i="5"/>
  <c r="C23" i="5"/>
  <c r="I22" i="5"/>
  <c r="C22" i="5"/>
  <c r="I21" i="5"/>
  <c r="E25" i="5"/>
  <c r="C21" i="5"/>
  <c r="I20" i="5"/>
  <c r="C20" i="5"/>
  <c r="I19" i="5"/>
  <c r="C19" i="5"/>
  <c r="I18" i="5"/>
  <c r="C18" i="5"/>
  <c r="I17" i="5"/>
  <c r="C17" i="5"/>
  <c r="I16" i="5"/>
  <c r="C16" i="5"/>
  <c r="I15" i="5"/>
  <c r="C15" i="5"/>
  <c r="I14" i="5"/>
  <c r="E17" i="5"/>
  <c r="C14" i="5"/>
  <c r="I13" i="5"/>
  <c r="C13" i="5"/>
  <c r="I12" i="5"/>
  <c r="C12" i="5"/>
  <c r="I11" i="5"/>
  <c r="C11" i="5"/>
  <c r="I10" i="5"/>
  <c r="C10" i="5"/>
  <c r="I9" i="5"/>
  <c r="C9" i="5"/>
  <c r="I8" i="5"/>
  <c r="C8" i="5"/>
  <c r="I7" i="5"/>
  <c r="E11" i="5"/>
  <c r="C7" i="5"/>
  <c r="N275" i="28" l="1"/>
  <c r="N278" i="28" s="1"/>
  <c r="N294" i="28"/>
  <c r="H171" i="5"/>
  <c r="N171" i="5" s="1"/>
  <c r="N131" i="28"/>
  <c r="N205" i="28"/>
  <c r="N208" i="28" s="1"/>
  <c r="N182" i="28"/>
  <c r="C100" i="27"/>
  <c r="E100" i="27" s="1"/>
  <c r="J175" i="5"/>
  <c r="H175" i="5" s="1"/>
  <c r="N175" i="5" s="1"/>
  <c r="N230" i="27"/>
  <c r="N233" i="27" s="1"/>
  <c r="H180" i="5"/>
  <c r="N180" i="5" s="1"/>
  <c r="L184" i="5"/>
  <c r="H172" i="5"/>
  <c r="N172" i="5" s="1"/>
  <c r="N80" i="28"/>
  <c r="C13" i="27" s="1"/>
  <c r="E13" i="27" s="1"/>
  <c r="J169" i="5"/>
  <c r="H169" i="5" s="1"/>
  <c r="N169" i="5" s="1"/>
  <c r="H166" i="5"/>
  <c r="N166" i="5" s="1"/>
  <c r="N46" i="28"/>
  <c r="N49" i="28" s="1"/>
  <c r="J168" i="5"/>
  <c r="H168" i="5" s="1"/>
  <c r="N168" i="5" s="1"/>
  <c r="H183" i="5"/>
  <c r="N183" i="5" s="1"/>
  <c r="N257" i="27"/>
  <c r="N260" i="27" s="1"/>
  <c r="K184" i="5"/>
  <c r="N2" i="28"/>
  <c r="J167" i="5"/>
  <c r="H167" i="5" s="1"/>
  <c r="N167" i="5" s="1"/>
  <c r="N227" i="28"/>
  <c r="J176" i="5"/>
  <c r="H176" i="5" s="1"/>
  <c r="N176" i="5" s="1"/>
  <c r="E12" i="5"/>
  <c r="E8" i="5"/>
  <c r="N297" i="28"/>
  <c r="C203" i="27"/>
  <c r="E203" i="27" s="1"/>
  <c r="E204" i="27" s="1"/>
  <c r="N195" i="27" s="1"/>
  <c r="N198" i="27" s="1"/>
  <c r="N156" i="28"/>
  <c r="C96" i="27"/>
  <c r="E96" i="27" s="1"/>
  <c r="E10" i="5"/>
  <c r="E13" i="5"/>
  <c r="E23" i="5"/>
  <c r="E9" i="5"/>
  <c r="E22" i="5"/>
  <c r="E26" i="5"/>
  <c r="E24" i="5"/>
  <c r="E27" i="5"/>
  <c r="E19" i="5"/>
  <c r="E20" i="5"/>
  <c r="E18" i="5"/>
  <c r="E15" i="5"/>
  <c r="E16" i="5"/>
  <c r="C163" i="27" l="1"/>
  <c r="E163" i="27" s="1"/>
  <c r="E164" i="27" s="1"/>
  <c r="N155" i="27" s="1"/>
  <c r="N158" i="27" s="1"/>
  <c r="C98" i="27"/>
  <c r="E98" i="27" s="1"/>
  <c r="N83" i="28"/>
  <c r="C12" i="27"/>
  <c r="E12" i="27" s="1"/>
  <c r="N134" i="28"/>
  <c r="C14" i="27"/>
  <c r="E14" i="27" s="1"/>
  <c r="C11" i="27"/>
  <c r="E11" i="27" s="1"/>
  <c r="N230" i="28"/>
  <c r="C99" i="27"/>
  <c r="E99" i="27" s="1"/>
  <c r="E101" i="27" s="1"/>
  <c r="N88" i="27" s="1"/>
  <c r="N91" i="27" s="1"/>
  <c r="N184" i="5"/>
  <c r="J184" i="5"/>
  <c r="N5" i="28"/>
  <c r="C10" i="27"/>
  <c r="E10" i="27" s="1"/>
  <c r="B4" i="26"/>
  <c r="J11" i="26"/>
  <c r="N11" i="26" s="1"/>
  <c r="N12" i="26" s="1"/>
  <c r="I15" i="26"/>
  <c r="I17" i="26" s="1"/>
  <c r="K8" i="5" s="1"/>
  <c r="I16" i="26"/>
  <c r="B24" i="26"/>
  <c r="J31" i="26"/>
  <c r="N31" i="26"/>
  <c r="N32" i="26" s="1"/>
  <c r="I35" i="26"/>
  <c r="I36" i="26"/>
  <c r="B44" i="26"/>
  <c r="N51" i="26"/>
  <c r="N52" i="26" s="1"/>
  <c r="B65" i="26"/>
  <c r="J72" i="26"/>
  <c r="N72" i="26" s="1"/>
  <c r="N73" i="26" s="1"/>
  <c r="B86" i="26"/>
  <c r="J93" i="26"/>
  <c r="N93" i="26" s="1"/>
  <c r="N94" i="26" s="1"/>
  <c r="I97" i="26"/>
  <c r="I98" i="26"/>
  <c r="I99" i="26"/>
  <c r="B107" i="26"/>
  <c r="J114" i="26"/>
  <c r="N114" i="26" s="1"/>
  <c r="N115" i="26" s="1"/>
  <c r="I118" i="26"/>
  <c r="I119" i="26"/>
  <c r="I120" i="26"/>
  <c r="B128" i="26"/>
  <c r="J135" i="26"/>
  <c r="N135" i="26"/>
  <c r="N136" i="26" s="1"/>
  <c r="I139" i="26"/>
  <c r="I140" i="26"/>
  <c r="B148" i="26"/>
  <c r="J155" i="26"/>
  <c r="N155" i="26" s="1"/>
  <c r="N156" i="26" s="1"/>
  <c r="J16" i="5" s="1"/>
  <c r="I159" i="26"/>
  <c r="I160" i="26"/>
  <c r="B168" i="26"/>
  <c r="N175" i="26"/>
  <c r="N176" i="26" s="1"/>
  <c r="B189" i="26"/>
  <c r="J196" i="26"/>
  <c r="N196" i="26" s="1"/>
  <c r="N197" i="26" s="1"/>
  <c r="B210" i="26"/>
  <c r="J217" i="26"/>
  <c r="N217" i="26" s="1"/>
  <c r="N218" i="26" s="1"/>
  <c r="J19" i="5" s="1"/>
  <c r="I221" i="26"/>
  <c r="I222" i="26"/>
  <c r="I223" i="26"/>
  <c r="B231" i="26"/>
  <c r="J238" i="26"/>
  <c r="N238" i="26" s="1"/>
  <c r="N239" i="26" s="1"/>
  <c r="I242" i="26"/>
  <c r="I243" i="26"/>
  <c r="I244" i="26"/>
  <c r="B252" i="26"/>
  <c r="J259" i="26"/>
  <c r="N259" i="26" s="1"/>
  <c r="N260" i="26" s="1"/>
  <c r="I263" i="26"/>
  <c r="I264" i="26"/>
  <c r="I266" i="26" s="1"/>
  <c r="K22" i="5" s="1"/>
  <c r="I265" i="26"/>
  <c r="B273" i="26"/>
  <c r="J280" i="26"/>
  <c r="N280" i="26" s="1"/>
  <c r="N281" i="26" s="1"/>
  <c r="I284" i="26"/>
  <c r="I285" i="26"/>
  <c r="I286" i="26"/>
  <c r="B294" i="26"/>
  <c r="N301" i="26"/>
  <c r="N302" i="26" s="1"/>
  <c r="B309" i="26"/>
  <c r="N316" i="26"/>
  <c r="N317" i="26" s="1"/>
  <c r="B324" i="26"/>
  <c r="J331" i="26"/>
  <c r="N331" i="26" s="1"/>
  <c r="N332" i="26" s="1"/>
  <c r="I335" i="26"/>
  <c r="I336" i="26"/>
  <c r="B344" i="26"/>
  <c r="J351" i="26"/>
  <c r="N351" i="26" s="1"/>
  <c r="N352" i="26" s="1"/>
  <c r="I355" i="26"/>
  <c r="I356" i="26"/>
  <c r="I357" i="26"/>
  <c r="B10" i="25"/>
  <c r="D10" i="25"/>
  <c r="B11" i="25"/>
  <c r="D11" i="25"/>
  <c r="B12" i="25"/>
  <c r="D12" i="25"/>
  <c r="B13" i="25"/>
  <c r="D13" i="25"/>
  <c r="B14" i="25"/>
  <c r="D14" i="25"/>
  <c r="B15" i="25"/>
  <c r="D15" i="25"/>
  <c r="I19" i="25"/>
  <c r="I20" i="25"/>
  <c r="I21" i="25"/>
  <c r="I22" i="25"/>
  <c r="I23" i="25"/>
  <c r="I24" i="25"/>
  <c r="I25" i="25"/>
  <c r="I26" i="25"/>
  <c r="J31" i="25"/>
  <c r="J32" i="25"/>
  <c r="J33" i="25"/>
  <c r="J34" i="25"/>
  <c r="B48" i="25"/>
  <c r="D48" i="25"/>
  <c r="B49" i="25"/>
  <c r="D49" i="25"/>
  <c r="B50" i="25"/>
  <c r="D50" i="25"/>
  <c r="B51" i="25"/>
  <c r="D51" i="25"/>
  <c r="B52" i="25"/>
  <c r="D52" i="25"/>
  <c r="B53" i="25"/>
  <c r="D53" i="25"/>
  <c r="I57" i="25"/>
  <c r="I58" i="25"/>
  <c r="I59" i="25"/>
  <c r="I60" i="25"/>
  <c r="I61" i="25"/>
  <c r="I62" i="25"/>
  <c r="I63" i="25"/>
  <c r="I64" i="25"/>
  <c r="J69" i="25"/>
  <c r="J70" i="25"/>
  <c r="J71" i="25"/>
  <c r="J72" i="25"/>
  <c r="B86" i="25"/>
  <c r="D86" i="25"/>
  <c r="B87" i="25"/>
  <c r="D87" i="25"/>
  <c r="B88" i="25"/>
  <c r="D88" i="25"/>
  <c r="B89" i="25"/>
  <c r="D89" i="25"/>
  <c r="B90" i="25"/>
  <c r="D90" i="25"/>
  <c r="B91" i="25"/>
  <c r="D91" i="25"/>
  <c r="M95" i="25"/>
  <c r="N95" i="25" s="1"/>
  <c r="N96" i="25"/>
  <c r="N97" i="25"/>
  <c r="N98" i="25"/>
  <c r="N99" i="25"/>
  <c r="N100" i="25"/>
  <c r="N101" i="25"/>
  <c r="N102" i="25"/>
  <c r="N103" i="25"/>
  <c r="N104" i="25"/>
  <c r="M105" i="25"/>
  <c r="N105" i="25" s="1"/>
  <c r="N106" i="25"/>
  <c r="J107" i="25"/>
  <c r="N107" i="25" s="1"/>
  <c r="M108" i="25"/>
  <c r="N108" i="25" s="1"/>
  <c r="I112" i="25"/>
  <c r="I113" i="25"/>
  <c r="I114" i="25"/>
  <c r="I115" i="25"/>
  <c r="I116" i="25"/>
  <c r="I117" i="25"/>
  <c r="I118" i="25"/>
  <c r="I119" i="25"/>
  <c r="I120" i="25"/>
  <c r="I121" i="25"/>
  <c r="I122" i="25"/>
  <c r="I123" i="25"/>
  <c r="I124" i="25"/>
  <c r="I125" i="25"/>
  <c r="I126" i="25"/>
  <c r="I127" i="25"/>
  <c r="I128" i="25"/>
  <c r="I129" i="25"/>
  <c r="I130" i="25"/>
  <c r="I131" i="25"/>
  <c r="I132" i="25"/>
  <c r="I133" i="25"/>
  <c r="I134" i="25"/>
  <c r="I135" i="25"/>
  <c r="I136" i="25"/>
  <c r="J141" i="25"/>
  <c r="J142" i="25"/>
  <c r="J143" i="25"/>
  <c r="J144" i="25"/>
  <c r="J145" i="25"/>
  <c r="J146" i="25"/>
  <c r="J147" i="25"/>
  <c r="J148" i="25"/>
  <c r="J149" i="25"/>
  <c r="J150" i="25"/>
  <c r="J151" i="25"/>
  <c r="I155" i="25"/>
  <c r="I156" i="25" s="1"/>
  <c r="M21" i="5" s="1"/>
  <c r="M28" i="5" s="1"/>
  <c r="E15" i="27" l="1"/>
  <c r="N2" i="27" s="1"/>
  <c r="N5" i="27" s="1"/>
  <c r="I138" i="25"/>
  <c r="K21" i="5" s="1"/>
  <c r="I337" i="26"/>
  <c r="K26" i="5" s="1"/>
  <c r="I100" i="26"/>
  <c r="K12" i="5" s="1"/>
  <c r="I37" i="26"/>
  <c r="K9" i="5" s="1"/>
  <c r="I245" i="26"/>
  <c r="K20" i="5" s="1"/>
  <c r="I141" i="26"/>
  <c r="K15" i="5" s="1"/>
  <c r="I287" i="26"/>
  <c r="K23" i="5" s="1"/>
  <c r="N84" i="26"/>
  <c r="J12" i="5"/>
  <c r="H12" i="5" s="1"/>
  <c r="N12" i="5" s="1"/>
  <c r="J13" i="5"/>
  <c r="N307" i="26"/>
  <c r="C89" i="25" s="1"/>
  <c r="E89" i="25" s="1"/>
  <c r="J25" i="5"/>
  <c r="H25" i="5" s="1"/>
  <c r="N25" i="5" s="1"/>
  <c r="N109" i="25"/>
  <c r="J21" i="5" s="1"/>
  <c r="J27" i="5"/>
  <c r="N166" i="26"/>
  <c r="C50" i="25" s="1"/>
  <c r="E50" i="25" s="1"/>
  <c r="J17" i="5"/>
  <c r="H17" i="5" s="1"/>
  <c r="N17" i="5" s="1"/>
  <c r="N22" i="26"/>
  <c r="C11" i="25" s="1"/>
  <c r="E11" i="25" s="1"/>
  <c r="J9" i="5"/>
  <c r="H9" i="5" s="1"/>
  <c r="N9" i="5" s="1"/>
  <c r="J73" i="25"/>
  <c r="L14" i="5" s="1"/>
  <c r="K7" i="5"/>
  <c r="I358" i="26"/>
  <c r="K27" i="5" s="1"/>
  <c r="N63" i="26"/>
  <c r="C13" i="25" s="1"/>
  <c r="E13" i="25" s="1"/>
  <c r="J11" i="5"/>
  <c r="H11" i="5" s="1"/>
  <c r="N11" i="5" s="1"/>
  <c r="J152" i="25"/>
  <c r="L21" i="5" s="1"/>
  <c r="K14" i="5"/>
  <c r="J35" i="25"/>
  <c r="L7" i="5" s="1"/>
  <c r="I224" i="26"/>
  <c r="K19" i="5" s="1"/>
  <c r="H19" i="5" s="1"/>
  <c r="N19" i="5" s="1"/>
  <c r="N126" i="26"/>
  <c r="J15" i="5"/>
  <c r="H15" i="5" s="1"/>
  <c r="N15" i="5" s="1"/>
  <c r="N271" i="26"/>
  <c r="C87" i="25" s="1"/>
  <c r="E87" i="25" s="1"/>
  <c r="J23" i="5"/>
  <c r="H23" i="5" s="1"/>
  <c r="N23" i="5" s="1"/>
  <c r="I161" i="26"/>
  <c r="K16" i="5" s="1"/>
  <c r="H16" i="5" s="1"/>
  <c r="N16" i="5" s="1"/>
  <c r="N42" i="26"/>
  <c r="N45" i="26" s="1"/>
  <c r="J10" i="5"/>
  <c r="H10" i="5" s="1"/>
  <c r="N10" i="5" s="1"/>
  <c r="N292" i="26"/>
  <c r="J24" i="5"/>
  <c r="H24" i="5" s="1"/>
  <c r="N24" i="5" s="1"/>
  <c r="N187" i="26"/>
  <c r="J18" i="5"/>
  <c r="H18" i="5" s="1"/>
  <c r="N18" i="5" s="1"/>
  <c r="N2" i="26"/>
  <c r="N5" i="26" s="1"/>
  <c r="J8" i="5"/>
  <c r="N250" i="26"/>
  <c r="C86" i="25" s="1"/>
  <c r="E86" i="25" s="1"/>
  <c r="J22" i="5"/>
  <c r="H22" i="5" s="1"/>
  <c r="N22" i="5" s="1"/>
  <c r="N229" i="26"/>
  <c r="J20" i="5"/>
  <c r="H20" i="5" s="1"/>
  <c r="N20" i="5" s="1"/>
  <c r="I121" i="26"/>
  <c r="K13" i="5" s="1"/>
  <c r="N322" i="26"/>
  <c r="C90" i="25" s="1"/>
  <c r="E90" i="25" s="1"/>
  <c r="J26" i="5"/>
  <c r="H26" i="5" s="1"/>
  <c r="N26" i="5" s="1"/>
  <c r="N190" i="26"/>
  <c r="C51" i="25"/>
  <c r="E51" i="25" s="1"/>
  <c r="C14" i="25"/>
  <c r="E14" i="25" s="1"/>
  <c r="N87" i="26"/>
  <c r="N169" i="26"/>
  <c r="N253" i="26"/>
  <c r="N66" i="26"/>
  <c r="N25" i="26"/>
  <c r="N295" i="26"/>
  <c r="C88" i="25"/>
  <c r="E88" i="25" s="1"/>
  <c r="N129" i="26"/>
  <c r="C48" i="25"/>
  <c r="E48" i="25" s="1"/>
  <c r="N232" i="26"/>
  <c r="C53" i="25"/>
  <c r="E53" i="25" s="1"/>
  <c r="E589" i="23"/>
  <c r="N310" i="26" l="1"/>
  <c r="N274" i="26"/>
  <c r="N325" i="26"/>
  <c r="H13" i="5"/>
  <c r="N13" i="5" s="1"/>
  <c r="H21" i="5"/>
  <c r="N21" i="5" s="1"/>
  <c r="H14" i="5"/>
  <c r="N14" i="5" s="1"/>
  <c r="K28" i="5"/>
  <c r="H7" i="5"/>
  <c r="N7" i="5" s="1"/>
  <c r="N342" i="26"/>
  <c r="N208" i="26"/>
  <c r="N211" i="26" s="1"/>
  <c r="L28" i="5"/>
  <c r="C12" i="25"/>
  <c r="E12" i="25" s="1"/>
  <c r="C10" i="25"/>
  <c r="E10" i="25" s="1"/>
  <c r="N105" i="26"/>
  <c r="J28" i="5"/>
  <c r="H8" i="5"/>
  <c r="N8" i="5" s="1"/>
  <c r="N146" i="26"/>
  <c r="N149" i="26" s="1"/>
  <c r="H27" i="5"/>
  <c r="N27" i="5" s="1"/>
  <c r="C49" i="25"/>
  <c r="E49" i="25" s="1"/>
  <c r="I164" i="5"/>
  <c r="I163" i="5"/>
  <c r="I162" i="5"/>
  <c r="I161" i="5"/>
  <c r="I160" i="5"/>
  <c r="I159" i="5"/>
  <c r="I158" i="5"/>
  <c r="I157" i="5"/>
  <c r="I156" i="5"/>
  <c r="I155" i="5"/>
  <c r="I154" i="5"/>
  <c r="I153" i="5"/>
  <c r="I152" i="5"/>
  <c r="I151" i="5"/>
  <c r="I150" i="5"/>
  <c r="I149" i="5"/>
  <c r="I148" i="5"/>
  <c r="I147" i="5"/>
  <c r="I146" i="5"/>
  <c r="I145" i="5"/>
  <c r="I144" i="5"/>
  <c r="I143" i="5"/>
  <c r="I142" i="5"/>
  <c r="I141" i="5"/>
  <c r="I140" i="5"/>
  <c r="I139" i="5"/>
  <c r="I138" i="5"/>
  <c r="I137" i="5"/>
  <c r="I136" i="5"/>
  <c r="I135" i="5"/>
  <c r="I134" i="5"/>
  <c r="I133" i="5"/>
  <c r="M130" i="5"/>
  <c r="I132" i="5"/>
  <c r="I131" i="5"/>
  <c r="I130" i="5"/>
  <c r="I129" i="5"/>
  <c r="I128" i="5"/>
  <c r="I127" i="5"/>
  <c r="I126" i="5"/>
  <c r="I125" i="5"/>
  <c r="I124" i="5"/>
  <c r="I123" i="5"/>
  <c r="I122" i="5"/>
  <c r="I121" i="5"/>
  <c r="I120" i="5"/>
  <c r="I119" i="5"/>
  <c r="I118" i="5"/>
  <c r="I117" i="5"/>
  <c r="F164" i="5"/>
  <c r="F163" i="5"/>
  <c r="F162" i="5"/>
  <c r="F161" i="5"/>
  <c r="F160" i="5"/>
  <c r="F159" i="5"/>
  <c r="E164" i="5" s="1"/>
  <c r="C164" i="5"/>
  <c r="C163" i="5"/>
  <c r="C162" i="5"/>
  <c r="C161" i="5"/>
  <c r="C160" i="5"/>
  <c r="C159" i="5"/>
  <c r="F158" i="5"/>
  <c r="F157" i="5"/>
  <c r="F156" i="5"/>
  <c r="F155" i="5"/>
  <c r="F154" i="5"/>
  <c r="F153" i="5"/>
  <c r="E154" i="5" s="1"/>
  <c r="C158" i="5"/>
  <c r="C157" i="5"/>
  <c r="C156" i="5"/>
  <c r="C155" i="5"/>
  <c r="C154" i="5"/>
  <c r="C153" i="5"/>
  <c r="F152" i="5"/>
  <c r="F151" i="5"/>
  <c r="F150" i="5"/>
  <c r="F149" i="5"/>
  <c r="F148" i="5"/>
  <c r="F147" i="5"/>
  <c r="F146" i="5"/>
  <c r="F145" i="5"/>
  <c r="F144" i="5"/>
  <c r="F143" i="5"/>
  <c r="F142" i="5"/>
  <c r="F141" i="5"/>
  <c r="F140" i="5"/>
  <c r="F139" i="5"/>
  <c r="F138" i="5"/>
  <c r="F137" i="5"/>
  <c r="F136" i="5"/>
  <c r="F135" i="5"/>
  <c r="F134" i="5"/>
  <c r="F133" i="5"/>
  <c r="E147" i="5" s="1"/>
  <c r="C152" i="5"/>
  <c r="C151" i="5"/>
  <c r="C150" i="5"/>
  <c r="C149" i="5"/>
  <c r="C148" i="5"/>
  <c r="C147" i="5"/>
  <c r="C146" i="5"/>
  <c r="C145" i="5"/>
  <c r="C143" i="5"/>
  <c r="C144" i="5"/>
  <c r="C142" i="5"/>
  <c r="C141" i="5"/>
  <c r="C140" i="5"/>
  <c r="C139" i="5"/>
  <c r="C138" i="5"/>
  <c r="C137" i="5"/>
  <c r="C136" i="5"/>
  <c r="C135" i="5"/>
  <c r="C134" i="5"/>
  <c r="C133" i="5"/>
  <c r="F132" i="5"/>
  <c r="F131" i="5"/>
  <c r="F130" i="5"/>
  <c r="F129" i="5"/>
  <c r="E130" i="5" s="1"/>
  <c r="C132" i="5"/>
  <c r="C131" i="5"/>
  <c r="C130" i="5"/>
  <c r="C129" i="5"/>
  <c r="F128" i="5"/>
  <c r="F127" i="5"/>
  <c r="E128" i="5" s="1"/>
  <c r="C128" i="5"/>
  <c r="C127" i="5"/>
  <c r="C91" i="25" l="1"/>
  <c r="E91" i="25" s="1"/>
  <c r="E92" i="25" s="1"/>
  <c r="N78" i="25" s="1"/>
  <c r="N81" i="25" s="1"/>
  <c r="N345" i="26"/>
  <c r="N28" i="5"/>
  <c r="C52" i="25"/>
  <c r="E52" i="25" s="1"/>
  <c r="E54" i="25" s="1"/>
  <c r="N40" i="25" s="1"/>
  <c r="N43" i="25" s="1"/>
  <c r="N108" i="26"/>
  <c r="C15" i="25"/>
  <c r="E15" i="25" s="1"/>
  <c r="E16" i="25" s="1"/>
  <c r="N2" i="25" s="1"/>
  <c r="N5" i="25" s="1"/>
  <c r="E132" i="5"/>
  <c r="E161" i="5"/>
  <c r="E148" i="5"/>
  <c r="E156" i="5"/>
  <c r="E131" i="5"/>
  <c r="E160" i="5"/>
  <c r="E140" i="5"/>
  <c r="E155" i="5"/>
  <c r="E162" i="5"/>
  <c r="E135" i="5"/>
  <c r="E143" i="5"/>
  <c r="E151" i="5"/>
  <c r="E158" i="5"/>
  <c r="E163" i="5"/>
  <c r="E142" i="5"/>
  <c r="E157" i="5"/>
  <c r="E136" i="5"/>
  <c r="E144" i="5"/>
  <c r="E152" i="5"/>
  <c r="E149" i="5"/>
  <c r="E134" i="5"/>
  <c r="E150" i="5"/>
  <c r="E137" i="5"/>
  <c r="E145" i="5"/>
  <c r="E141" i="5"/>
  <c r="E138" i="5"/>
  <c r="E146" i="5"/>
  <c r="E139" i="5"/>
  <c r="F126" i="5"/>
  <c r="F125" i="5"/>
  <c r="F124" i="5"/>
  <c r="F123" i="5"/>
  <c r="F122" i="5"/>
  <c r="F121" i="5"/>
  <c r="F120" i="5"/>
  <c r="F119" i="5"/>
  <c r="F118" i="5"/>
  <c r="F117" i="5"/>
  <c r="E120" i="5" s="1"/>
  <c r="C126" i="5"/>
  <c r="C125" i="5"/>
  <c r="C124" i="5"/>
  <c r="C123" i="5"/>
  <c r="C122" i="5"/>
  <c r="C121" i="5"/>
  <c r="C120" i="5"/>
  <c r="C119" i="5"/>
  <c r="C118" i="5"/>
  <c r="C117" i="5"/>
  <c r="E122" i="5" l="1"/>
  <c r="E119" i="5"/>
  <c r="E121" i="5"/>
  <c r="E124" i="5"/>
  <c r="E123" i="5"/>
  <c r="E125" i="5"/>
  <c r="E118" i="5"/>
  <c r="E126" i="5"/>
  <c r="B1" i="24"/>
  <c r="B27" i="24"/>
  <c r="B69" i="24"/>
  <c r="B110" i="24"/>
  <c r="B151" i="24"/>
  <c r="B192" i="24"/>
  <c r="B233" i="24"/>
  <c r="B275" i="24"/>
  <c r="B316" i="24"/>
  <c r="B357" i="24"/>
  <c r="B397" i="24"/>
  <c r="B438" i="24"/>
  <c r="B479" i="24"/>
  <c r="B519" i="24"/>
  <c r="B560" i="24"/>
  <c r="B601" i="24"/>
  <c r="B642" i="24"/>
  <c r="B683" i="24"/>
  <c r="B4" i="23"/>
  <c r="N11" i="23"/>
  <c r="N12" i="23"/>
  <c r="I16" i="23"/>
  <c r="I17" i="23"/>
  <c r="I18" i="23"/>
  <c r="B25" i="23"/>
  <c r="N33" i="23"/>
  <c r="N34" i="23"/>
  <c r="N35" i="23"/>
  <c r="I39" i="23"/>
  <c r="I40" i="23"/>
  <c r="B47" i="23"/>
  <c r="N54" i="23"/>
  <c r="N55" i="23" s="1"/>
  <c r="I58" i="23"/>
  <c r="I59" i="23"/>
  <c r="I60" i="23"/>
  <c r="B72" i="23"/>
  <c r="N80" i="23"/>
  <c r="I83" i="23"/>
  <c r="I84" i="23"/>
  <c r="I85" i="23" s="1"/>
  <c r="K121" i="5" s="1"/>
  <c r="B91" i="23"/>
  <c r="J98" i="23"/>
  <c r="N98" i="23" s="1"/>
  <c r="N99" i="23" s="1"/>
  <c r="J122" i="5" s="1"/>
  <c r="I102" i="23"/>
  <c r="I103" i="23"/>
  <c r="B110" i="23"/>
  <c r="N117" i="23"/>
  <c r="N118" i="23"/>
  <c r="J123" i="5" s="1"/>
  <c r="I121" i="23"/>
  <c r="I122" i="23"/>
  <c r="B129" i="23"/>
  <c r="N136" i="23"/>
  <c r="N137" i="23" s="1"/>
  <c r="I140" i="23"/>
  <c r="I141" i="23"/>
  <c r="B148" i="23"/>
  <c r="N155" i="23"/>
  <c r="N156" i="23" s="1"/>
  <c r="I159" i="23"/>
  <c r="I160" i="23"/>
  <c r="B167" i="23"/>
  <c r="J174" i="23"/>
  <c r="N174" i="23" s="1"/>
  <c r="N175" i="23" s="1"/>
  <c r="I178" i="23"/>
  <c r="I179" i="23"/>
  <c r="B186" i="23"/>
  <c r="N193" i="23"/>
  <c r="N194" i="23"/>
  <c r="N195" i="23"/>
  <c r="N196" i="23"/>
  <c r="I200" i="23"/>
  <c r="I201" i="23"/>
  <c r="I202" i="23"/>
  <c r="I203" i="23"/>
  <c r="I204" i="23"/>
  <c r="I205" i="23"/>
  <c r="I206" i="23"/>
  <c r="I207" i="23"/>
  <c r="B214" i="23"/>
  <c r="N221" i="23"/>
  <c r="N222" i="23"/>
  <c r="I226" i="23"/>
  <c r="I227" i="23"/>
  <c r="I228" i="23"/>
  <c r="I229" i="23"/>
  <c r="I230" i="23"/>
  <c r="I231" i="23"/>
  <c r="I232" i="23"/>
  <c r="I233" i="23"/>
  <c r="I237" i="23"/>
  <c r="B244" i="23"/>
  <c r="E251" i="23"/>
  <c r="N251" i="23" s="1"/>
  <c r="E252" i="23"/>
  <c r="N252" i="23" s="1"/>
  <c r="J252" i="23"/>
  <c r="I256" i="23"/>
  <c r="F257" i="23"/>
  <c r="I257" i="23" s="1"/>
  <c r="F258" i="23"/>
  <c r="I258" i="23" s="1"/>
  <c r="F259" i="23"/>
  <c r="I259" i="23" s="1"/>
  <c r="F260" i="23"/>
  <c r="I260" i="23" s="1"/>
  <c r="I261" i="23"/>
  <c r="I262" i="23"/>
  <c r="I263" i="23"/>
  <c r="F267" i="23"/>
  <c r="I267" i="23" s="1"/>
  <c r="I268" i="23" s="1"/>
  <c r="M131" i="5" s="1"/>
  <c r="B274" i="23"/>
  <c r="J281" i="23"/>
  <c r="I285" i="23"/>
  <c r="I286" i="23"/>
  <c r="B293" i="23"/>
  <c r="J300" i="23"/>
  <c r="N300" i="23" s="1"/>
  <c r="N301" i="23" s="1"/>
  <c r="J134" i="5" s="1"/>
  <c r="I304" i="23"/>
  <c r="I306" i="23" s="1"/>
  <c r="K134" i="5" s="1"/>
  <c r="I305" i="23"/>
  <c r="B312" i="23"/>
  <c r="N319" i="23"/>
  <c r="N320" i="23" s="1"/>
  <c r="J135" i="5" s="1"/>
  <c r="I323" i="23"/>
  <c r="I324" i="23"/>
  <c r="B331" i="23"/>
  <c r="N338" i="23"/>
  <c r="N339" i="23" s="1"/>
  <c r="I342" i="23"/>
  <c r="I343" i="23" s="1"/>
  <c r="K136" i="5" s="1"/>
  <c r="B354" i="23"/>
  <c r="N361" i="23"/>
  <c r="N362" i="23" s="1"/>
  <c r="I365" i="23"/>
  <c r="I366" i="23"/>
  <c r="I367" i="23"/>
  <c r="I368" i="23"/>
  <c r="I369" i="23"/>
  <c r="I370" i="23"/>
  <c r="B377" i="23"/>
  <c r="N384" i="23"/>
  <c r="N385" i="23" s="1"/>
  <c r="J138" i="5" s="1"/>
  <c r="I388" i="23"/>
  <c r="I389" i="23"/>
  <c r="B396" i="23"/>
  <c r="N403" i="23"/>
  <c r="N404" i="23" s="1"/>
  <c r="J139" i="5" s="1"/>
  <c r="I407" i="23"/>
  <c r="I408" i="23"/>
  <c r="B415" i="23"/>
  <c r="N422" i="23"/>
  <c r="N423" i="23" s="1"/>
  <c r="J140" i="5" s="1"/>
  <c r="I426" i="23"/>
  <c r="I427" i="23"/>
  <c r="I428" i="23"/>
  <c r="I429" i="23"/>
  <c r="B436" i="23"/>
  <c r="N443" i="23"/>
  <c r="N444" i="23" s="1"/>
  <c r="J141" i="5" s="1"/>
  <c r="I447" i="23"/>
  <c r="I448" i="23" s="1"/>
  <c r="K141" i="5" s="1"/>
  <c r="B454" i="23"/>
  <c r="N461" i="23"/>
  <c r="N462" i="23" s="1"/>
  <c r="J142" i="5" s="1"/>
  <c r="I465" i="23"/>
  <c r="I466" i="23"/>
  <c r="B473" i="23"/>
  <c r="J480" i="23"/>
  <c r="N480" i="23" s="1"/>
  <c r="N481" i="23" s="1"/>
  <c r="I484" i="23"/>
  <c r="I485" i="23"/>
  <c r="I486" i="23"/>
  <c r="B493" i="23"/>
  <c r="J500" i="23"/>
  <c r="N500" i="23"/>
  <c r="J501" i="23"/>
  <c r="N501" i="23" s="1"/>
  <c r="I505" i="23"/>
  <c r="I506" i="23"/>
  <c r="I507" i="23"/>
  <c r="I508" i="23"/>
  <c r="I509" i="23"/>
  <c r="I510" i="23"/>
  <c r="I514" i="23"/>
  <c r="I515" i="23" s="1"/>
  <c r="M144" i="5" s="1"/>
  <c r="B521" i="23"/>
  <c r="N528" i="23"/>
  <c r="N529" i="23" s="1"/>
  <c r="J145" i="5" s="1"/>
  <c r="I532" i="23"/>
  <c r="I533" i="23"/>
  <c r="I534" i="23"/>
  <c r="B541" i="23"/>
  <c r="J548" i="23"/>
  <c r="N548" i="23" s="1"/>
  <c r="N549" i="23" s="1"/>
  <c r="J146" i="5" s="1"/>
  <c r="I552" i="23"/>
  <c r="I553" i="23"/>
  <c r="I554" i="23"/>
  <c r="B561" i="23"/>
  <c r="E568" i="23"/>
  <c r="N568" i="23"/>
  <c r="N569" i="23" s="1"/>
  <c r="I572" i="23"/>
  <c r="I573" i="23"/>
  <c r="I574" i="23"/>
  <c r="I575" i="23"/>
  <c r="B582" i="23"/>
  <c r="N589" i="23"/>
  <c r="N590" i="23" s="1"/>
  <c r="J148" i="5" s="1"/>
  <c r="I593" i="23"/>
  <c r="I594" i="23"/>
  <c r="I595" i="23"/>
  <c r="I596" i="23"/>
  <c r="I597" i="23"/>
  <c r="I598" i="23"/>
  <c r="I599" i="23"/>
  <c r="I600" i="23"/>
  <c r="B607" i="23"/>
  <c r="N614" i="23"/>
  <c r="N615" i="23" s="1"/>
  <c r="J149" i="5" s="1"/>
  <c r="I618" i="23"/>
  <c r="I619" i="23"/>
  <c r="B626" i="23"/>
  <c r="J633" i="23"/>
  <c r="N633" i="23" s="1"/>
  <c r="N634" i="23" s="1"/>
  <c r="J150" i="5" s="1"/>
  <c r="I637" i="23"/>
  <c r="I638" i="23"/>
  <c r="B645" i="23"/>
  <c r="N652" i="23"/>
  <c r="N653" i="23" s="1"/>
  <c r="J151" i="5" s="1"/>
  <c r="I656" i="23"/>
  <c r="I657" i="23"/>
  <c r="I658" i="23"/>
  <c r="I659" i="23"/>
  <c r="I660" i="23"/>
  <c r="B667" i="23"/>
  <c r="N674" i="23"/>
  <c r="N675" i="23" s="1"/>
  <c r="J152" i="5" s="1"/>
  <c r="I678" i="23"/>
  <c r="I679" i="23"/>
  <c r="I680" i="23"/>
  <c r="B687" i="23"/>
  <c r="N694" i="23"/>
  <c r="N695" i="23" s="1"/>
  <c r="I698" i="23"/>
  <c r="I699" i="23"/>
  <c r="I700" i="23"/>
  <c r="I701" i="23"/>
  <c r="I702" i="23"/>
  <c r="I703" i="23"/>
  <c r="I704" i="23"/>
  <c r="B711" i="23"/>
  <c r="N718" i="23"/>
  <c r="N719" i="23" s="1"/>
  <c r="J155" i="5" s="1"/>
  <c r="I722" i="23"/>
  <c r="I723" i="23"/>
  <c r="I724" i="23"/>
  <c r="I725" i="23"/>
  <c r="I726" i="23"/>
  <c r="I727" i="23"/>
  <c r="I728" i="23"/>
  <c r="I732" i="23"/>
  <c r="I733" i="23" s="1"/>
  <c r="M155" i="5" s="1"/>
  <c r="B739" i="23"/>
  <c r="N746" i="23"/>
  <c r="N747" i="23" s="1"/>
  <c r="I750" i="23"/>
  <c r="I751" i="23"/>
  <c r="I752" i="23"/>
  <c r="I753" i="23"/>
  <c r="I757" i="23"/>
  <c r="I758" i="23" s="1"/>
  <c r="M156" i="5" s="1"/>
  <c r="B764" i="23"/>
  <c r="N771" i="23"/>
  <c r="N772" i="23" s="1"/>
  <c r="I775" i="23"/>
  <c r="I776" i="23" s="1"/>
  <c r="K157" i="5" s="1"/>
  <c r="I779" i="23"/>
  <c r="I780" i="23" s="1"/>
  <c r="M157" i="5" s="1"/>
  <c r="B786" i="23"/>
  <c r="N794" i="23"/>
  <c r="I797" i="23"/>
  <c r="I799" i="23" s="1"/>
  <c r="K158" i="5" s="1"/>
  <c r="I798" i="23"/>
  <c r="B805" i="23"/>
  <c r="N812" i="23"/>
  <c r="N814" i="23" s="1"/>
  <c r="J160" i="5" s="1"/>
  <c r="N813" i="23"/>
  <c r="I817" i="23"/>
  <c r="I818" i="23"/>
  <c r="I819" i="23"/>
  <c r="I820" i="23"/>
  <c r="I821" i="23"/>
  <c r="I827" i="23"/>
  <c r="M160" i="5" s="1"/>
  <c r="B833" i="23"/>
  <c r="N840" i="23"/>
  <c r="N841" i="23"/>
  <c r="I845" i="23"/>
  <c r="I846" i="23"/>
  <c r="I847" i="23"/>
  <c r="I848" i="23"/>
  <c r="I849" i="23"/>
  <c r="I853" i="23"/>
  <c r="I854" i="23" s="1"/>
  <c r="M161" i="5" s="1"/>
  <c r="B860" i="23"/>
  <c r="N867" i="23"/>
  <c r="N868" i="23"/>
  <c r="I872" i="23"/>
  <c r="I873" i="23"/>
  <c r="I874" i="23"/>
  <c r="I875" i="23"/>
  <c r="I876" i="23"/>
  <c r="I880" i="23"/>
  <c r="I881" i="23" s="1"/>
  <c r="M162" i="5" s="1"/>
  <c r="B887" i="23"/>
  <c r="E894" i="23"/>
  <c r="N894" i="23"/>
  <c r="E895" i="23"/>
  <c r="N895" i="23" s="1"/>
  <c r="I899" i="23"/>
  <c r="F900" i="23"/>
  <c r="I900" i="23" s="1"/>
  <c r="F901" i="23"/>
  <c r="I901" i="23" s="1"/>
  <c r="I902" i="23"/>
  <c r="I903" i="23"/>
  <c r="F904" i="23"/>
  <c r="I904" i="23" s="1"/>
  <c r="I905" i="23"/>
  <c r="I909" i="23"/>
  <c r="I910" i="23" s="1"/>
  <c r="M163" i="5" s="1"/>
  <c r="B916" i="23"/>
  <c r="J923" i="23"/>
  <c r="N923" i="23" s="1"/>
  <c r="N924" i="23" s="1"/>
  <c r="J164" i="5" s="1"/>
  <c r="K923" i="23"/>
  <c r="I927" i="23"/>
  <c r="I928" i="23"/>
  <c r="B10" i="22"/>
  <c r="D10" i="22"/>
  <c r="B11" i="22"/>
  <c r="D11" i="22"/>
  <c r="B12" i="22"/>
  <c r="D12" i="22"/>
  <c r="B13" i="22"/>
  <c r="D13" i="22"/>
  <c r="B14" i="22"/>
  <c r="D14" i="22"/>
  <c r="B15" i="22"/>
  <c r="D15" i="22"/>
  <c r="B16" i="22"/>
  <c r="D16" i="22"/>
  <c r="B17" i="22"/>
  <c r="D17" i="22"/>
  <c r="B18" i="22"/>
  <c r="D18" i="22"/>
  <c r="N22" i="22"/>
  <c r="N23" i="22" s="1"/>
  <c r="J117" i="5" s="1"/>
  <c r="I26" i="22"/>
  <c r="I27" i="22"/>
  <c r="I28" i="22"/>
  <c r="I32" i="22"/>
  <c r="I33" i="22"/>
  <c r="B46" i="22"/>
  <c r="D46" i="22"/>
  <c r="I50" i="22"/>
  <c r="I51" i="22"/>
  <c r="I52" i="22"/>
  <c r="J56" i="22"/>
  <c r="J57" i="22"/>
  <c r="J58" i="22"/>
  <c r="B71" i="22"/>
  <c r="D71" i="22"/>
  <c r="B72" i="22"/>
  <c r="D72" i="22"/>
  <c r="B73" i="22"/>
  <c r="D73" i="22"/>
  <c r="E77" i="22"/>
  <c r="N78" i="22"/>
  <c r="J129" i="5" s="1"/>
  <c r="F81" i="22"/>
  <c r="I81" i="22" s="1"/>
  <c r="F82" i="22"/>
  <c r="I82" i="22" s="1"/>
  <c r="F83" i="22"/>
  <c r="I83" i="22" s="1"/>
  <c r="I84" i="22"/>
  <c r="I85" i="22"/>
  <c r="I86" i="22"/>
  <c r="I87" i="22"/>
  <c r="I91" i="22"/>
  <c r="J91" i="22" s="1"/>
  <c r="I92" i="22"/>
  <c r="J92" i="22" s="1"/>
  <c r="I93" i="22"/>
  <c r="J93" i="22" s="1"/>
  <c r="F97" i="22"/>
  <c r="I97" i="22" s="1"/>
  <c r="I98" i="22" s="1"/>
  <c r="M129" i="5" s="1"/>
  <c r="B110" i="22"/>
  <c r="D110" i="22"/>
  <c r="B111" i="22"/>
  <c r="D111" i="22"/>
  <c r="B112" i="22"/>
  <c r="D112" i="22"/>
  <c r="B113" i="22"/>
  <c r="D113" i="22"/>
  <c r="B114" i="22"/>
  <c r="D114" i="22"/>
  <c r="B115" i="22"/>
  <c r="D115" i="22"/>
  <c r="B116" i="22"/>
  <c r="D116" i="22"/>
  <c r="B117" i="22"/>
  <c r="D117" i="22"/>
  <c r="B118" i="22"/>
  <c r="D118" i="22"/>
  <c r="B119" i="22"/>
  <c r="D119" i="22"/>
  <c r="B120" i="22"/>
  <c r="D120" i="22"/>
  <c r="B121" i="22"/>
  <c r="D121" i="22"/>
  <c r="B122" i="22"/>
  <c r="D122" i="22"/>
  <c r="B123" i="22"/>
  <c r="D123" i="22"/>
  <c r="B124" i="22"/>
  <c r="D124" i="22"/>
  <c r="B125" i="22"/>
  <c r="D125" i="22"/>
  <c r="B126" i="22"/>
  <c r="D126" i="22"/>
  <c r="B127" i="22"/>
  <c r="D127" i="22"/>
  <c r="B128" i="22"/>
  <c r="D128" i="22"/>
  <c r="N132" i="22"/>
  <c r="N133" i="22"/>
  <c r="I138" i="22"/>
  <c r="I139" i="22"/>
  <c r="I140" i="22"/>
  <c r="I141" i="22"/>
  <c r="I142" i="22"/>
  <c r="I143" i="22"/>
  <c r="I144" i="22"/>
  <c r="I145" i="22"/>
  <c r="I146" i="22"/>
  <c r="I147" i="22"/>
  <c r="I148" i="22"/>
  <c r="I149" i="22"/>
  <c r="I150" i="22"/>
  <c r="I151" i="22"/>
  <c r="I152" i="22"/>
  <c r="I153" i="22"/>
  <c r="I154" i="22"/>
  <c r="I155" i="22"/>
  <c r="I156" i="22"/>
  <c r="I157" i="22"/>
  <c r="I158" i="22"/>
  <c r="I159" i="22"/>
  <c r="I160" i="22"/>
  <c r="I161" i="22"/>
  <c r="I162" i="22"/>
  <c r="I163" i="22"/>
  <c r="I164" i="22"/>
  <c r="I165" i="22"/>
  <c r="I166" i="22"/>
  <c r="I167" i="22"/>
  <c r="I168" i="22"/>
  <c r="I169" i="22"/>
  <c r="I170" i="22"/>
  <c r="I171" i="22"/>
  <c r="I172" i="22"/>
  <c r="I173" i="22"/>
  <c r="I174" i="22"/>
  <c r="I175" i="22"/>
  <c r="I176" i="22"/>
  <c r="I177" i="22"/>
  <c r="I178" i="22"/>
  <c r="I179" i="22"/>
  <c r="I180" i="22"/>
  <c r="I181" i="22"/>
  <c r="I182" i="22"/>
  <c r="I183" i="22"/>
  <c r="I184" i="22"/>
  <c r="I185" i="22"/>
  <c r="I186" i="22"/>
  <c r="I187" i="22"/>
  <c r="J191" i="22"/>
  <c r="J192" i="22"/>
  <c r="J193" i="22"/>
  <c r="J194" i="22"/>
  <c r="J195" i="22"/>
  <c r="J196" i="22"/>
  <c r="J197" i="22"/>
  <c r="J198" i="22"/>
  <c r="J199" i="22"/>
  <c r="J200" i="22"/>
  <c r="J201" i="22"/>
  <c r="J202" i="22"/>
  <c r="J203" i="22"/>
  <c r="J204" i="22"/>
  <c r="J205" i="22"/>
  <c r="J206" i="22"/>
  <c r="J207" i="22"/>
  <c r="J208" i="22"/>
  <c r="J209" i="22"/>
  <c r="J210" i="22"/>
  <c r="J211" i="22"/>
  <c r="J212" i="22"/>
  <c r="J213" i="22"/>
  <c r="J214" i="22"/>
  <c r="J215" i="22"/>
  <c r="J216" i="22"/>
  <c r="J217" i="22"/>
  <c r="J218" i="22"/>
  <c r="J219" i="22"/>
  <c r="J220" i="22"/>
  <c r="I224" i="22"/>
  <c r="I225" i="22" s="1"/>
  <c r="M133" i="5" s="1"/>
  <c r="B238" i="22"/>
  <c r="D238" i="22"/>
  <c r="B239" i="22"/>
  <c r="D239" i="22"/>
  <c r="B240" i="22"/>
  <c r="D240" i="22"/>
  <c r="B241" i="22"/>
  <c r="D241" i="22"/>
  <c r="B242" i="22"/>
  <c r="D242" i="22"/>
  <c r="N246" i="22"/>
  <c r="N247" i="22"/>
  <c r="I251" i="22"/>
  <c r="I252" i="22"/>
  <c r="I253" i="22"/>
  <c r="I254" i="22"/>
  <c r="I255" i="22"/>
  <c r="I256" i="22"/>
  <c r="I257" i="22"/>
  <c r="I258" i="22"/>
  <c r="I259" i="22"/>
  <c r="I260" i="22"/>
  <c r="I261" i="22"/>
  <c r="J265" i="22"/>
  <c r="J266" i="22"/>
  <c r="J267" i="22"/>
  <c r="I271" i="22"/>
  <c r="I272" i="22" s="1"/>
  <c r="M153" i="5" s="1"/>
  <c r="B284" i="22"/>
  <c r="D284" i="22"/>
  <c r="B285" i="22"/>
  <c r="D285" i="22"/>
  <c r="B286" i="22"/>
  <c r="D286" i="22"/>
  <c r="B287" i="22"/>
  <c r="D287" i="22"/>
  <c r="B288" i="22"/>
  <c r="D288" i="22"/>
  <c r="E292" i="22" s="1"/>
  <c r="N292" i="22" s="1"/>
  <c r="N293" i="22" s="1"/>
  <c r="J159" i="5" s="1"/>
  <c r="I310" i="22"/>
  <c r="K159" i="5" s="1"/>
  <c r="J313" i="22"/>
  <c r="J314" i="22"/>
  <c r="J315" i="22"/>
  <c r="J316" i="22"/>
  <c r="J317" i="22"/>
  <c r="J319" i="22"/>
  <c r="J320" i="22"/>
  <c r="I161" i="23" l="1"/>
  <c r="K125" i="5" s="1"/>
  <c r="J268" i="22"/>
  <c r="L153" i="5" s="1"/>
  <c r="I188" i="22"/>
  <c r="K133" i="5" s="1"/>
  <c r="I29" i="22"/>
  <c r="K117" i="5" s="1"/>
  <c r="N36" i="23"/>
  <c r="J119" i="5" s="1"/>
  <c r="I53" i="22"/>
  <c r="K127" i="5" s="1"/>
  <c r="I754" i="23"/>
  <c r="K156" i="5" s="1"/>
  <c r="I262" i="22"/>
  <c r="K153" i="5" s="1"/>
  <c r="I104" i="23"/>
  <c r="K122" i="5" s="1"/>
  <c r="H122" i="5" s="1"/>
  <c r="N122" i="5" s="1"/>
  <c r="I287" i="23"/>
  <c r="K132" i="5" s="1"/>
  <c r="J94" i="22"/>
  <c r="L129" i="5" s="1"/>
  <c r="I705" i="23"/>
  <c r="K154" i="5" s="1"/>
  <c r="I430" i="23"/>
  <c r="K140" i="5" s="1"/>
  <c r="H140" i="5" s="1"/>
  <c r="N140" i="5" s="1"/>
  <c r="I390" i="23"/>
  <c r="K138" i="5" s="1"/>
  <c r="H138" i="5" s="1"/>
  <c r="N138" i="5" s="1"/>
  <c r="I371" i="23"/>
  <c r="K137" i="5" s="1"/>
  <c r="N842" i="23"/>
  <c r="J161" i="5" s="1"/>
  <c r="I601" i="23"/>
  <c r="K148" i="5" s="1"/>
  <c r="H148" i="5" s="1"/>
  <c r="N148" i="5" s="1"/>
  <c r="I576" i="23"/>
  <c r="K147" i="5" s="1"/>
  <c r="I487" i="23"/>
  <c r="K143" i="5" s="1"/>
  <c r="I180" i="23"/>
  <c r="K126" i="5" s="1"/>
  <c r="F324" i="22"/>
  <c r="I324" i="22" s="1"/>
  <c r="I325" i="22" s="1"/>
  <c r="M159" i="5" s="1"/>
  <c r="I906" i="23"/>
  <c r="K163" i="5" s="1"/>
  <c r="N685" i="23"/>
  <c r="N688" i="23" s="1"/>
  <c r="J154" i="5"/>
  <c r="N762" i="23"/>
  <c r="N765" i="23" s="1"/>
  <c r="J157" i="5"/>
  <c r="H157" i="5" s="1"/>
  <c r="N157" i="5" s="1"/>
  <c r="N70" i="23"/>
  <c r="N73" i="23" s="1"/>
  <c r="J121" i="5"/>
  <c r="H121" i="5" s="1"/>
  <c r="N121" i="5" s="1"/>
  <c r="J156" i="5"/>
  <c r="N329" i="23"/>
  <c r="C112" i="22" s="1"/>
  <c r="E112" i="22" s="1"/>
  <c r="J136" i="5"/>
  <c r="H136" i="5" s="1"/>
  <c r="N136" i="5" s="1"/>
  <c r="N165" i="23"/>
  <c r="J126" i="5"/>
  <c r="J124" i="5"/>
  <c r="I61" i="23"/>
  <c r="K120" i="5" s="1"/>
  <c r="N13" i="23"/>
  <c r="I318" i="22"/>
  <c r="J318" i="22" s="1"/>
  <c r="J321" i="22" s="1"/>
  <c r="L159" i="5" s="1"/>
  <c r="N559" i="23"/>
  <c r="N562" i="23" s="1"/>
  <c r="J147" i="5"/>
  <c r="N502" i="23"/>
  <c r="J144" i="5" s="1"/>
  <c r="I409" i="23"/>
  <c r="K139" i="5" s="1"/>
  <c r="H139" i="5" s="1"/>
  <c r="N139" i="5" s="1"/>
  <c r="N223" i="23"/>
  <c r="J130" i="5" s="1"/>
  <c r="N45" i="23"/>
  <c r="N48" i="23" s="1"/>
  <c r="J120" i="5"/>
  <c r="I681" i="23"/>
  <c r="K152" i="5" s="1"/>
  <c r="H152" i="5" s="1"/>
  <c r="N152" i="5" s="1"/>
  <c r="I264" i="23"/>
  <c r="K131" i="5" s="1"/>
  <c r="I822" i="23"/>
  <c r="K160" i="5" s="1"/>
  <c r="H160" i="5" s="1"/>
  <c r="N160" i="5" s="1"/>
  <c r="I34" i="22"/>
  <c r="M117" i="5" s="1"/>
  <c r="H117" i="5" s="1"/>
  <c r="N117" i="5" s="1"/>
  <c r="N471" i="23"/>
  <c r="C119" i="22" s="1"/>
  <c r="E119" i="22" s="1"/>
  <c r="J143" i="5"/>
  <c r="H143" i="5" s="1"/>
  <c r="N143" i="5" s="1"/>
  <c r="I620" i="23"/>
  <c r="K149" i="5" s="1"/>
  <c r="H149" i="5" s="1"/>
  <c r="N149" i="5" s="1"/>
  <c r="N248" i="22"/>
  <c r="J153" i="5" s="1"/>
  <c r="H153" i="5" s="1"/>
  <c r="N153" i="5" s="1"/>
  <c r="I661" i="23"/>
  <c r="K151" i="5" s="1"/>
  <c r="H151" i="5" s="1"/>
  <c r="N151" i="5" s="1"/>
  <c r="I142" i="23"/>
  <c r="K124" i="5" s="1"/>
  <c r="I208" i="23"/>
  <c r="K128" i="5" s="1"/>
  <c r="I929" i="23"/>
  <c r="K164" i="5" s="1"/>
  <c r="H164" i="5" s="1"/>
  <c r="N164" i="5" s="1"/>
  <c r="I511" i="23"/>
  <c r="K144" i="5" s="1"/>
  <c r="N896" i="23"/>
  <c r="N146" i="23"/>
  <c r="J125" i="5"/>
  <c r="H125" i="5" s="1"/>
  <c r="N125" i="5" s="1"/>
  <c r="J137" i="5"/>
  <c r="H137" i="5" s="1"/>
  <c r="N137" i="5" s="1"/>
  <c r="N197" i="23"/>
  <c r="J128" i="5" s="1"/>
  <c r="H128" i="5" s="1"/>
  <c r="N128" i="5" s="1"/>
  <c r="I19" i="23"/>
  <c r="K118" i="5" s="1"/>
  <c r="J158" i="5"/>
  <c r="H158" i="5" s="1"/>
  <c r="N158" i="5" s="1"/>
  <c r="H154" i="5"/>
  <c r="N154" i="5" s="1"/>
  <c r="H141" i="5"/>
  <c r="N141" i="5" s="1"/>
  <c r="H134" i="5"/>
  <c r="N134" i="5" s="1"/>
  <c r="I88" i="22"/>
  <c r="K129" i="5" s="1"/>
  <c r="H129" i="5" s="1"/>
  <c r="N129" i="5" s="1"/>
  <c r="C241" i="22"/>
  <c r="E241" i="22" s="1"/>
  <c r="N291" i="23"/>
  <c r="N89" i="23"/>
  <c r="N803" i="23"/>
  <c r="I234" i="23"/>
  <c r="N135" i="22"/>
  <c r="J133" i="5" s="1"/>
  <c r="N413" i="23"/>
  <c r="N281" i="23"/>
  <c r="N282" i="23" s="1"/>
  <c r="J59" i="22"/>
  <c r="L127" i="5" s="1"/>
  <c r="I850" i="23"/>
  <c r="K161" i="5" s="1"/>
  <c r="H161" i="5" s="1"/>
  <c r="N161" i="5" s="1"/>
  <c r="N784" i="23"/>
  <c r="I729" i="23"/>
  <c r="N434" i="23"/>
  <c r="N394" i="23"/>
  <c r="I325" i="23"/>
  <c r="N869" i="23"/>
  <c r="J162" i="5" s="1"/>
  <c r="N580" i="23"/>
  <c r="J221" i="22"/>
  <c r="L133" i="5" s="1"/>
  <c r="I877" i="23"/>
  <c r="K162" i="5" s="1"/>
  <c r="I639" i="23"/>
  <c r="I555" i="23"/>
  <c r="I535" i="23"/>
  <c r="I467" i="23"/>
  <c r="N375" i="23"/>
  <c r="N253" i="23"/>
  <c r="I123" i="23"/>
  <c r="K123" i="5" s="1"/>
  <c r="H123" i="5" s="1"/>
  <c r="N123" i="5" s="1"/>
  <c r="I41" i="23"/>
  <c r="K119" i="5" s="1"/>
  <c r="H119" i="5" s="1"/>
  <c r="N119" i="5" s="1"/>
  <c r="N184" i="23" l="1"/>
  <c r="H127" i="5"/>
  <c r="N127" i="5" s="1"/>
  <c r="N831" i="23"/>
  <c r="C123" i="22"/>
  <c r="E123" i="22" s="1"/>
  <c r="H147" i="5"/>
  <c r="N147" i="5" s="1"/>
  <c r="C13" i="22"/>
  <c r="E13" i="22" s="1"/>
  <c r="M165" i="5"/>
  <c r="H156" i="5"/>
  <c r="N156" i="5" s="1"/>
  <c r="N737" i="23"/>
  <c r="C240" i="22" s="1"/>
  <c r="E240" i="22" s="1"/>
  <c r="N352" i="23"/>
  <c r="C113" i="22" s="1"/>
  <c r="E113" i="22" s="1"/>
  <c r="N491" i="23"/>
  <c r="N914" i="23"/>
  <c r="C288" i="22" s="1"/>
  <c r="E288" i="22" s="1"/>
  <c r="H144" i="5"/>
  <c r="N144" i="5" s="1"/>
  <c r="H126" i="5"/>
  <c r="N126" i="5" s="1"/>
  <c r="N474" i="23"/>
  <c r="H124" i="5"/>
  <c r="N124" i="5" s="1"/>
  <c r="H133" i="5"/>
  <c r="N133" i="5" s="1"/>
  <c r="H162" i="5"/>
  <c r="N162" i="5" s="1"/>
  <c r="H120" i="5"/>
  <c r="N120" i="5" s="1"/>
  <c r="H159" i="5"/>
  <c r="N159" i="5" s="1"/>
  <c r="N310" i="23"/>
  <c r="C111" i="22" s="1"/>
  <c r="E111" i="22" s="1"/>
  <c r="K135" i="5"/>
  <c r="H135" i="5" s="1"/>
  <c r="N135" i="5" s="1"/>
  <c r="N539" i="23"/>
  <c r="C122" i="22" s="1"/>
  <c r="E122" i="22" s="1"/>
  <c r="K146" i="5"/>
  <c r="H146" i="5" s="1"/>
  <c r="N146" i="5" s="1"/>
  <c r="N624" i="23"/>
  <c r="N627" i="23" s="1"/>
  <c r="K150" i="5"/>
  <c r="H150" i="5" s="1"/>
  <c r="N150" i="5" s="1"/>
  <c r="C238" i="22"/>
  <c r="E238" i="22" s="1"/>
  <c r="L165" i="5"/>
  <c r="N885" i="23"/>
  <c r="J163" i="5"/>
  <c r="H163" i="5" s="1"/>
  <c r="N163" i="5" s="1"/>
  <c r="N272" i="23"/>
  <c r="C73" i="22" s="1"/>
  <c r="E73" i="22" s="1"/>
  <c r="J132" i="5"/>
  <c r="H132" i="5" s="1"/>
  <c r="N132" i="5" s="1"/>
  <c r="N127" i="23"/>
  <c r="N519" i="23"/>
  <c r="C121" i="22" s="1"/>
  <c r="E121" i="22" s="1"/>
  <c r="K145" i="5"/>
  <c r="H145" i="5" s="1"/>
  <c r="N145" i="5" s="1"/>
  <c r="N709" i="23"/>
  <c r="C239" i="22" s="1"/>
  <c r="E239" i="22" s="1"/>
  <c r="K155" i="5"/>
  <c r="H155" i="5" s="1"/>
  <c r="N155" i="5" s="1"/>
  <c r="N108" i="23"/>
  <c r="N643" i="23"/>
  <c r="C127" i="22" s="1"/>
  <c r="E127" i="22" s="1"/>
  <c r="N740" i="23"/>
  <c r="N332" i="23"/>
  <c r="N2" i="23"/>
  <c r="J118" i="5"/>
  <c r="N149" i="23"/>
  <c r="C17" i="22"/>
  <c r="E17" i="22" s="1"/>
  <c r="N168" i="23"/>
  <c r="C18" i="22"/>
  <c r="E18" i="22" s="1"/>
  <c r="N452" i="23"/>
  <c r="C118" i="22" s="1"/>
  <c r="E118" i="22" s="1"/>
  <c r="K142" i="5"/>
  <c r="H142" i="5" s="1"/>
  <c r="N142" i="5" s="1"/>
  <c r="N605" i="23"/>
  <c r="N23" i="23"/>
  <c r="C11" i="22" s="1"/>
  <c r="E11" i="22" s="1"/>
  <c r="N242" i="23"/>
  <c r="N245" i="23" s="1"/>
  <c r="J131" i="5"/>
  <c r="H131" i="5" s="1"/>
  <c r="N131" i="5" s="1"/>
  <c r="N212" i="23"/>
  <c r="N215" i="23" s="1"/>
  <c r="K130" i="5"/>
  <c r="H130" i="5" s="1"/>
  <c r="N130" i="5" s="1"/>
  <c r="C12" i="22"/>
  <c r="E12" i="22" s="1"/>
  <c r="N665" i="23"/>
  <c r="N668" i="23" s="1"/>
  <c r="N522" i="23"/>
  <c r="N313" i="23"/>
  <c r="N542" i="23"/>
  <c r="C285" i="22"/>
  <c r="E285" i="22" s="1"/>
  <c r="N834" i="23"/>
  <c r="C117" i="22"/>
  <c r="E117" i="22" s="1"/>
  <c r="N437" i="23"/>
  <c r="N416" i="23"/>
  <c r="C116" i="22"/>
  <c r="E116" i="22" s="1"/>
  <c r="N917" i="23"/>
  <c r="N187" i="23"/>
  <c r="C46" i="22"/>
  <c r="E46" i="22" s="1"/>
  <c r="E47" i="22" s="1"/>
  <c r="N38" i="22" s="1"/>
  <c r="N41" i="22" s="1"/>
  <c r="C120" i="22"/>
  <c r="E120" i="22" s="1"/>
  <c r="N494" i="23"/>
  <c r="N378" i="23"/>
  <c r="C114" i="22"/>
  <c r="E114" i="22" s="1"/>
  <c r="C124" i="22"/>
  <c r="E124" i="22" s="1"/>
  <c r="N583" i="23"/>
  <c r="N806" i="23"/>
  <c r="C284" i="22"/>
  <c r="E284" i="22" s="1"/>
  <c r="C110" i="22"/>
  <c r="E110" i="22" s="1"/>
  <c r="N294" i="23"/>
  <c r="N397" i="23"/>
  <c r="C115" i="22"/>
  <c r="E115" i="22" s="1"/>
  <c r="N787" i="23"/>
  <c r="C242" i="22"/>
  <c r="E242" i="22" s="1"/>
  <c r="N111" i="23"/>
  <c r="C15" i="22"/>
  <c r="E15" i="22" s="1"/>
  <c r="N858" i="23"/>
  <c r="N608" i="23"/>
  <c r="C125" i="22"/>
  <c r="E125" i="22" s="1"/>
  <c r="C14" i="22"/>
  <c r="E14" i="22" s="1"/>
  <c r="N92" i="23"/>
  <c r="C71" i="22" l="1"/>
  <c r="E71" i="22" s="1"/>
  <c r="N646" i="23"/>
  <c r="N355" i="23"/>
  <c r="N26" i="23"/>
  <c r="C126" i="22"/>
  <c r="E126" i="22" s="1"/>
  <c r="N455" i="23"/>
  <c r="C128" i="22"/>
  <c r="E128" i="22" s="1"/>
  <c r="K165" i="5"/>
  <c r="N275" i="23"/>
  <c r="N5" i="23"/>
  <c r="C10" i="22"/>
  <c r="E10" i="22" s="1"/>
  <c r="N712" i="23"/>
  <c r="N130" i="23"/>
  <c r="C16" i="22"/>
  <c r="E16" i="22" s="1"/>
  <c r="C72" i="22"/>
  <c r="E72" i="22" s="1"/>
  <c r="E74" i="22" s="1"/>
  <c r="N63" i="22" s="1"/>
  <c r="N66" i="22" s="1"/>
  <c r="H118" i="5"/>
  <c r="N118" i="5" s="1"/>
  <c r="N165" i="5" s="1"/>
  <c r="J165" i="5"/>
  <c r="C287" i="22"/>
  <c r="E287" i="22" s="1"/>
  <c r="N888" i="23"/>
  <c r="E243" i="22"/>
  <c r="N230" i="22" s="1"/>
  <c r="N233" i="22" s="1"/>
  <c r="N861" i="23"/>
  <c r="C286" i="22"/>
  <c r="E286" i="22" s="1"/>
  <c r="E129" i="22" l="1"/>
  <c r="N102" i="22" s="1"/>
  <c r="N105" i="22" s="1"/>
  <c r="E19" i="22"/>
  <c r="N2" i="22" s="1"/>
  <c r="N5" i="22" s="1"/>
  <c r="E289" i="22"/>
  <c r="N276" i="22" s="1"/>
  <c r="N279" i="22" s="1"/>
  <c r="I233" i="5"/>
  <c r="F233" i="5"/>
  <c r="C233" i="5"/>
  <c r="I232" i="5"/>
  <c r="F232" i="5"/>
  <c r="C232" i="5"/>
  <c r="I231" i="5"/>
  <c r="F231" i="5"/>
  <c r="C231" i="5"/>
  <c r="I230" i="5"/>
  <c r="F230" i="5"/>
  <c r="C230" i="5"/>
  <c r="I229" i="5"/>
  <c r="F229" i="5"/>
  <c r="C229" i="5"/>
  <c r="I228" i="5"/>
  <c r="F228" i="5"/>
  <c r="C228" i="5"/>
  <c r="I227" i="5"/>
  <c r="F227" i="5"/>
  <c r="C227" i="5"/>
  <c r="I226" i="5"/>
  <c r="F226" i="5"/>
  <c r="C226" i="5"/>
  <c r="I225" i="5"/>
  <c r="F225" i="5"/>
  <c r="C225" i="5"/>
  <c r="I224" i="5"/>
  <c r="F224" i="5"/>
  <c r="C224" i="5"/>
  <c r="I223" i="5"/>
  <c r="F223" i="5"/>
  <c r="C223" i="5"/>
  <c r="I222" i="5"/>
  <c r="F222" i="5"/>
  <c r="C222" i="5"/>
  <c r="I221" i="5"/>
  <c r="F221" i="5"/>
  <c r="C221" i="5"/>
  <c r="I220" i="5"/>
  <c r="F220" i="5"/>
  <c r="C220" i="5"/>
  <c r="I219" i="5"/>
  <c r="F219" i="5"/>
  <c r="C219" i="5"/>
  <c r="I218" i="5"/>
  <c r="F218" i="5"/>
  <c r="C218" i="5"/>
  <c r="I217" i="5"/>
  <c r="F217" i="5"/>
  <c r="C217" i="5"/>
  <c r="I216" i="5"/>
  <c r="F216" i="5"/>
  <c r="C216" i="5"/>
  <c r="I215" i="5"/>
  <c r="F215" i="5"/>
  <c r="C215" i="5"/>
  <c r="I214" i="5"/>
  <c r="F214" i="5"/>
  <c r="C214" i="5"/>
  <c r="I213" i="5"/>
  <c r="F213" i="5"/>
  <c r="C213" i="5"/>
  <c r="I212" i="5"/>
  <c r="F212" i="5"/>
  <c r="C212" i="5"/>
  <c r="I211" i="5"/>
  <c r="F211" i="5"/>
  <c r="C211" i="5"/>
  <c r="I210" i="5"/>
  <c r="F210" i="5"/>
  <c r="C210" i="5"/>
  <c r="I209" i="5"/>
  <c r="F209" i="5"/>
  <c r="C209" i="5"/>
  <c r="I208" i="5"/>
  <c r="F208" i="5"/>
  <c r="C208" i="5"/>
  <c r="I207" i="5"/>
  <c r="F207" i="5"/>
  <c r="C207" i="5"/>
  <c r="I206" i="5"/>
  <c r="F206" i="5"/>
  <c r="C206" i="5"/>
  <c r="B1" i="15"/>
  <c r="G1" i="15"/>
  <c r="B18" i="15"/>
  <c r="G18" i="15"/>
  <c r="B34" i="15"/>
  <c r="G34" i="15"/>
  <c r="B50" i="15"/>
  <c r="G50" i="15"/>
  <c r="B67" i="15"/>
  <c r="G67" i="15"/>
  <c r="B4" i="14"/>
  <c r="J11" i="14"/>
  <c r="N11" i="14" s="1"/>
  <c r="J12" i="14"/>
  <c r="N12" i="14" s="1"/>
  <c r="N13" i="14" s="1"/>
  <c r="J207" i="5" s="1"/>
  <c r="I16" i="14"/>
  <c r="I17" i="14"/>
  <c r="I18" i="14"/>
  <c r="I19" i="14"/>
  <c r="I20" i="14"/>
  <c r="I21" i="14"/>
  <c r="I22" i="14"/>
  <c r="I23" i="14"/>
  <c r="I24" i="14"/>
  <c r="I25" i="14"/>
  <c r="I29" i="14"/>
  <c r="I30" i="14" s="1"/>
  <c r="M207" i="5" s="1"/>
  <c r="B36" i="14"/>
  <c r="J43" i="14"/>
  <c r="N43" i="14" s="1"/>
  <c r="N44" i="14" s="1"/>
  <c r="I47" i="14"/>
  <c r="I48" i="14"/>
  <c r="I49" i="14"/>
  <c r="I50" i="14"/>
  <c r="I51" i="14"/>
  <c r="I52" i="14"/>
  <c r="B60" i="14"/>
  <c r="J67" i="14"/>
  <c r="N67" i="14" s="1"/>
  <c r="N68" i="14" s="1"/>
  <c r="I71" i="14"/>
  <c r="I72" i="14"/>
  <c r="B80" i="14"/>
  <c r="J87" i="14"/>
  <c r="N87" i="14" s="1"/>
  <c r="N88" i="14" s="1"/>
  <c r="I91" i="14"/>
  <c r="I92" i="14"/>
  <c r="I93" i="14"/>
  <c r="I95" i="14" s="1"/>
  <c r="K210" i="5" s="1"/>
  <c r="I94" i="14"/>
  <c r="B101" i="14"/>
  <c r="J108" i="14"/>
  <c r="N108" i="14" s="1"/>
  <c r="N109" i="14" s="1"/>
  <c r="I112" i="14"/>
  <c r="I113" i="14"/>
  <c r="I114" i="14"/>
  <c r="I115" i="14"/>
  <c r="I116" i="14"/>
  <c r="I117" i="14"/>
  <c r="B125" i="14"/>
  <c r="J132" i="14"/>
  <c r="N132" i="14" s="1"/>
  <c r="N133" i="14" s="1"/>
  <c r="I136" i="14"/>
  <c r="I138" i="14" s="1"/>
  <c r="K213" i="5" s="1"/>
  <c r="I137" i="14"/>
  <c r="B145" i="14"/>
  <c r="J152" i="14"/>
  <c r="N152" i="14" s="1"/>
  <c r="N153" i="14" s="1"/>
  <c r="J214" i="5" s="1"/>
  <c r="I156" i="14"/>
  <c r="I157" i="14"/>
  <c r="I158" i="14"/>
  <c r="B165" i="14"/>
  <c r="N173" i="14"/>
  <c r="J215" i="5" s="1"/>
  <c r="I176" i="14"/>
  <c r="I177" i="14"/>
  <c r="I178" i="14"/>
  <c r="I179" i="14"/>
  <c r="I183" i="14"/>
  <c r="I184" i="14"/>
  <c r="M215" i="5" s="1"/>
  <c r="B190" i="14"/>
  <c r="J197" i="14"/>
  <c r="N197" i="14" s="1"/>
  <c r="N198" i="14" s="1"/>
  <c r="J216" i="5" s="1"/>
  <c r="I201" i="14"/>
  <c r="I202" i="14"/>
  <c r="I203" i="14"/>
  <c r="I204" i="14" s="1"/>
  <c r="K216" i="5" s="1"/>
  <c r="B211" i="14"/>
  <c r="J218" i="14"/>
  <c r="N218" i="14"/>
  <c r="N219" i="14" s="1"/>
  <c r="J217" i="5" s="1"/>
  <c r="I222" i="14"/>
  <c r="I224" i="14" s="1"/>
  <c r="K217" i="5" s="1"/>
  <c r="I223" i="14"/>
  <c r="B231" i="14"/>
  <c r="J238" i="14"/>
  <c r="N238" i="14" s="1"/>
  <c r="N239" i="14" s="1"/>
  <c r="I242" i="14"/>
  <c r="I243" i="14"/>
  <c r="I244" i="14"/>
  <c r="B252" i="14"/>
  <c r="J259" i="14"/>
  <c r="N259" i="14" s="1"/>
  <c r="N260" i="14" s="1"/>
  <c r="I263" i="14"/>
  <c r="I264" i="14"/>
  <c r="I265" i="14"/>
  <c r="I266" i="14"/>
  <c r="I267" i="14"/>
  <c r="I268" i="14"/>
  <c r="I269" i="14"/>
  <c r="I270" i="14"/>
  <c r="B280" i="14"/>
  <c r="J287" i="14"/>
  <c r="N287" i="14" s="1"/>
  <c r="N288" i="14" s="1"/>
  <c r="I291" i="14"/>
  <c r="I292" i="14"/>
  <c r="I293" i="14"/>
  <c r="B301" i="14"/>
  <c r="J308" i="14"/>
  <c r="N308" i="14" s="1"/>
  <c r="N309" i="14" s="1"/>
  <c r="J222" i="5" s="1"/>
  <c r="I312" i="14"/>
  <c r="I313" i="14"/>
  <c r="I314" i="14"/>
  <c r="B322" i="14"/>
  <c r="J329" i="14"/>
  <c r="N329" i="14" s="1"/>
  <c r="N330" i="14" s="1"/>
  <c r="J223" i="5" s="1"/>
  <c r="I333" i="14"/>
  <c r="I334" i="14"/>
  <c r="B343" i="14"/>
  <c r="J350" i="14"/>
  <c r="N350" i="14" s="1"/>
  <c r="N351" i="14" s="1"/>
  <c r="B362" i="14"/>
  <c r="J369" i="14"/>
  <c r="N369" i="14" s="1"/>
  <c r="N370" i="14" s="1"/>
  <c r="I373" i="14"/>
  <c r="I374" i="14"/>
  <c r="I375" i="14"/>
  <c r="B382" i="14"/>
  <c r="J389" i="14"/>
  <c r="N389" i="14" s="1"/>
  <c r="N390" i="14" s="1"/>
  <c r="I393" i="14"/>
  <c r="I394" i="14"/>
  <c r="I395" i="14"/>
  <c r="B402" i="14"/>
  <c r="J409" i="14"/>
  <c r="N409" i="14" s="1"/>
  <c r="N410" i="14" s="1"/>
  <c r="I413" i="14"/>
  <c r="I414" i="14"/>
  <c r="I415" i="14"/>
  <c r="I416" i="14"/>
  <c r="I417" i="14"/>
  <c r="B425" i="14"/>
  <c r="J432" i="14"/>
  <c r="N432" i="14"/>
  <c r="N433" i="14" s="1"/>
  <c r="I436" i="14"/>
  <c r="I437" i="14"/>
  <c r="I438" i="14"/>
  <c r="B446" i="14"/>
  <c r="J453" i="14"/>
  <c r="N453" i="14"/>
  <c r="N454" i="14" s="1"/>
  <c r="I457" i="14"/>
  <c r="F458" i="14"/>
  <c r="I458" i="14" s="1"/>
  <c r="I460" i="14" s="1"/>
  <c r="K231" i="5" s="1"/>
  <c r="I459" i="14"/>
  <c r="B466" i="14"/>
  <c r="J473" i="14"/>
  <c r="N473" i="14" s="1"/>
  <c r="N474" i="14" s="1"/>
  <c r="I477" i="14"/>
  <c r="F478" i="14"/>
  <c r="I478" i="14" s="1"/>
  <c r="I479" i="14"/>
  <c r="B486" i="14"/>
  <c r="N493" i="14"/>
  <c r="N494" i="14" s="1"/>
  <c r="I497" i="14"/>
  <c r="I498" i="14" s="1"/>
  <c r="K233" i="5" s="1"/>
  <c r="B10" i="13"/>
  <c r="D10" i="13"/>
  <c r="B11" i="13"/>
  <c r="D11" i="13"/>
  <c r="B12" i="13"/>
  <c r="D12" i="13"/>
  <c r="B13" i="13"/>
  <c r="D13" i="13"/>
  <c r="B14" i="13"/>
  <c r="D14" i="13"/>
  <c r="N18" i="13"/>
  <c r="N19" i="13"/>
  <c r="N20" i="13"/>
  <c r="I24" i="13"/>
  <c r="I25" i="13"/>
  <c r="I26" i="13"/>
  <c r="I27" i="13"/>
  <c r="I28" i="13"/>
  <c r="I29" i="13"/>
  <c r="I30" i="13"/>
  <c r="I31" i="13"/>
  <c r="I32" i="13"/>
  <c r="J36" i="13"/>
  <c r="J38" i="13" s="1"/>
  <c r="L206" i="5" s="1"/>
  <c r="J37" i="13"/>
  <c r="I41" i="13"/>
  <c r="I42" i="13"/>
  <c r="I43" i="13" s="1"/>
  <c r="M206" i="5" s="1"/>
  <c r="B55" i="13"/>
  <c r="D55" i="13"/>
  <c r="B56" i="13"/>
  <c r="D56" i="13"/>
  <c r="B57" i="13"/>
  <c r="D57" i="13"/>
  <c r="B58" i="13"/>
  <c r="D58" i="13"/>
  <c r="B59" i="13"/>
  <c r="D59" i="13"/>
  <c r="B60" i="13"/>
  <c r="D60" i="13"/>
  <c r="B61" i="13"/>
  <c r="D61" i="13"/>
  <c r="N65" i="13"/>
  <c r="N66" i="13" s="1"/>
  <c r="J212" i="5" s="1"/>
  <c r="I69" i="13"/>
  <c r="I70" i="13"/>
  <c r="I71" i="13"/>
  <c r="I72" i="13"/>
  <c r="I73" i="13"/>
  <c r="I74" i="13"/>
  <c r="I75" i="13"/>
  <c r="J79" i="13"/>
  <c r="J80" i="13"/>
  <c r="J81" i="13"/>
  <c r="J82" i="13"/>
  <c r="J83" i="13"/>
  <c r="I87" i="13"/>
  <c r="I88" i="13" s="1"/>
  <c r="M212" i="5" s="1"/>
  <c r="B100" i="13"/>
  <c r="D100" i="13"/>
  <c r="B101" i="13"/>
  <c r="D101" i="13"/>
  <c r="B102" i="13"/>
  <c r="D102" i="13"/>
  <c r="N106" i="13"/>
  <c r="N107" i="13"/>
  <c r="N108" i="13"/>
  <c r="J220" i="5" s="1"/>
  <c r="I111" i="13"/>
  <c r="I112" i="13"/>
  <c r="I113" i="13"/>
  <c r="J117" i="13"/>
  <c r="J118" i="13" s="1"/>
  <c r="L220" i="5" s="1"/>
  <c r="I121" i="13"/>
  <c r="I122" i="13"/>
  <c r="M220" i="5" s="1"/>
  <c r="B134" i="13"/>
  <c r="D134" i="13"/>
  <c r="B135" i="13"/>
  <c r="D135" i="13"/>
  <c r="B136" i="13"/>
  <c r="D136" i="13"/>
  <c r="B137" i="13"/>
  <c r="D137" i="13"/>
  <c r="N141" i="13"/>
  <c r="N143" i="13" s="1"/>
  <c r="J224" i="5" s="1"/>
  <c r="N142" i="13"/>
  <c r="I146" i="13"/>
  <c r="I147" i="13"/>
  <c r="I148" i="13"/>
  <c r="I149" i="13"/>
  <c r="J153" i="13"/>
  <c r="J154" i="13"/>
  <c r="J155" i="13"/>
  <c r="B168" i="13"/>
  <c r="D168" i="13"/>
  <c r="B169" i="13"/>
  <c r="D169" i="13"/>
  <c r="B170" i="13"/>
  <c r="D170" i="13"/>
  <c r="B171" i="13"/>
  <c r="D171" i="13"/>
  <c r="N175" i="13"/>
  <c r="N176" i="13"/>
  <c r="N177" i="13"/>
  <c r="I181" i="13"/>
  <c r="I182" i="13"/>
  <c r="I183" i="13"/>
  <c r="I184" i="13"/>
  <c r="K229" i="5" s="1"/>
  <c r="J187" i="13"/>
  <c r="J188" i="13"/>
  <c r="J156" i="13" l="1"/>
  <c r="L224" i="5" s="1"/>
  <c r="I33" i="13"/>
  <c r="K206" i="5" s="1"/>
  <c r="I294" i="14"/>
  <c r="K221" i="5" s="1"/>
  <c r="I180" i="14"/>
  <c r="N178" i="13"/>
  <c r="J229" i="5" s="1"/>
  <c r="J189" i="13"/>
  <c r="L229" i="5" s="1"/>
  <c r="I114" i="13"/>
  <c r="K220" i="5" s="1"/>
  <c r="I418" i="14"/>
  <c r="K228" i="5" s="1"/>
  <c r="I336" i="14"/>
  <c r="K223" i="5" s="1"/>
  <c r="I73" i="14"/>
  <c r="K209" i="5" s="1"/>
  <c r="I118" i="14"/>
  <c r="K211" i="5" s="1"/>
  <c r="J84" i="13"/>
  <c r="L212" i="5" s="1"/>
  <c r="L234" i="5" s="1"/>
  <c r="I480" i="14"/>
  <c r="K232" i="5" s="1"/>
  <c r="I376" i="14"/>
  <c r="K226" i="5" s="1"/>
  <c r="I316" i="14"/>
  <c r="K222" i="5" s="1"/>
  <c r="I271" i="14"/>
  <c r="K219" i="5" s="1"/>
  <c r="I245" i="14"/>
  <c r="K218" i="5" s="1"/>
  <c r="N21" i="13"/>
  <c r="J206" i="5" s="1"/>
  <c r="H206" i="5" s="1"/>
  <c r="N206" i="5" s="1"/>
  <c r="I159" i="14"/>
  <c r="K214" i="5" s="1"/>
  <c r="I76" i="13"/>
  <c r="K212" i="5" s="1"/>
  <c r="I396" i="14"/>
  <c r="K227" i="5" s="1"/>
  <c r="I53" i="14"/>
  <c r="K208" i="5" s="1"/>
  <c r="I439" i="14"/>
  <c r="K230" i="5" s="1"/>
  <c r="I150" i="13"/>
  <c r="K224" i="5" s="1"/>
  <c r="F354" i="14"/>
  <c r="I354" i="14" s="1"/>
  <c r="I355" i="14" s="1"/>
  <c r="K225" i="5" s="1"/>
  <c r="N464" i="14"/>
  <c r="N467" i="14" s="1"/>
  <c r="J232" i="5"/>
  <c r="J233" i="5"/>
  <c r="H233" i="5" s="1"/>
  <c r="N233" i="5" s="1"/>
  <c r="N484" i="14"/>
  <c r="N487" i="14" s="1"/>
  <c r="H217" i="5"/>
  <c r="N217" i="5" s="1"/>
  <c r="N58" i="14"/>
  <c r="C12" i="13" s="1"/>
  <c r="E12" i="13" s="1"/>
  <c r="J209" i="5"/>
  <c r="H209" i="5" s="1"/>
  <c r="N209" i="5" s="1"/>
  <c r="J225" i="5"/>
  <c r="H225" i="5" s="1"/>
  <c r="N225" i="5" s="1"/>
  <c r="J227" i="5"/>
  <c r="N163" i="14"/>
  <c r="N166" i="14" s="1"/>
  <c r="K215" i="5"/>
  <c r="H215" i="5" s="1"/>
  <c r="N215" i="5" s="1"/>
  <c r="N34" i="14"/>
  <c r="C11" i="13" s="1"/>
  <c r="E11" i="13" s="1"/>
  <c r="J208" i="5"/>
  <c r="H208" i="5" s="1"/>
  <c r="N208" i="5" s="1"/>
  <c r="J230" i="5"/>
  <c r="H230" i="5" s="1"/>
  <c r="N230" i="5" s="1"/>
  <c r="N423" i="14"/>
  <c r="C168" i="13" s="1"/>
  <c r="E168" i="13" s="1"/>
  <c r="J228" i="5"/>
  <c r="H228" i="5" s="1"/>
  <c r="N228" i="5" s="1"/>
  <c r="N400" i="14"/>
  <c r="N403" i="14" s="1"/>
  <c r="N123" i="14"/>
  <c r="C55" i="13" s="1"/>
  <c r="E55" i="13" s="1"/>
  <c r="J213" i="5"/>
  <c r="H213" i="5" s="1"/>
  <c r="N213" i="5" s="1"/>
  <c r="N278" i="14"/>
  <c r="N281" i="14" s="1"/>
  <c r="J221" i="5"/>
  <c r="H221" i="5" s="1"/>
  <c r="N221" i="5" s="1"/>
  <c r="N99" i="14"/>
  <c r="N102" i="14" s="1"/>
  <c r="J211" i="5"/>
  <c r="H211" i="5" s="1"/>
  <c r="N211" i="5" s="1"/>
  <c r="N444" i="14"/>
  <c r="C169" i="13" s="1"/>
  <c r="E169" i="13" s="1"/>
  <c r="J231" i="5"/>
  <c r="H231" i="5" s="1"/>
  <c r="N231" i="5" s="1"/>
  <c r="N360" i="14"/>
  <c r="N363" i="14" s="1"/>
  <c r="J226" i="5"/>
  <c r="J218" i="5"/>
  <c r="N78" i="14"/>
  <c r="N81" i="14" s="1"/>
  <c r="I26" i="14"/>
  <c r="K207" i="5" s="1"/>
  <c r="H207" i="5" s="1"/>
  <c r="N207" i="5" s="1"/>
  <c r="N143" i="14"/>
  <c r="N146" i="14" s="1"/>
  <c r="N209" i="14"/>
  <c r="N212" i="14" s="1"/>
  <c r="N320" i="14"/>
  <c r="C102" i="13" s="1"/>
  <c r="E102" i="13" s="1"/>
  <c r="E211" i="5"/>
  <c r="E210" i="5"/>
  <c r="E209" i="5"/>
  <c r="E208" i="5"/>
  <c r="E207" i="5"/>
  <c r="N250" i="14"/>
  <c r="C61" i="13" s="1"/>
  <c r="E61" i="13" s="1"/>
  <c r="N299" i="14"/>
  <c r="N302" i="14" s="1"/>
  <c r="J210" i="5"/>
  <c r="H210" i="5" s="1"/>
  <c r="N210" i="5" s="1"/>
  <c r="E219" i="5"/>
  <c r="E215" i="5"/>
  <c r="E218" i="5"/>
  <c r="E214" i="5"/>
  <c r="E213" i="5"/>
  <c r="E217" i="5"/>
  <c r="E216" i="5"/>
  <c r="J219" i="5"/>
  <c r="E225" i="5"/>
  <c r="E228" i="5"/>
  <c r="E227" i="5"/>
  <c r="E226" i="5"/>
  <c r="E222" i="5"/>
  <c r="E221" i="5"/>
  <c r="E223" i="5"/>
  <c r="E232" i="5"/>
  <c r="E231" i="5"/>
  <c r="E230" i="5"/>
  <c r="E233" i="5"/>
  <c r="H229" i="5"/>
  <c r="N229" i="5" s="1"/>
  <c r="H216" i="5"/>
  <c r="N216" i="5" s="1"/>
  <c r="H224" i="5"/>
  <c r="N224" i="5" s="1"/>
  <c r="H220" i="5"/>
  <c r="N220" i="5" s="1"/>
  <c r="H222" i="5"/>
  <c r="N222" i="5" s="1"/>
  <c r="H223" i="5"/>
  <c r="N223" i="5" s="1"/>
  <c r="H212" i="5"/>
  <c r="N212" i="5" s="1"/>
  <c r="H214" i="5"/>
  <c r="N214" i="5" s="1"/>
  <c r="M234" i="5"/>
  <c r="C100" i="13"/>
  <c r="E100" i="13" s="1"/>
  <c r="N61" i="14"/>
  <c r="N253" i="14"/>
  <c r="C59" i="13"/>
  <c r="E59" i="13" s="1"/>
  <c r="C170" i="13"/>
  <c r="E170" i="13" s="1"/>
  <c r="N37" i="14"/>
  <c r="N188" i="14"/>
  <c r="H226" i="5" l="1"/>
  <c r="N226" i="5" s="1"/>
  <c r="H219" i="5"/>
  <c r="N219" i="5" s="1"/>
  <c r="H227" i="5"/>
  <c r="N227" i="5" s="1"/>
  <c r="C137" i="13"/>
  <c r="E137" i="13" s="1"/>
  <c r="N447" i="14"/>
  <c r="N229" i="14"/>
  <c r="N232" i="14" s="1"/>
  <c r="H218" i="5"/>
  <c r="N218" i="5" s="1"/>
  <c r="N2" i="14"/>
  <c r="N5" i="14" s="1"/>
  <c r="N341" i="14"/>
  <c r="N344" i="14" s="1"/>
  <c r="N426" i="14"/>
  <c r="N380" i="14"/>
  <c r="H232" i="5"/>
  <c r="N232" i="5" s="1"/>
  <c r="N126" i="14"/>
  <c r="N323" i="14"/>
  <c r="C56" i="13"/>
  <c r="E56" i="13" s="1"/>
  <c r="K234" i="5"/>
  <c r="C171" i="13"/>
  <c r="E171" i="13" s="1"/>
  <c r="E172" i="13" s="1"/>
  <c r="N160" i="13" s="1"/>
  <c r="N163" i="13" s="1"/>
  <c r="C135" i="13"/>
  <c r="E135" i="13" s="1"/>
  <c r="C57" i="13"/>
  <c r="E57" i="13" s="1"/>
  <c r="C13" i="13"/>
  <c r="E13" i="13" s="1"/>
  <c r="C101" i="13"/>
  <c r="E101" i="13" s="1"/>
  <c r="E103" i="13" s="1"/>
  <c r="N92" i="13" s="1"/>
  <c r="N95" i="13" s="1"/>
  <c r="C60" i="13"/>
  <c r="E60" i="13" s="1"/>
  <c r="C14" i="13"/>
  <c r="E14" i="13" s="1"/>
  <c r="J234" i="5"/>
  <c r="N191" i="14"/>
  <c r="C58" i="13"/>
  <c r="E58" i="13" s="1"/>
  <c r="N234" i="5" l="1"/>
  <c r="C134" i="13"/>
  <c r="E134" i="13" s="1"/>
  <c r="N383" i="14"/>
  <c r="C136" i="13"/>
  <c r="E136" i="13" s="1"/>
  <c r="E138" i="13" s="1"/>
  <c r="N126" i="13" s="1"/>
  <c r="N129" i="13" s="1"/>
  <c r="C10" i="13"/>
  <c r="E10" i="13" s="1"/>
  <c r="E15" i="13" s="1"/>
  <c r="N2" i="13" s="1"/>
  <c r="N5" i="13" s="1"/>
  <c r="E62" i="13"/>
  <c r="N47" i="13" s="1"/>
  <c r="N50" i="13" s="1"/>
  <c r="H13" i="4"/>
  <c r="G13" i="4"/>
  <c r="F13" i="4"/>
  <c r="E13" i="4"/>
  <c r="D13" i="4"/>
  <c r="H12" i="4"/>
  <c r="G12" i="4"/>
  <c r="F12" i="4"/>
  <c r="E12" i="4"/>
  <c r="D12" i="4"/>
  <c r="H11" i="4"/>
  <c r="G11" i="4"/>
  <c r="F11" i="4"/>
  <c r="E11" i="4"/>
  <c r="D11" i="4"/>
  <c r="H10" i="4"/>
  <c r="G10" i="4"/>
  <c r="F10" i="4"/>
  <c r="E10" i="4"/>
  <c r="D10" i="4"/>
  <c r="E9" i="4"/>
  <c r="D9" i="4"/>
  <c r="H9" i="4"/>
  <c r="G9" i="4"/>
  <c r="F9" i="4"/>
  <c r="H7" i="4"/>
  <c r="G7" i="4"/>
  <c r="F7" i="4"/>
  <c r="E7" i="4"/>
  <c r="D7" i="4"/>
  <c r="F332" i="5"/>
  <c r="C332" i="5"/>
  <c r="F331" i="5"/>
  <c r="C331" i="5"/>
  <c r="F330" i="5"/>
  <c r="C330" i="5"/>
  <c r="I329" i="5"/>
  <c r="F329" i="5"/>
  <c r="E331" i="5" s="1"/>
  <c r="C329" i="5"/>
  <c r="F328" i="5"/>
  <c r="C328" i="5"/>
  <c r="F327" i="5"/>
  <c r="C327" i="5"/>
  <c r="F326" i="5"/>
  <c r="C326" i="5"/>
  <c r="I325" i="5"/>
  <c r="F325" i="5"/>
  <c r="E327" i="5" s="1"/>
  <c r="C325" i="5"/>
  <c r="F324" i="5"/>
  <c r="C324" i="5"/>
  <c r="F323" i="5"/>
  <c r="C323" i="5"/>
  <c r="F322" i="5"/>
  <c r="C322" i="5"/>
  <c r="I321" i="5"/>
  <c r="F321" i="5"/>
  <c r="E324" i="5" s="1"/>
  <c r="C321" i="5"/>
  <c r="B1" i="12"/>
  <c r="Q1" i="12"/>
  <c r="B46" i="12"/>
  <c r="Q46" i="12"/>
  <c r="B4" i="11"/>
  <c r="N11" i="11"/>
  <c r="N12" i="11" s="1"/>
  <c r="N2" i="11" s="1"/>
  <c r="H322" i="5" s="1"/>
  <c r="N322" i="5" s="1"/>
  <c r="B17" i="11"/>
  <c r="N24" i="11"/>
  <c r="N25" i="11" s="1"/>
  <c r="N15" i="11" s="1"/>
  <c r="H323" i="5" s="1"/>
  <c r="N323" i="5" s="1"/>
  <c r="B31" i="11"/>
  <c r="N38" i="11"/>
  <c r="N39" i="11" s="1"/>
  <c r="N29" i="11" s="1"/>
  <c r="H324" i="5" s="1"/>
  <c r="N324" i="5" s="1"/>
  <c r="B46" i="11"/>
  <c r="J53" i="11"/>
  <c r="N53" i="11" s="1"/>
  <c r="N54" i="11" s="1"/>
  <c r="J326" i="5" s="1"/>
  <c r="I57" i="11"/>
  <c r="I58" i="11"/>
  <c r="I59" i="11"/>
  <c r="I60" i="11"/>
  <c r="I61" i="11"/>
  <c r="I62" i="11"/>
  <c r="B69" i="11"/>
  <c r="N76" i="11"/>
  <c r="N77" i="11" s="1"/>
  <c r="N67" i="11" s="1"/>
  <c r="H327" i="5" s="1"/>
  <c r="N327" i="5" s="1"/>
  <c r="B84" i="11"/>
  <c r="J91" i="11"/>
  <c r="N91" i="11" s="1"/>
  <c r="N92" i="11" s="1"/>
  <c r="J328" i="5" s="1"/>
  <c r="I95" i="11"/>
  <c r="I96" i="11"/>
  <c r="I97" i="11"/>
  <c r="I98" i="11"/>
  <c r="I99" i="11"/>
  <c r="I100" i="11"/>
  <c r="I101" i="11"/>
  <c r="I102" i="11"/>
  <c r="B109" i="11"/>
  <c r="J116" i="11"/>
  <c r="N116" i="11" s="1"/>
  <c r="N117" i="11" s="1"/>
  <c r="J330" i="5" s="1"/>
  <c r="I120" i="11"/>
  <c r="I121" i="11"/>
  <c r="I122" i="11"/>
  <c r="I123" i="11"/>
  <c r="I124" i="11"/>
  <c r="I125" i="11"/>
  <c r="I126" i="11"/>
  <c r="B133" i="11"/>
  <c r="N140" i="11"/>
  <c r="N141" i="11" s="1"/>
  <c r="N131" i="11" s="1"/>
  <c r="H331" i="5" s="1"/>
  <c r="N331" i="5" s="1"/>
  <c r="B148" i="11"/>
  <c r="J155" i="11"/>
  <c r="N155" i="11"/>
  <c r="N156" i="11" s="1"/>
  <c r="I159" i="11"/>
  <c r="I160" i="11"/>
  <c r="I161" i="11"/>
  <c r="I162" i="11"/>
  <c r="I163" i="11"/>
  <c r="I164" i="11"/>
  <c r="I165" i="11"/>
  <c r="I166" i="11"/>
  <c r="B10" i="10"/>
  <c r="D10" i="10"/>
  <c r="B11" i="10"/>
  <c r="D11" i="10"/>
  <c r="B12" i="10"/>
  <c r="D12" i="10"/>
  <c r="N16" i="10"/>
  <c r="N17" i="10" s="1"/>
  <c r="J321" i="5" s="1"/>
  <c r="I20" i="10"/>
  <c r="I22" i="10" s="1"/>
  <c r="K321" i="5" s="1"/>
  <c r="I21" i="10"/>
  <c r="J25" i="10"/>
  <c r="J26" i="10" s="1"/>
  <c r="L321" i="5" s="1"/>
  <c r="I29" i="10"/>
  <c r="I30" i="10" s="1"/>
  <c r="M321" i="5" s="1"/>
  <c r="B42" i="10"/>
  <c r="D42" i="10"/>
  <c r="B43" i="10"/>
  <c r="D43" i="10"/>
  <c r="B44" i="10"/>
  <c r="D44" i="10"/>
  <c r="N48" i="10"/>
  <c r="N49" i="10" s="1"/>
  <c r="J325" i="5" s="1"/>
  <c r="I52" i="10"/>
  <c r="I53" i="10"/>
  <c r="I54" i="10"/>
  <c r="I56" i="10"/>
  <c r="J61" i="10"/>
  <c r="J62" i="10" s="1"/>
  <c r="L325" i="5" s="1"/>
  <c r="B75" i="10"/>
  <c r="D75" i="10"/>
  <c r="B76" i="10"/>
  <c r="D76" i="10"/>
  <c r="B77" i="10"/>
  <c r="D77" i="10"/>
  <c r="N81" i="10"/>
  <c r="N82" i="10" s="1"/>
  <c r="J329" i="5" s="1"/>
  <c r="I85" i="10"/>
  <c r="I86" i="10"/>
  <c r="I87" i="10"/>
  <c r="I89" i="10"/>
  <c r="J94" i="10"/>
  <c r="J95" i="10" s="1"/>
  <c r="L329" i="5" s="1"/>
  <c r="I167" i="11" l="1"/>
  <c r="K332" i="5" s="1"/>
  <c r="J322" i="5"/>
  <c r="K325" i="5"/>
  <c r="H325" i="5" s="1"/>
  <c r="N325" i="5" s="1"/>
  <c r="J324" i="5"/>
  <c r="J327" i="5"/>
  <c r="I127" i="11"/>
  <c r="K330" i="5" s="1"/>
  <c r="N146" i="11"/>
  <c r="H332" i="5" s="1"/>
  <c r="N332" i="5" s="1"/>
  <c r="I63" i="11"/>
  <c r="K326" i="5" s="1"/>
  <c r="K329" i="5"/>
  <c r="J332" i="5"/>
  <c r="I103" i="11"/>
  <c r="K328" i="5" s="1"/>
  <c r="J331" i="5"/>
  <c r="J323" i="5"/>
  <c r="M333" i="5"/>
  <c r="G14" i="4" s="1"/>
  <c r="E323" i="5"/>
  <c r="E326" i="5"/>
  <c r="E330" i="5"/>
  <c r="E328" i="5"/>
  <c r="E332" i="5"/>
  <c r="L333" i="5"/>
  <c r="F14" i="4" s="1"/>
  <c r="H321" i="5"/>
  <c r="N321" i="5" s="1"/>
  <c r="E322" i="5"/>
  <c r="N32" i="11"/>
  <c r="C12" i="10"/>
  <c r="E12" i="10" s="1"/>
  <c r="C43" i="10"/>
  <c r="E43" i="10" s="1"/>
  <c r="N70" i="11"/>
  <c r="N44" i="11"/>
  <c r="H326" i="5" s="1"/>
  <c r="N326" i="5" s="1"/>
  <c r="C10" i="10"/>
  <c r="E10" i="10" s="1"/>
  <c r="N5" i="11"/>
  <c r="N134" i="11"/>
  <c r="C76" i="10"/>
  <c r="E76" i="10" s="1"/>
  <c r="N82" i="11"/>
  <c r="H328" i="5" s="1"/>
  <c r="N328" i="5" s="1"/>
  <c r="C11" i="10"/>
  <c r="E11" i="10" s="1"/>
  <c r="N18" i="11"/>
  <c r="N107" i="11" l="1"/>
  <c r="J333" i="5"/>
  <c r="D14" i="4" s="1"/>
  <c r="K333" i="5"/>
  <c r="E14" i="4" s="1"/>
  <c r="H329" i="5"/>
  <c r="N329" i="5" s="1"/>
  <c r="C77" i="10"/>
  <c r="E77" i="10" s="1"/>
  <c r="N149" i="11"/>
  <c r="E13" i="10"/>
  <c r="N2" i="10" s="1"/>
  <c r="N5" i="10" s="1"/>
  <c r="N85" i="11"/>
  <c r="C44" i="10"/>
  <c r="E44" i="10" s="1"/>
  <c r="N47" i="11"/>
  <c r="C42" i="10"/>
  <c r="E42" i="10" s="1"/>
  <c r="H330" i="5" l="1"/>
  <c r="N330" i="5" s="1"/>
  <c r="N333" i="5" s="1"/>
  <c r="H14" i="4" s="1"/>
  <c r="C75" i="10"/>
  <c r="E75" i="10" s="1"/>
  <c r="E78" i="10" s="1"/>
  <c r="N67" i="10" s="1"/>
  <c r="N70" i="10" s="1"/>
  <c r="N110" i="11"/>
  <c r="E45" i="10"/>
  <c r="N34" i="10" s="1"/>
  <c r="N37" i="10" s="1"/>
  <c r="B1" i="8" l="1"/>
  <c r="J1" i="8"/>
  <c r="B23" i="8"/>
  <c r="J23" i="8"/>
  <c r="B48" i="8"/>
  <c r="J48" i="8"/>
  <c r="B73" i="8"/>
  <c r="J74" i="8"/>
  <c r="B98" i="8"/>
  <c r="B4" i="7"/>
  <c r="N11" i="7"/>
  <c r="N12" i="7" s="1"/>
  <c r="N2" i="7" s="1"/>
  <c r="B32" i="7"/>
  <c r="N39" i="7"/>
  <c r="N40" i="7"/>
  <c r="J31" i="5" s="1"/>
  <c r="I43" i="7"/>
  <c r="I44" i="7"/>
  <c r="B61" i="7"/>
  <c r="N68" i="7"/>
  <c r="N69" i="7" s="1"/>
  <c r="J32" i="5" s="1"/>
  <c r="I72" i="7"/>
  <c r="F73" i="7"/>
  <c r="I73" i="7" s="1"/>
  <c r="I74" i="7"/>
  <c r="I75" i="7"/>
  <c r="I80" i="7"/>
  <c r="I81" i="7" s="1"/>
  <c r="B87" i="7"/>
  <c r="N94" i="7"/>
  <c r="N95" i="7" s="1"/>
  <c r="I98" i="7"/>
  <c r="I99" i="7"/>
  <c r="I100" i="7"/>
  <c r="B111" i="7"/>
  <c r="N118" i="7"/>
  <c r="N119" i="7"/>
  <c r="I123" i="7"/>
  <c r="I124" i="7"/>
  <c r="I125" i="7"/>
  <c r="I126" i="7"/>
  <c r="I127" i="7"/>
  <c r="I128" i="7"/>
  <c r="I129" i="7"/>
  <c r="I130" i="7"/>
  <c r="I131" i="7"/>
  <c r="J135" i="7"/>
  <c r="J136" i="7"/>
  <c r="I140" i="7"/>
  <c r="I141" i="7" s="1"/>
  <c r="M34" i="5" s="1"/>
  <c r="B147" i="7"/>
  <c r="N154" i="7"/>
  <c r="N155" i="7" s="1"/>
  <c r="J35" i="5" s="1"/>
  <c r="I158" i="7"/>
  <c r="I159" i="7"/>
  <c r="I160" i="7"/>
  <c r="J164" i="7"/>
  <c r="J165" i="7" s="1"/>
  <c r="B171" i="7"/>
  <c r="N178" i="7"/>
  <c r="N179" i="7" s="1"/>
  <c r="J37" i="5" s="1"/>
  <c r="I182" i="7"/>
  <c r="I183" i="7"/>
  <c r="I184" i="7" s="1"/>
  <c r="K37" i="5" s="1"/>
  <c r="B193" i="7"/>
  <c r="N200" i="7"/>
  <c r="N201" i="7" s="1"/>
  <c r="I204" i="7"/>
  <c r="I205" i="7"/>
  <c r="B214" i="7"/>
  <c r="N221" i="7"/>
  <c r="N222" i="7" s="1"/>
  <c r="J39" i="5" s="1"/>
  <c r="I225" i="7"/>
  <c r="F226" i="7"/>
  <c r="I226" i="7" s="1"/>
  <c r="I227" i="7"/>
  <c r="F228" i="7"/>
  <c r="I228" i="7" s="1"/>
  <c r="I233" i="7"/>
  <c r="I234" i="7" s="1"/>
  <c r="M39" i="5" s="1"/>
  <c r="B242" i="7"/>
  <c r="K249" i="7"/>
  <c r="N249" i="7" s="1"/>
  <c r="J250" i="7"/>
  <c r="N250" i="7" s="1"/>
  <c r="F254" i="7"/>
  <c r="I254" i="7" s="1"/>
  <c r="I255" i="7"/>
  <c r="I256" i="7"/>
  <c r="I260" i="7"/>
  <c r="I261" i="7"/>
  <c r="B269" i="7"/>
  <c r="J276" i="7"/>
  <c r="N276" i="7" s="1"/>
  <c r="N277" i="7" s="1"/>
  <c r="J41" i="5" s="1"/>
  <c r="I280" i="7"/>
  <c r="F281" i="7"/>
  <c r="I281" i="7" s="1"/>
  <c r="I282" i="7"/>
  <c r="F283" i="7"/>
  <c r="I283" i="7" s="1"/>
  <c r="I288" i="7"/>
  <c r="I289" i="7" s="1"/>
  <c r="M41" i="5" s="1"/>
  <c r="B295" i="7"/>
  <c r="J302" i="7"/>
  <c r="K302" i="7"/>
  <c r="J303" i="7"/>
  <c r="N303" i="7" s="1"/>
  <c r="F307" i="7"/>
  <c r="I307" i="7" s="1"/>
  <c r="I308" i="7"/>
  <c r="I309" i="7"/>
  <c r="I313" i="7"/>
  <c r="I314" i="7" s="1"/>
  <c r="M42" i="5" s="1"/>
  <c r="B320" i="7"/>
  <c r="J327" i="7"/>
  <c r="N327" i="7" s="1"/>
  <c r="N328" i="7" s="1"/>
  <c r="J43" i="5" s="1"/>
  <c r="I331" i="7"/>
  <c r="F332" i="7"/>
  <c r="I332" i="7" s="1"/>
  <c r="I333" i="7"/>
  <c r="F334" i="7"/>
  <c r="I334" i="7" s="1"/>
  <c r="I338" i="7"/>
  <c r="I339" i="7" s="1"/>
  <c r="M43" i="5" s="1"/>
  <c r="B345" i="7"/>
  <c r="J352" i="7"/>
  <c r="N352" i="7" s="1"/>
  <c r="N353" i="7"/>
  <c r="I357" i="7"/>
  <c r="I358" i="7"/>
  <c r="I359" i="7"/>
  <c r="I360" i="7"/>
  <c r="I361" i="7"/>
  <c r="I362" i="7"/>
  <c r="F363" i="7"/>
  <c r="I363" i="7" s="1"/>
  <c r="I364" i="7"/>
  <c r="I365" i="7"/>
  <c r="B373" i="7"/>
  <c r="N380" i="7"/>
  <c r="N381" i="7"/>
  <c r="N382" i="7"/>
  <c r="N383" i="7"/>
  <c r="N384" i="7"/>
  <c r="N385" i="7"/>
  <c r="N386" i="7"/>
  <c r="I390" i="7"/>
  <c r="I391" i="7"/>
  <c r="I392" i="7"/>
  <c r="I393" i="7"/>
  <c r="I394" i="7"/>
  <c r="I395" i="7"/>
  <c r="I396" i="7"/>
  <c r="I397" i="7"/>
  <c r="I398" i="7"/>
  <c r="I399" i="7"/>
  <c r="I400" i="7"/>
  <c r="I401" i="7"/>
  <c r="I402" i="7"/>
  <c r="I403" i="7"/>
  <c r="I404" i="7"/>
  <c r="I405" i="7"/>
  <c r="I410" i="7"/>
  <c r="I411" i="7" s="1"/>
  <c r="M46" i="5" s="1"/>
  <c r="B417" i="7"/>
  <c r="N424" i="7"/>
  <c r="N425" i="7"/>
  <c r="N426" i="7"/>
  <c r="I430" i="7"/>
  <c r="I431" i="7"/>
  <c r="I432" i="7"/>
  <c r="I433" i="7"/>
  <c r="I434" i="7"/>
  <c r="I435" i="7"/>
  <c r="I436" i="7"/>
  <c r="I437" i="7"/>
  <c r="J441" i="7"/>
  <c r="J442" i="7" s="1"/>
  <c r="I445" i="7"/>
  <c r="I446" i="7" s="1"/>
  <c r="M47" i="5" s="1"/>
  <c r="B452" i="7"/>
  <c r="N459" i="7"/>
  <c r="N460" i="7"/>
  <c r="I464" i="7"/>
  <c r="I465" i="7"/>
  <c r="I466" i="7"/>
  <c r="I467" i="7"/>
  <c r="I468" i="7"/>
  <c r="I469" i="7"/>
  <c r="B477" i="7"/>
  <c r="N484" i="7"/>
  <c r="N485" i="7"/>
  <c r="J49" i="5" s="1"/>
  <c r="I488" i="7"/>
  <c r="I489" i="7"/>
  <c r="I490" i="7"/>
  <c r="B498" i="7"/>
  <c r="N505" i="7"/>
  <c r="N506" i="7"/>
  <c r="I510" i="7"/>
  <c r="I511" i="7"/>
  <c r="I512" i="7"/>
  <c r="B520" i="7"/>
  <c r="N527" i="7"/>
  <c r="N528" i="7"/>
  <c r="I532" i="7"/>
  <c r="I533" i="7"/>
  <c r="I534" i="7"/>
  <c r="B542" i="7"/>
  <c r="N549" i="7"/>
  <c r="N551" i="7" s="1"/>
  <c r="J53" i="5" s="1"/>
  <c r="N550" i="7"/>
  <c r="I554" i="7"/>
  <c r="I555" i="7"/>
  <c r="I556" i="7"/>
  <c r="I557" i="7"/>
  <c r="I558" i="7"/>
  <c r="I559" i="7"/>
  <c r="I560" i="7"/>
  <c r="I561" i="7"/>
  <c r="I566" i="7"/>
  <c r="I567" i="7" s="1"/>
  <c r="M53" i="5" s="1"/>
  <c r="B573" i="7"/>
  <c r="N580" i="7"/>
  <c r="N581" i="7"/>
  <c r="N582" i="7" s="1"/>
  <c r="I585" i="7"/>
  <c r="I586" i="7"/>
  <c r="I587" i="7"/>
  <c r="B595" i="7"/>
  <c r="N602" i="7"/>
  <c r="N603" i="7"/>
  <c r="I607" i="7"/>
  <c r="I608" i="7"/>
  <c r="I609" i="7"/>
  <c r="B617" i="7"/>
  <c r="N624" i="7"/>
  <c r="N625" i="7" s="1"/>
  <c r="J56" i="5" s="1"/>
  <c r="I628" i="7"/>
  <c r="I629" i="7"/>
  <c r="I630" i="7"/>
  <c r="B638" i="7"/>
  <c r="N645" i="7"/>
  <c r="N646" i="7"/>
  <c r="J57" i="5" s="1"/>
  <c r="I649" i="7"/>
  <c r="I650" i="7"/>
  <c r="I651" i="7"/>
  <c r="B659" i="7"/>
  <c r="N666" i="7"/>
  <c r="N667" i="7" s="1"/>
  <c r="I670" i="7"/>
  <c r="I671" i="7"/>
  <c r="I672" i="7"/>
  <c r="B680" i="7"/>
  <c r="N687" i="7"/>
  <c r="N688" i="7" s="1"/>
  <c r="J60" i="5" s="1"/>
  <c r="I691" i="7"/>
  <c r="I692" i="7" s="1"/>
  <c r="K60" i="5" s="1"/>
  <c r="B699" i="7"/>
  <c r="J706" i="7"/>
  <c r="N706" i="7" s="1"/>
  <c r="N707" i="7" s="1"/>
  <c r="I710" i="7"/>
  <c r="F711" i="7"/>
  <c r="I711" i="7" s="1"/>
  <c r="B719" i="7"/>
  <c r="N726" i="7"/>
  <c r="N727" i="7" s="1"/>
  <c r="J62" i="5" s="1"/>
  <c r="I730" i="7"/>
  <c r="I731" i="7" s="1"/>
  <c r="K62" i="5" s="1"/>
  <c r="B738" i="7"/>
  <c r="N745" i="7"/>
  <c r="N746" i="7" s="1"/>
  <c r="I749" i="7"/>
  <c r="I750" i="7" s="1"/>
  <c r="K63" i="5" s="1"/>
  <c r="B757" i="7"/>
  <c r="J764" i="7"/>
  <c r="N764" i="7" s="1"/>
  <c r="N765" i="7" s="1"/>
  <c r="I768" i="7"/>
  <c r="I769" i="7"/>
  <c r="I770" i="7"/>
  <c r="B778" i="7"/>
  <c r="J785" i="7"/>
  <c r="N785" i="7" s="1"/>
  <c r="N786" i="7"/>
  <c r="N787" i="7"/>
  <c r="I791" i="7"/>
  <c r="I792" i="7"/>
  <c r="I793" i="7"/>
  <c r="I794" i="7"/>
  <c r="B802" i="7"/>
  <c r="J809" i="7"/>
  <c r="N809" i="7" s="1"/>
  <c r="N810" i="7" s="1"/>
  <c r="J67" i="5" s="1"/>
  <c r="I813" i="7"/>
  <c r="I814" i="7"/>
  <c r="I815" i="7"/>
  <c r="B823" i="7"/>
  <c r="J830" i="7"/>
  <c r="N830" i="7" s="1"/>
  <c r="N831" i="7" s="1"/>
  <c r="I834" i="7"/>
  <c r="I835" i="7"/>
  <c r="I836" i="7"/>
  <c r="I837" i="7"/>
  <c r="B845" i="7"/>
  <c r="J852" i="7"/>
  <c r="N852" i="7" s="1"/>
  <c r="N853" i="7" s="1"/>
  <c r="J69" i="5" s="1"/>
  <c r="I856" i="7"/>
  <c r="I857" i="7"/>
  <c r="I858" i="7"/>
  <c r="I859" i="7"/>
  <c r="B867" i="7"/>
  <c r="J874" i="7"/>
  <c r="N874" i="7" s="1"/>
  <c r="N875" i="7" s="1"/>
  <c r="J70" i="5" s="1"/>
  <c r="I878" i="7"/>
  <c r="I879" i="7"/>
  <c r="I880" i="7"/>
  <c r="I881" i="7"/>
  <c r="B889" i="7"/>
  <c r="J896" i="7"/>
  <c r="N896" i="7" s="1"/>
  <c r="N897" i="7" s="1"/>
  <c r="J71" i="5" s="1"/>
  <c r="I900" i="7"/>
  <c r="I901" i="7"/>
  <c r="I902" i="7"/>
  <c r="I903" i="7"/>
  <c r="B911" i="7"/>
  <c r="J918" i="7"/>
  <c r="N918" i="7" s="1"/>
  <c r="N919" i="7" s="1"/>
  <c r="J72" i="5" s="1"/>
  <c r="I922" i="7"/>
  <c r="I923" i="7"/>
  <c r="B931" i="7"/>
  <c r="J938" i="7"/>
  <c r="N938" i="7" s="1"/>
  <c r="N939" i="7" s="1"/>
  <c r="J73" i="5" s="1"/>
  <c r="I942" i="7"/>
  <c r="I943" i="7"/>
  <c r="I944" i="7"/>
  <c r="I945" i="7"/>
  <c r="I949" i="7"/>
  <c r="I950" i="7" s="1"/>
  <c r="M73" i="5" s="1"/>
  <c r="B956" i="7"/>
  <c r="J963" i="7"/>
  <c r="N963" i="7" s="1"/>
  <c r="N964" i="7" s="1"/>
  <c r="J74" i="5" s="1"/>
  <c r="I967" i="7"/>
  <c r="I968" i="7"/>
  <c r="I969" i="7" s="1"/>
  <c r="K74" i="5" s="1"/>
  <c r="B976" i="7"/>
  <c r="J983" i="7"/>
  <c r="N983" i="7" s="1"/>
  <c r="N984" i="7" s="1"/>
  <c r="J75" i="5" s="1"/>
  <c r="I987" i="7"/>
  <c r="I988" i="7"/>
  <c r="B996" i="7"/>
  <c r="J1003" i="7"/>
  <c r="N1003" i="7" s="1"/>
  <c r="N1004" i="7" s="1"/>
  <c r="I1007" i="7"/>
  <c r="I1008" i="7"/>
  <c r="I1009" i="7"/>
  <c r="B1017" i="7"/>
  <c r="N1024" i="7"/>
  <c r="N1025" i="7"/>
  <c r="N1026" i="7"/>
  <c r="I1030" i="7"/>
  <c r="I1031" i="7"/>
  <c r="I1032" i="7"/>
  <c r="I1033" i="7"/>
  <c r="I1037" i="7"/>
  <c r="I1038" i="7" s="1"/>
  <c r="M78" i="5" s="1"/>
  <c r="B1044" i="7"/>
  <c r="N1051" i="7"/>
  <c r="N1052" i="7"/>
  <c r="I1056" i="7"/>
  <c r="I1057" i="7"/>
  <c r="I1058" i="7"/>
  <c r="I1059" i="7"/>
  <c r="J1063" i="7"/>
  <c r="J1064" i="7" s="1"/>
  <c r="L80" i="5" s="1"/>
  <c r="B1071" i="7"/>
  <c r="N1078" i="7"/>
  <c r="N1079" i="7" s="1"/>
  <c r="B1086" i="7"/>
  <c r="N1093" i="7"/>
  <c r="N1094" i="7" s="1"/>
  <c r="I1097" i="7"/>
  <c r="I1098" i="7"/>
  <c r="J1102" i="7"/>
  <c r="J1103" i="7" s="1"/>
  <c r="L82" i="5" s="1"/>
  <c r="B1110" i="7"/>
  <c r="N1117" i="7"/>
  <c r="J1118" i="7"/>
  <c r="N1118" i="7" s="1"/>
  <c r="N1119" i="7"/>
  <c r="N1120" i="7"/>
  <c r="N1121" i="7"/>
  <c r="I1125" i="7"/>
  <c r="I1126" i="7"/>
  <c r="I1127" i="7"/>
  <c r="F1128" i="7"/>
  <c r="I1128" i="7"/>
  <c r="I1129" i="7"/>
  <c r="I1130" i="7"/>
  <c r="I1131" i="7"/>
  <c r="I1132" i="7"/>
  <c r="I1133" i="7"/>
  <c r="I1134" i="7"/>
  <c r="I1138" i="7"/>
  <c r="I1139" i="7" s="1"/>
  <c r="B1145" i="7"/>
  <c r="J1152" i="7"/>
  <c r="N1152" i="7" s="1"/>
  <c r="N1153" i="7"/>
  <c r="I1157" i="7"/>
  <c r="I1158" i="7"/>
  <c r="F1159" i="7"/>
  <c r="I1159" i="7" s="1"/>
  <c r="B1167" i="7"/>
  <c r="J1174" i="7"/>
  <c r="N1174" i="7" s="1"/>
  <c r="N1176" i="7" s="1"/>
  <c r="I1179" i="7"/>
  <c r="I1180" i="7"/>
  <c r="F1181" i="7"/>
  <c r="I1181" i="7" s="1"/>
  <c r="B1189" i="7"/>
  <c r="J1196" i="7"/>
  <c r="N1196" i="7" s="1"/>
  <c r="N1197" i="7"/>
  <c r="I1201" i="7"/>
  <c r="I1202" i="7"/>
  <c r="I1203" i="7"/>
  <c r="F1204" i="7"/>
  <c r="I1204" i="7" s="1"/>
  <c r="B1212" i="7"/>
  <c r="J1219" i="7"/>
  <c r="N1219" i="7" s="1"/>
  <c r="N1220" i="7" s="1"/>
  <c r="I1223" i="7"/>
  <c r="I1224" i="7"/>
  <c r="F1225" i="7"/>
  <c r="I1225" i="7" s="1"/>
  <c r="I1226" i="7"/>
  <c r="B1234" i="7"/>
  <c r="N1241" i="7"/>
  <c r="N1242" i="7" s="1"/>
  <c r="J89" i="5" s="1"/>
  <c r="I1245" i="7"/>
  <c r="I1246" i="7"/>
  <c r="I1247" i="7"/>
  <c r="I1248" i="7"/>
  <c r="I1249" i="7"/>
  <c r="I1250" i="7"/>
  <c r="B1258" i="7"/>
  <c r="N1265" i="7"/>
  <c r="N1266" i="7" s="1"/>
  <c r="J90" i="5" s="1"/>
  <c r="I1269" i="7"/>
  <c r="I1270" i="7"/>
  <c r="I1271" i="7"/>
  <c r="I1272" i="7"/>
  <c r="I1273" i="7"/>
  <c r="B1281" i="7"/>
  <c r="J1288" i="7"/>
  <c r="N1288" i="7" s="1"/>
  <c r="N1289" i="7" s="1"/>
  <c r="J91" i="5" s="1"/>
  <c r="I1292" i="7"/>
  <c r="I1293" i="7"/>
  <c r="B1301" i="7"/>
  <c r="J1308" i="7"/>
  <c r="N1308" i="7" s="1"/>
  <c r="N1309" i="7" s="1"/>
  <c r="J92" i="5" s="1"/>
  <c r="I1312" i="7"/>
  <c r="I1313" i="7"/>
  <c r="I1314" i="7"/>
  <c r="B1322" i="7"/>
  <c r="J1329" i="7"/>
  <c r="N1329" i="7" s="1"/>
  <c r="N1330" i="7" s="1"/>
  <c r="J93" i="5" s="1"/>
  <c r="I1333" i="7"/>
  <c r="I1334" i="7"/>
  <c r="I1335" i="7"/>
  <c r="B1343" i="7"/>
  <c r="N1350" i="7"/>
  <c r="N1351" i="7" s="1"/>
  <c r="J94" i="5" s="1"/>
  <c r="I1354" i="7"/>
  <c r="I1355" i="7"/>
  <c r="I1356" i="7"/>
  <c r="I1357" i="7"/>
  <c r="I1358" i="7"/>
  <c r="I1359" i="7"/>
  <c r="I1360" i="7"/>
  <c r="I1361" i="7"/>
  <c r="I1362" i="7"/>
  <c r="I1363" i="7"/>
  <c r="J1367" i="7"/>
  <c r="J1368" i="7" s="1"/>
  <c r="L94" i="5" s="1"/>
  <c r="B1375" i="7"/>
  <c r="J1382" i="7"/>
  <c r="J1383" i="7"/>
  <c r="J1384" i="7"/>
  <c r="F1398" i="7" s="1"/>
  <c r="I1398" i="7" s="1"/>
  <c r="N1385" i="7"/>
  <c r="I1389" i="7"/>
  <c r="I1391" i="7"/>
  <c r="I1392" i="7"/>
  <c r="I1393" i="7"/>
  <c r="I1395" i="7"/>
  <c r="I1396" i="7"/>
  <c r="I1397" i="7"/>
  <c r="I1399" i="7"/>
  <c r="I1400" i="7"/>
  <c r="I1401" i="7"/>
  <c r="I1402" i="7"/>
  <c r="J1406" i="7"/>
  <c r="J1407" i="7"/>
  <c r="J1408" i="7"/>
  <c r="J1409" i="7"/>
  <c r="B1417" i="7"/>
  <c r="N1424" i="7"/>
  <c r="N1425" i="7" s="1"/>
  <c r="N1415" i="7" s="1"/>
  <c r="N1418" i="7" s="1"/>
  <c r="B1432" i="7"/>
  <c r="J1439" i="7"/>
  <c r="N1439" i="7" s="1"/>
  <c r="N1440" i="7" s="1"/>
  <c r="J98" i="5" s="1"/>
  <c r="I1443" i="7"/>
  <c r="F1444" i="7"/>
  <c r="I1444" i="7" s="1"/>
  <c r="I1445" i="7"/>
  <c r="F1446" i="7"/>
  <c r="I1446" i="7" s="1"/>
  <c r="B1454" i="7"/>
  <c r="J1461" i="7"/>
  <c r="N1461" i="7" s="1"/>
  <c r="N1462" i="7" s="1"/>
  <c r="I1465" i="7"/>
  <c r="F1466" i="7"/>
  <c r="I1466" i="7" s="1"/>
  <c r="I1467" i="7"/>
  <c r="F1468" i="7"/>
  <c r="I1468" i="7" s="1"/>
  <c r="B1476" i="7"/>
  <c r="J1483" i="7"/>
  <c r="N1483" i="7" s="1"/>
  <c r="E1484" i="7"/>
  <c r="F1490" i="7" s="1"/>
  <c r="I1490" i="7" s="1"/>
  <c r="I1488" i="7"/>
  <c r="I1489" i="7"/>
  <c r="B1498" i="7"/>
  <c r="J1505" i="7"/>
  <c r="N1505" i="7"/>
  <c r="E1506" i="7"/>
  <c r="M1506" i="7" s="1"/>
  <c r="N1506" i="7" s="1"/>
  <c r="I1510" i="7"/>
  <c r="I1511" i="7"/>
  <c r="B1520" i="7"/>
  <c r="J1527" i="7"/>
  <c r="N1527" i="7" s="1"/>
  <c r="N1528" i="7" s="1"/>
  <c r="J102" i="5" s="1"/>
  <c r="I1531" i="7"/>
  <c r="I1533" i="7"/>
  <c r="I1535" i="7"/>
  <c r="B1543" i="7"/>
  <c r="J1550" i="7"/>
  <c r="F1555" i="7" s="1"/>
  <c r="I1555" i="7" s="1"/>
  <c r="I1554" i="7"/>
  <c r="I1556" i="7"/>
  <c r="F1557" i="7"/>
  <c r="I1557" i="7" s="1"/>
  <c r="I1558" i="7"/>
  <c r="B1566" i="7"/>
  <c r="J1573" i="7"/>
  <c r="N1573" i="7" s="1"/>
  <c r="N1574" i="7" s="1"/>
  <c r="J105" i="5" s="1"/>
  <c r="I1577" i="7"/>
  <c r="I1578" i="7"/>
  <c r="I1579" i="7"/>
  <c r="I1580" i="7"/>
  <c r="B1588" i="7"/>
  <c r="J1595" i="7"/>
  <c r="I1599" i="7"/>
  <c r="I1601" i="7"/>
  <c r="I1602" i="7"/>
  <c r="I1603" i="7"/>
  <c r="I1604" i="7"/>
  <c r="B1612" i="7"/>
  <c r="J1619" i="7"/>
  <c r="I1623" i="7"/>
  <c r="I1625" i="7"/>
  <c r="I1626" i="7"/>
  <c r="B1634" i="7"/>
  <c r="J1641" i="7"/>
  <c r="I1645" i="7"/>
  <c r="I1647" i="7"/>
  <c r="I1648" i="7"/>
  <c r="B1656" i="7"/>
  <c r="J1663" i="7"/>
  <c r="I1667" i="7"/>
  <c r="F1669" i="7"/>
  <c r="I1669" i="7" s="1"/>
  <c r="I1670" i="7"/>
  <c r="I1671" i="7"/>
  <c r="B1679" i="7"/>
  <c r="J1686" i="7"/>
  <c r="N1686" i="7" s="1"/>
  <c r="N1687" i="7" s="1"/>
  <c r="I1690" i="7"/>
  <c r="F1691" i="7"/>
  <c r="I1693" i="7" s="1"/>
  <c r="I1691" i="7"/>
  <c r="B1701" i="7"/>
  <c r="J1708" i="7"/>
  <c r="F1713" i="7" s="1"/>
  <c r="I1713" i="7" s="1"/>
  <c r="N1708" i="7"/>
  <c r="N1709" i="7" s="1"/>
  <c r="I1712" i="7"/>
  <c r="I1714" i="7"/>
  <c r="I1715" i="7"/>
  <c r="I1716" i="7"/>
  <c r="B1724" i="7"/>
  <c r="J1731" i="7"/>
  <c r="N1731" i="7" s="1"/>
  <c r="N1732" i="7"/>
  <c r="I1736" i="7"/>
  <c r="I1737" i="7"/>
  <c r="I1738" i="7"/>
  <c r="I1739" i="7"/>
  <c r="F1740" i="7"/>
  <c r="I1740" i="7" s="1"/>
  <c r="B1748" i="7"/>
  <c r="N1755" i="7"/>
  <c r="N1756" i="7"/>
  <c r="I1760" i="7"/>
  <c r="I1763" i="7" s="1"/>
  <c r="K114" i="5" s="1"/>
  <c r="I1761" i="7"/>
  <c r="I1762" i="7"/>
  <c r="B1770" i="7"/>
  <c r="J1777" i="7"/>
  <c r="N1777" i="7" s="1"/>
  <c r="N1778" i="7" s="1"/>
  <c r="I1781" i="7"/>
  <c r="I1782" i="7"/>
  <c r="B10" i="6"/>
  <c r="D10" i="6"/>
  <c r="B11" i="6"/>
  <c r="D11" i="6"/>
  <c r="B12" i="6"/>
  <c r="D12" i="6"/>
  <c r="B13" i="6"/>
  <c r="D13" i="6"/>
  <c r="B14" i="6"/>
  <c r="D14" i="6"/>
  <c r="B15" i="6"/>
  <c r="D15" i="6"/>
  <c r="N19" i="6"/>
  <c r="N20" i="6"/>
  <c r="N21" i="6"/>
  <c r="N22" i="6"/>
  <c r="N23" i="6"/>
  <c r="I27" i="6"/>
  <c r="I28" i="6"/>
  <c r="I29" i="6"/>
  <c r="I30" i="6"/>
  <c r="I31" i="6"/>
  <c r="I32" i="6"/>
  <c r="I33" i="6"/>
  <c r="I34" i="6"/>
  <c r="I35" i="6"/>
  <c r="I36" i="6"/>
  <c r="I37" i="6"/>
  <c r="I38" i="6"/>
  <c r="I39" i="6"/>
  <c r="J43" i="6"/>
  <c r="J44" i="6"/>
  <c r="J45" i="6"/>
  <c r="I49" i="6"/>
  <c r="I50" i="6" s="1"/>
  <c r="M29" i="5" s="1"/>
  <c r="B62" i="6"/>
  <c r="D62" i="6"/>
  <c r="B63" i="6"/>
  <c r="D63" i="6"/>
  <c r="B64" i="6"/>
  <c r="D64" i="6"/>
  <c r="B65" i="6"/>
  <c r="D65" i="6"/>
  <c r="B66" i="6"/>
  <c r="D66" i="6"/>
  <c r="B67" i="6"/>
  <c r="D67" i="6"/>
  <c r="B68" i="6"/>
  <c r="D68" i="6"/>
  <c r="B69" i="6"/>
  <c r="D69" i="6"/>
  <c r="N73" i="6"/>
  <c r="N74" i="6"/>
  <c r="N75" i="6"/>
  <c r="I79" i="6"/>
  <c r="I80" i="6"/>
  <c r="I81" i="6"/>
  <c r="I82" i="6"/>
  <c r="I83" i="6"/>
  <c r="I84" i="6"/>
  <c r="I85" i="6"/>
  <c r="I86" i="6"/>
  <c r="I87" i="6"/>
  <c r="I88" i="6"/>
  <c r="I89" i="6"/>
  <c r="I90" i="6"/>
  <c r="I91" i="6"/>
  <c r="I92" i="6"/>
  <c r="I93" i="6"/>
  <c r="J97" i="6"/>
  <c r="J98" i="6"/>
  <c r="J99" i="6"/>
  <c r="J100" i="6"/>
  <c r="J101" i="6"/>
  <c r="I105" i="6"/>
  <c r="I106" i="6" s="1"/>
  <c r="M36" i="5" s="1"/>
  <c r="B118" i="6"/>
  <c r="D118" i="6"/>
  <c r="B119" i="6"/>
  <c r="D119" i="6"/>
  <c r="B120" i="6"/>
  <c r="D120" i="6"/>
  <c r="B121" i="6"/>
  <c r="D121" i="6"/>
  <c r="B122" i="6"/>
  <c r="D122" i="6"/>
  <c r="B123" i="6"/>
  <c r="D123" i="6"/>
  <c r="N127" i="6"/>
  <c r="N130" i="6" s="1"/>
  <c r="J45" i="5" s="1"/>
  <c r="N128" i="6"/>
  <c r="N129" i="6"/>
  <c r="I133" i="6"/>
  <c r="I134" i="6"/>
  <c r="I135" i="6"/>
  <c r="I136" i="6"/>
  <c r="I137" i="6"/>
  <c r="I138" i="6"/>
  <c r="I139" i="6"/>
  <c r="I140" i="6"/>
  <c r="I141" i="6"/>
  <c r="I142" i="6"/>
  <c r="I143" i="6"/>
  <c r="I144" i="6"/>
  <c r="J148" i="6"/>
  <c r="J149" i="6"/>
  <c r="J150" i="6"/>
  <c r="J151" i="6"/>
  <c r="J152" i="6"/>
  <c r="J153" i="6"/>
  <c r="I157" i="6"/>
  <c r="I158" i="6" s="1"/>
  <c r="M45" i="5" s="1"/>
  <c r="B170" i="6"/>
  <c r="D170" i="6"/>
  <c r="B171" i="6"/>
  <c r="D171" i="6"/>
  <c r="B172" i="6"/>
  <c r="D172" i="6"/>
  <c r="B173" i="6"/>
  <c r="D173" i="6"/>
  <c r="B174" i="6"/>
  <c r="D174" i="6"/>
  <c r="B175" i="6"/>
  <c r="D175" i="6"/>
  <c r="N179" i="6"/>
  <c r="N180" i="6"/>
  <c r="N181" i="6"/>
  <c r="N182" i="6"/>
  <c r="N183" i="6"/>
  <c r="N184" i="6"/>
  <c r="N185" i="6"/>
  <c r="N186" i="6"/>
  <c r="N187" i="6"/>
  <c r="N188" i="6"/>
  <c r="N189" i="6"/>
  <c r="N190" i="6"/>
  <c r="N191" i="6"/>
  <c r="N192" i="6"/>
  <c r="I196" i="6"/>
  <c r="I197" i="6"/>
  <c r="I198" i="6"/>
  <c r="I199" i="6"/>
  <c r="I200" i="6"/>
  <c r="I201" i="6"/>
  <c r="I202" i="6"/>
  <c r="I203" i="6"/>
  <c r="I204" i="6"/>
  <c r="I205" i="6"/>
  <c r="I206" i="6"/>
  <c r="I207" i="6"/>
  <c r="I208" i="6"/>
  <c r="I209" i="6"/>
  <c r="I210" i="6"/>
  <c r="I211" i="6"/>
  <c r="J215" i="6"/>
  <c r="J216" i="6"/>
  <c r="J217" i="6"/>
  <c r="J218" i="6"/>
  <c r="J219" i="6"/>
  <c r="J220" i="6"/>
  <c r="I224" i="6"/>
  <c r="I225" i="6"/>
  <c r="M52" i="5" s="1"/>
  <c r="B237" i="6"/>
  <c r="D237" i="6"/>
  <c r="B238" i="6"/>
  <c r="D238" i="6"/>
  <c r="B239" i="6"/>
  <c r="D239" i="6"/>
  <c r="B240" i="6"/>
  <c r="D240" i="6"/>
  <c r="B241" i="6"/>
  <c r="D241" i="6"/>
  <c r="B242" i="6"/>
  <c r="D242" i="6"/>
  <c r="N246" i="6"/>
  <c r="N247" i="6" s="1"/>
  <c r="I250" i="6"/>
  <c r="I251" i="6"/>
  <c r="I252" i="6"/>
  <c r="I253" i="6"/>
  <c r="I254" i="6"/>
  <c r="I255" i="6"/>
  <c r="I256" i="6"/>
  <c r="I257" i="6"/>
  <c r="I258" i="6"/>
  <c r="I259" i="6"/>
  <c r="I260" i="6"/>
  <c r="I261" i="6"/>
  <c r="I262" i="6"/>
  <c r="I263" i="6"/>
  <c r="I264" i="6"/>
  <c r="J268" i="6"/>
  <c r="J269" i="6"/>
  <c r="J270" i="6"/>
  <c r="J271" i="6"/>
  <c r="J272" i="6"/>
  <c r="J273" i="6"/>
  <c r="B287" i="6"/>
  <c r="D287" i="6"/>
  <c r="B288" i="6"/>
  <c r="D288" i="6"/>
  <c r="B289" i="6"/>
  <c r="D289" i="6"/>
  <c r="B290" i="6"/>
  <c r="D290" i="6"/>
  <c r="B291" i="6"/>
  <c r="D291" i="6"/>
  <c r="B292" i="6"/>
  <c r="D292" i="6"/>
  <c r="B293" i="6"/>
  <c r="D293" i="6"/>
  <c r="B294" i="6"/>
  <c r="D294" i="6"/>
  <c r="B295" i="6"/>
  <c r="D295" i="6"/>
  <c r="N299" i="6"/>
  <c r="N300" i="6"/>
  <c r="N301" i="6"/>
  <c r="N302" i="6"/>
  <c r="N303" i="6"/>
  <c r="N304" i="6"/>
  <c r="N305" i="6"/>
  <c r="I309" i="6"/>
  <c r="I310" i="6"/>
  <c r="I311" i="6"/>
  <c r="I312" i="6"/>
  <c r="I313" i="6"/>
  <c r="I314" i="6"/>
  <c r="I315" i="6"/>
  <c r="I316" i="6"/>
  <c r="I317" i="6"/>
  <c r="I318" i="6"/>
  <c r="I319" i="6"/>
  <c r="I320" i="6"/>
  <c r="I321" i="6"/>
  <c r="I322" i="6"/>
  <c r="I323" i="6"/>
  <c r="I324" i="6"/>
  <c r="I325" i="6"/>
  <c r="I326" i="6"/>
  <c r="I327" i="6"/>
  <c r="I328" i="6"/>
  <c r="I329" i="6"/>
  <c r="I330" i="6"/>
  <c r="J334" i="6"/>
  <c r="J335" i="6"/>
  <c r="J336" i="6"/>
  <c r="J337" i="6"/>
  <c r="J338" i="6"/>
  <c r="J339" i="6"/>
  <c r="B352" i="6"/>
  <c r="D352" i="6"/>
  <c r="B353" i="6"/>
  <c r="D353" i="6"/>
  <c r="N357" i="6"/>
  <c r="N358" i="6"/>
  <c r="N359" i="6"/>
  <c r="I363" i="6"/>
  <c r="I364" i="6"/>
  <c r="I365" i="6"/>
  <c r="I366" i="6"/>
  <c r="I367" i="6"/>
  <c r="I368" i="6"/>
  <c r="I369" i="6"/>
  <c r="I370" i="6"/>
  <c r="I371" i="6"/>
  <c r="I372" i="6"/>
  <c r="J376" i="6"/>
  <c r="J377" i="6"/>
  <c r="J378" i="6"/>
  <c r="J379" i="6"/>
  <c r="B393" i="6"/>
  <c r="D393" i="6"/>
  <c r="B394" i="6"/>
  <c r="D394" i="6"/>
  <c r="B395" i="6"/>
  <c r="D395" i="6"/>
  <c r="B396" i="6"/>
  <c r="D396" i="6"/>
  <c r="B397" i="6"/>
  <c r="D397" i="6"/>
  <c r="B398" i="6"/>
  <c r="D398" i="6"/>
  <c r="B399" i="6"/>
  <c r="D399" i="6"/>
  <c r="B400" i="6"/>
  <c r="D400" i="6"/>
  <c r="N404" i="6"/>
  <c r="D405" i="6"/>
  <c r="N405" i="6" s="1"/>
  <c r="I409" i="6"/>
  <c r="I410" i="6"/>
  <c r="I411" i="6"/>
  <c r="I412" i="6"/>
  <c r="I413" i="6"/>
  <c r="I414" i="6"/>
  <c r="I415" i="6"/>
  <c r="I416" i="6"/>
  <c r="I417" i="6"/>
  <c r="I418" i="6"/>
  <c r="I419" i="6"/>
  <c r="I420" i="6"/>
  <c r="I421" i="6"/>
  <c r="I422" i="6"/>
  <c r="J426" i="6"/>
  <c r="J427" i="6"/>
  <c r="J428" i="6"/>
  <c r="I432" i="6"/>
  <c r="I433" i="6" s="1"/>
  <c r="M79" i="5" s="1"/>
  <c r="B445" i="6"/>
  <c r="D445" i="6"/>
  <c r="B446" i="6"/>
  <c r="D446" i="6"/>
  <c r="B447" i="6"/>
  <c r="D447" i="6"/>
  <c r="B448" i="6"/>
  <c r="D448" i="6"/>
  <c r="B449" i="6"/>
  <c r="D449" i="6"/>
  <c r="B450" i="6"/>
  <c r="D450" i="6"/>
  <c r="N454" i="6"/>
  <c r="N455" i="6"/>
  <c r="N456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I511" i="6"/>
  <c r="I512" i="6"/>
  <c r="I513" i="6"/>
  <c r="J517" i="6"/>
  <c r="J518" i="6"/>
  <c r="J519" i="6"/>
  <c r="J520" i="6"/>
  <c r="J521" i="6"/>
  <c r="J522" i="6"/>
  <c r="I526" i="6"/>
  <c r="I527" i="6" s="1"/>
  <c r="M88" i="5" s="1"/>
  <c r="B539" i="6"/>
  <c r="D539" i="6"/>
  <c r="B540" i="6"/>
  <c r="C540" i="6"/>
  <c r="D540" i="6"/>
  <c r="B541" i="6"/>
  <c r="D541" i="6"/>
  <c r="B542" i="6"/>
  <c r="D542" i="6"/>
  <c r="B543" i="6"/>
  <c r="D543" i="6"/>
  <c r="B544" i="6"/>
  <c r="D544" i="6"/>
  <c r="B545" i="6"/>
  <c r="D545" i="6"/>
  <c r="B546" i="6"/>
  <c r="D546" i="6"/>
  <c r="N550" i="6"/>
  <c r="N551" i="6"/>
  <c r="N552" i="6"/>
  <c r="I556" i="6"/>
  <c r="I557" i="6"/>
  <c r="I558" i="6"/>
  <c r="I559" i="6"/>
  <c r="I560" i="6"/>
  <c r="I561" i="6"/>
  <c r="I562" i="6"/>
  <c r="I563" i="6"/>
  <c r="I564" i="6"/>
  <c r="I565" i="6"/>
  <c r="I566" i="6"/>
  <c r="J570" i="6"/>
  <c r="J571" i="6"/>
  <c r="J572" i="6"/>
  <c r="J573" i="6"/>
  <c r="J574" i="6"/>
  <c r="J575" i="6"/>
  <c r="J576" i="6"/>
  <c r="I580" i="6"/>
  <c r="I581" i="6" s="1"/>
  <c r="M95" i="5" s="1"/>
  <c r="B593" i="6"/>
  <c r="D593" i="6"/>
  <c r="B594" i="6"/>
  <c r="D594" i="6"/>
  <c r="B595" i="6"/>
  <c r="D595" i="6"/>
  <c r="B596" i="6"/>
  <c r="D596" i="6"/>
  <c r="N600" i="6"/>
  <c r="N602" i="6" s="1"/>
  <c r="J104" i="5" s="1"/>
  <c r="N601" i="6"/>
  <c r="I605" i="6"/>
  <c r="I606" i="6"/>
  <c r="I607" i="6"/>
  <c r="I608" i="6"/>
  <c r="I609" i="6"/>
  <c r="I610" i="6"/>
  <c r="I611" i="6"/>
  <c r="I612" i="6"/>
  <c r="I613" i="6"/>
  <c r="I614" i="6"/>
  <c r="I615" i="6"/>
  <c r="I616" i="6"/>
  <c r="I617" i="6"/>
  <c r="J621" i="6"/>
  <c r="J622" i="6"/>
  <c r="J623" i="6"/>
  <c r="J624" i="6"/>
  <c r="J625" i="6"/>
  <c r="B639" i="6"/>
  <c r="D639" i="6"/>
  <c r="B640" i="6"/>
  <c r="D640" i="6"/>
  <c r="B641" i="6"/>
  <c r="D641" i="6"/>
  <c r="B642" i="6"/>
  <c r="D642" i="6"/>
  <c r="B643" i="6"/>
  <c r="D643" i="6"/>
  <c r="B644" i="6"/>
  <c r="D644" i="6"/>
  <c r="N648" i="6"/>
  <c r="N649" i="6" s="1"/>
  <c r="J109" i="5" s="1"/>
  <c r="I652" i="6"/>
  <c r="I653" i="6"/>
  <c r="I654" i="6"/>
  <c r="I655" i="6"/>
  <c r="I656" i="6"/>
  <c r="I657" i="6"/>
  <c r="I658" i="6"/>
  <c r="I659" i="6"/>
  <c r="I660" i="6"/>
  <c r="I661" i="6"/>
  <c r="I662" i="6"/>
  <c r="I663" i="6"/>
  <c r="I664" i="6"/>
  <c r="I665" i="6"/>
  <c r="I666" i="6"/>
  <c r="I667" i="6"/>
  <c r="I668" i="6"/>
  <c r="J672" i="6"/>
  <c r="J673" i="6"/>
  <c r="J674" i="6"/>
  <c r="J675" i="6"/>
  <c r="J676" i="6"/>
  <c r="J677" i="6"/>
  <c r="J678" i="6"/>
  <c r="J679" i="6"/>
  <c r="J680" i="6"/>
  <c r="J681" i="6"/>
  <c r="J682" i="6"/>
  <c r="I686" i="6"/>
  <c r="I687" i="6" s="1"/>
  <c r="C29" i="5"/>
  <c r="F29" i="5"/>
  <c r="E30" i="5" s="1"/>
  <c r="I29" i="5"/>
  <c r="C30" i="5"/>
  <c r="F30" i="5"/>
  <c r="I30" i="5"/>
  <c r="C31" i="5"/>
  <c r="F31" i="5"/>
  <c r="I31" i="5"/>
  <c r="C32" i="5"/>
  <c r="F32" i="5"/>
  <c r="I32" i="5"/>
  <c r="C33" i="5"/>
  <c r="F33" i="5"/>
  <c r="I33" i="5"/>
  <c r="J33" i="5"/>
  <c r="C34" i="5"/>
  <c r="F34" i="5"/>
  <c r="I34" i="5"/>
  <c r="C35" i="5"/>
  <c r="F35" i="5"/>
  <c r="I35" i="5"/>
  <c r="L35" i="5"/>
  <c r="C36" i="5"/>
  <c r="F36" i="5"/>
  <c r="I36" i="5"/>
  <c r="C37" i="5"/>
  <c r="F37" i="5"/>
  <c r="I37" i="5"/>
  <c r="C38" i="5"/>
  <c r="F38" i="5"/>
  <c r="I38" i="5"/>
  <c r="C39" i="5"/>
  <c r="F39" i="5"/>
  <c r="I39" i="5"/>
  <c r="C40" i="5"/>
  <c r="F40" i="5"/>
  <c r="I40" i="5"/>
  <c r="M40" i="5"/>
  <c r="C41" i="5"/>
  <c r="F41" i="5"/>
  <c r="I41" i="5"/>
  <c r="C42" i="5"/>
  <c r="F42" i="5"/>
  <c r="I42" i="5"/>
  <c r="C43" i="5"/>
  <c r="F43" i="5"/>
  <c r="I43" i="5"/>
  <c r="C44" i="5"/>
  <c r="F44" i="5"/>
  <c r="I44" i="5"/>
  <c r="C45" i="5"/>
  <c r="F45" i="5"/>
  <c r="I45" i="5"/>
  <c r="C46" i="5"/>
  <c r="F46" i="5"/>
  <c r="I46" i="5"/>
  <c r="C47" i="5"/>
  <c r="F47" i="5"/>
  <c r="I47" i="5"/>
  <c r="C48" i="5"/>
  <c r="F48" i="5"/>
  <c r="I48" i="5"/>
  <c r="C49" i="5"/>
  <c r="F49" i="5"/>
  <c r="I49" i="5"/>
  <c r="C50" i="5"/>
  <c r="F50" i="5"/>
  <c r="I50" i="5"/>
  <c r="C51" i="5"/>
  <c r="F51" i="5"/>
  <c r="I51" i="5"/>
  <c r="C52" i="5"/>
  <c r="F52" i="5"/>
  <c r="I52" i="5"/>
  <c r="C53" i="5"/>
  <c r="F53" i="5"/>
  <c r="I53" i="5"/>
  <c r="C54" i="5"/>
  <c r="F54" i="5"/>
  <c r="I54" i="5"/>
  <c r="C55" i="5"/>
  <c r="F55" i="5"/>
  <c r="I55" i="5"/>
  <c r="C56" i="5"/>
  <c r="F56" i="5"/>
  <c r="I56" i="5"/>
  <c r="C57" i="5"/>
  <c r="F57" i="5"/>
  <c r="I57" i="5"/>
  <c r="C58" i="5"/>
  <c r="F58" i="5"/>
  <c r="I58" i="5"/>
  <c r="J58" i="5"/>
  <c r="C59" i="5"/>
  <c r="F59" i="5"/>
  <c r="I59" i="5"/>
  <c r="J59" i="5"/>
  <c r="C60" i="5"/>
  <c r="F60" i="5"/>
  <c r="I60" i="5"/>
  <c r="C61" i="5"/>
  <c r="F61" i="5"/>
  <c r="I61" i="5"/>
  <c r="C62" i="5"/>
  <c r="F62" i="5"/>
  <c r="I62" i="5"/>
  <c r="C63" i="5"/>
  <c r="F63" i="5"/>
  <c r="I63" i="5"/>
  <c r="C64" i="5"/>
  <c r="F64" i="5"/>
  <c r="I64" i="5"/>
  <c r="J64" i="5"/>
  <c r="C65" i="5"/>
  <c r="F65" i="5"/>
  <c r="I65" i="5"/>
  <c r="C66" i="5"/>
  <c r="F66" i="5"/>
  <c r="I66" i="5"/>
  <c r="C67" i="5"/>
  <c r="F67" i="5"/>
  <c r="I67" i="5"/>
  <c r="C68" i="5"/>
  <c r="F68" i="5"/>
  <c r="I68" i="5"/>
  <c r="C69" i="5"/>
  <c r="F69" i="5"/>
  <c r="I69" i="5"/>
  <c r="C70" i="5"/>
  <c r="F70" i="5"/>
  <c r="I70" i="5"/>
  <c r="C71" i="5"/>
  <c r="F71" i="5"/>
  <c r="I71" i="5"/>
  <c r="C72" i="5"/>
  <c r="F72" i="5"/>
  <c r="I72" i="5"/>
  <c r="C73" i="5"/>
  <c r="F73" i="5"/>
  <c r="I73" i="5"/>
  <c r="C74" i="5"/>
  <c r="F74" i="5"/>
  <c r="I74" i="5"/>
  <c r="C75" i="5"/>
  <c r="F75" i="5"/>
  <c r="I75" i="5"/>
  <c r="C76" i="5"/>
  <c r="F76" i="5"/>
  <c r="I76" i="5"/>
  <c r="C77" i="5"/>
  <c r="F77" i="5"/>
  <c r="I77" i="5"/>
  <c r="C78" i="5"/>
  <c r="F78" i="5"/>
  <c r="I78" i="5"/>
  <c r="C79" i="5"/>
  <c r="F79" i="5"/>
  <c r="I79" i="5"/>
  <c r="C80" i="5"/>
  <c r="F80" i="5"/>
  <c r="I80" i="5"/>
  <c r="C81" i="5"/>
  <c r="F81" i="5"/>
  <c r="I81" i="5"/>
  <c r="C82" i="5"/>
  <c r="F82" i="5"/>
  <c r="I82" i="5"/>
  <c r="C83" i="5"/>
  <c r="F83" i="5"/>
  <c r="I83" i="5"/>
  <c r="M83" i="5"/>
  <c r="C84" i="5"/>
  <c r="F84" i="5"/>
  <c r="I84" i="5"/>
  <c r="C85" i="5"/>
  <c r="F85" i="5"/>
  <c r="I85" i="5"/>
  <c r="J85" i="5"/>
  <c r="C86" i="5"/>
  <c r="F86" i="5"/>
  <c r="I86" i="5"/>
  <c r="C87" i="5"/>
  <c r="F87" i="5"/>
  <c r="I87" i="5"/>
  <c r="C88" i="5"/>
  <c r="F88" i="5"/>
  <c r="I88" i="5"/>
  <c r="C89" i="5"/>
  <c r="F89" i="5"/>
  <c r="I89" i="5"/>
  <c r="C90" i="5"/>
  <c r="F90" i="5"/>
  <c r="I90" i="5"/>
  <c r="C91" i="5"/>
  <c r="F91" i="5"/>
  <c r="I91" i="5"/>
  <c r="C92" i="5"/>
  <c r="F92" i="5"/>
  <c r="I92" i="5"/>
  <c r="C93" i="5"/>
  <c r="F93" i="5"/>
  <c r="I93" i="5"/>
  <c r="C94" i="5"/>
  <c r="F94" i="5"/>
  <c r="I94" i="5"/>
  <c r="C95" i="5"/>
  <c r="F95" i="5"/>
  <c r="I95" i="5"/>
  <c r="C96" i="5"/>
  <c r="F96" i="5"/>
  <c r="I96" i="5"/>
  <c r="C97" i="5"/>
  <c r="F97" i="5"/>
  <c r="I97" i="5"/>
  <c r="J97" i="5"/>
  <c r="H97" i="5" s="1"/>
  <c r="C98" i="5"/>
  <c r="F98" i="5"/>
  <c r="I98" i="5"/>
  <c r="C99" i="5"/>
  <c r="F99" i="5"/>
  <c r="I99" i="5"/>
  <c r="J99" i="5"/>
  <c r="C100" i="5"/>
  <c r="F100" i="5"/>
  <c r="I100" i="5"/>
  <c r="C101" i="5"/>
  <c r="F101" i="5"/>
  <c r="I101" i="5"/>
  <c r="C102" i="5"/>
  <c r="F102" i="5"/>
  <c r="I102" i="5"/>
  <c r="C103" i="5"/>
  <c r="F103" i="5"/>
  <c r="I103" i="5"/>
  <c r="C104" i="5"/>
  <c r="F104" i="5"/>
  <c r="I104" i="5"/>
  <c r="C105" i="5"/>
  <c r="F105" i="5"/>
  <c r="I105" i="5"/>
  <c r="C106" i="5"/>
  <c r="F106" i="5"/>
  <c r="I106" i="5"/>
  <c r="C107" i="5"/>
  <c r="F107" i="5"/>
  <c r="I107" i="5"/>
  <c r="C108" i="5"/>
  <c r="F108" i="5"/>
  <c r="I108" i="5"/>
  <c r="C109" i="5"/>
  <c r="F109" i="5"/>
  <c r="I109" i="5"/>
  <c r="M109" i="5"/>
  <c r="C110" i="5"/>
  <c r="F110" i="5"/>
  <c r="I110" i="5"/>
  <c r="C111" i="5"/>
  <c r="F111" i="5"/>
  <c r="I111" i="5"/>
  <c r="C112" i="5"/>
  <c r="F112" i="5"/>
  <c r="I112" i="5"/>
  <c r="C113" i="5"/>
  <c r="F113" i="5"/>
  <c r="I113" i="5"/>
  <c r="C114" i="5"/>
  <c r="F114" i="5"/>
  <c r="I114" i="5"/>
  <c r="C115" i="5"/>
  <c r="F115" i="5"/>
  <c r="I115" i="5"/>
  <c r="N1384" i="7" l="1"/>
  <c r="I1717" i="7"/>
  <c r="K112" i="5" s="1"/>
  <c r="I1160" i="7"/>
  <c r="K84" i="5" s="1"/>
  <c r="I631" i="7"/>
  <c r="K56" i="5" s="1"/>
  <c r="N529" i="7"/>
  <c r="N1550" i="7"/>
  <c r="N1551" i="7" s="1"/>
  <c r="J103" i="5" s="1"/>
  <c r="I1099" i="7"/>
  <c r="K82" i="5" s="1"/>
  <c r="N387" i="7"/>
  <c r="J137" i="7"/>
  <c r="L34" i="5" s="1"/>
  <c r="N1069" i="7"/>
  <c r="N1072" i="7" s="1"/>
  <c r="J81" i="5"/>
  <c r="H81" i="5" s="1"/>
  <c r="N81" i="5" s="1"/>
  <c r="I514" i="6"/>
  <c r="K88" i="5" s="1"/>
  <c r="J380" i="6"/>
  <c r="L76" i="5" s="1"/>
  <c r="J221" i="6"/>
  <c r="L52" i="5" s="1"/>
  <c r="I946" i="7"/>
  <c r="K73" i="5" s="1"/>
  <c r="I652" i="7"/>
  <c r="K57" i="5" s="1"/>
  <c r="H57" i="5" s="1"/>
  <c r="N57" i="5" s="1"/>
  <c r="I45" i="7"/>
  <c r="K31" i="5" s="1"/>
  <c r="H31" i="5" s="1"/>
  <c r="N31" i="5" s="1"/>
  <c r="J626" i="6"/>
  <c r="L104" i="5" s="1"/>
  <c r="I838" i="7"/>
  <c r="K68" i="5" s="1"/>
  <c r="N736" i="7"/>
  <c r="N739" i="7" s="1"/>
  <c r="J429" i="6"/>
  <c r="L79" i="5" s="1"/>
  <c r="I423" i="6"/>
  <c r="K79" i="5" s="1"/>
  <c r="N1757" i="7"/>
  <c r="J114" i="5" s="1"/>
  <c r="H114" i="5" s="1"/>
  <c r="N114" i="5" s="1"/>
  <c r="N1733" i="7"/>
  <c r="J113" i="5" s="1"/>
  <c r="M1484" i="7"/>
  <c r="N1484" i="7" s="1"/>
  <c r="N1485" i="7" s="1"/>
  <c r="J100" i="5" s="1"/>
  <c r="I860" i="7"/>
  <c r="K69" i="5" s="1"/>
  <c r="I795" i="7"/>
  <c r="K65" i="5" s="1"/>
  <c r="I562" i="7"/>
  <c r="K53" i="5" s="1"/>
  <c r="H53" i="5" s="1"/>
  <c r="N53" i="5" s="1"/>
  <c r="N507" i="7"/>
  <c r="J50" i="5" s="1"/>
  <c r="J154" i="6"/>
  <c r="L45" i="5" s="1"/>
  <c r="I816" i="7"/>
  <c r="K67" i="5" s="1"/>
  <c r="H67" i="5" s="1"/>
  <c r="N67" i="5" s="1"/>
  <c r="I206" i="7"/>
  <c r="K38" i="5" s="1"/>
  <c r="I712" i="7"/>
  <c r="K61" i="5" s="1"/>
  <c r="J1410" i="7"/>
  <c r="N24" i="6"/>
  <c r="J29" i="5" s="1"/>
  <c r="I1274" i="7"/>
  <c r="K90" i="5" s="1"/>
  <c r="H90" i="5" s="1"/>
  <c r="N90" i="5" s="1"/>
  <c r="I132" i="7"/>
  <c r="K34" i="5" s="1"/>
  <c r="C394" i="6"/>
  <c r="N1507" i="7"/>
  <c r="J101" i="5" s="1"/>
  <c r="I1182" i="7"/>
  <c r="K85" i="5" s="1"/>
  <c r="H85" i="5" s="1"/>
  <c r="N85" i="5" s="1"/>
  <c r="J38" i="5"/>
  <c r="N1699" i="7"/>
  <c r="I1034" i="7"/>
  <c r="K78" i="5" s="1"/>
  <c r="I491" i="7"/>
  <c r="K49" i="5" s="1"/>
  <c r="H49" i="5" s="1"/>
  <c r="N49" i="5" s="1"/>
  <c r="N553" i="6"/>
  <c r="J95" i="5" s="1"/>
  <c r="I1581" i="7"/>
  <c r="K105" i="5" s="1"/>
  <c r="H105" i="5" s="1"/>
  <c r="N105" i="5" s="1"/>
  <c r="J523" i="6"/>
  <c r="L88" i="5" s="1"/>
  <c r="N360" i="6"/>
  <c r="J76" i="5" s="1"/>
  <c r="J274" i="6"/>
  <c r="L59" i="5" s="1"/>
  <c r="F1512" i="7"/>
  <c r="I1512" i="7" s="1"/>
  <c r="I1315" i="7"/>
  <c r="K92" i="5" s="1"/>
  <c r="H92" i="5" s="1"/>
  <c r="N92" i="5" s="1"/>
  <c r="I771" i="7"/>
  <c r="K64" i="5" s="1"/>
  <c r="H64" i="5" s="1"/>
  <c r="N64" i="5" s="1"/>
  <c r="N717" i="7"/>
  <c r="N720" i="7" s="1"/>
  <c r="N1198" i="7"/>
  <c r="J86" i="5" s="1"/>
  <c r="N1084" i="7"/>
  <c r="N1087" i="7" s="1"/>
  <c r="I1010" i="7"/>
  <c r="K77" i="5" s="1"/>
  <c r="F1534" i="7"/>
  <c r="I1534" i="7" s="1"/>
  <c r="J63" i="5"/>
  <c r="H63" i="5" s="1"/>
  <c r="N63" i="5" s="1"/>
  <c r="J577" i="6"/>
  <c r="L95" i="5" s="1"/>
  <c r="I331" i="6"/>
  <c r="K66" i="5" s="1"/>
  <c r="J46" i="6"/>
  <c r="L29" i="5" s="1"/>
  <c r="I1513" i="7"/>
  <c r="K101" i="5" s="1"/>
  <c r="N1053" i="7"/>
  <c r="J80" i="5" s="1"/>
  <c r="I513" i="7"/>
  <c r="K50" i="5" s="1"/>
  <c r="N427" i="7"/>
  <c r="J47" i="5" s="1"/>
  <c r="I1294" i="7"/>
  <c r="K91" i="5" s="1"/>
  <c r="H91" i="5" s="1"/>
  <c r="N91" i="5" s="1"/>
  <c r="I1060" i="7"/>
  <c r="K80" i="5" s="1"/>
  <c r="I366" i="7"/>
  <c r="K44" i="5" s="1"/>
  <c r="J112" i="5"/>
  <c r="H112" i="5" s="1"/>
  <c r="N112" i="5" s="1"/>
  <c r="J82" i="5"/>
  <c r="H82" i="5" s="1"/>
  <c r="N82" i="5" s="1"/>
  <c r="J77" i="5"/>
  <c r="N457" i="6"/>
  <c r="J88" i="5" s="1"/>
  <c r="I1783" i="7"/>
  <c r="K115" i="5" s="1"/>
  <c r="F1532" i="7"/>
  <c r="I1532" i="7" s="1"/>
  <c r="I1536" i="7" s="1"/>
  <c r="N1027" i="7"/>
  <c r="J78" i="5" s="1"/>
  <c r="N954" i="7"/>
  <c r="N957" i="7" s="1"/>
  <c r="I535" i="7"/>
  <c r="K51" i="5" s="1"/>
  <c r="N461" i="7"/>
  <c r="J48" i="5" s="1"/>
  <c r="I257" i="7"/>
  <c r="K40" i="5" s="1"/>
  <c r="I618" i="6"/>
  <c r="K104" i="5" s="1"/>
  <c r="H104" i="5" s="1"/>
  <c r="N104" i="5" s="1"/>
  <c r="N193" i="6"/>
  <c r="J52" i="5" s="1"/>
  <c r="I904" i="7"/>
  <c r="K71" i="5" s="1"/>
  <c r="H71" i="5" s="1"/>
  <c r="N71" i="5" s="1"/>
  <c r="I567" i="6"/>
  <c r="K95" i="5" s="1"/>
  <c r="I40" i="6"/>
  <c r="K29" i="5" s="1"/>
  <c r="N1154" i="7"/>
  <c r="N1143" i="7" s="1"/>
  <c r="N1146" i="7" s="1"/>
  <c r="N1122" i="7"/>
  <c r="J83" i="5" s="1"/>
  <c r="C240" i="6"/>
  <c r="E240" i="6" s="1"/>
  <c r="N97" i="5"/>
  <c r="E34" i="5"/>
  <c r="E31" i="5"/>
  <c r="E33" i="5"/>
  <c r="H69" i="5"/>
  <c r="N69" i="5" s="1"/>
  <c r="H62" i="5"/>
  <c r="N62" i="5" s="1"/>
  <c r="H60" i="5"/>
  <c r="N60" i="5" s="1"/>
  <c r="E35" i="5"/>
  <c r="E32" i="5"/>
  <c r="H73" i="5"/>
  <c r="N73" i="5" s="1"/>
  <c r="E394" i="6"/>
  <c r="H74" i="5"/>
  <c r="N74" i="5" s="1"/>
  <c r="H37" i="5"/>
  <c r="N37" i="5" s="1"/>
  <c r="M116" i="5"/>
  <c r="G8" i="4" s="1"/>
  <c r="G16" i="4" s="1"/>
  <c r="I669" i="6"/>
  <c r="K109" i="5" s="1"/>
  <c r="I373" i="6"/>
  <c r="K76" i="5" s="1"/>
  <c r="I212" i="6"/>
  <c r="K52" i="5" s="1"/>
  <c r="J102" i="6"/>
  <c r="L36" i="5" s="1"/>
  <c r="J115" i="5"/>
  <c r="N1663" i="7"/>
  <c r="N1664" i="7" s="1"/>
  <c r="F1668" i="7"/>
  <c r="I1668" i="7" s="1"/>
  <c r="I1672" i="7" s="1"/>
  <c r="K110" i="5" s="1"/>
  <c r="N1619" i="7"/>
  <c r="N1620" i="7" s="1"/>
  <c r="F1624" i="7"/>
  <c r="I1624" i="7" s="1"/>
  <c r="I1627" i="7" s="1"/>
  <c r="K107" i="5" s="1"/>
  <c r="N1595" i="7"/>
  <c r="N1596" i="7" s="1"/>
  <c r="F1600" i="7"/>
  <c r="I1600" i="7" s="1"/>
  <c r="I1605" i="7" s="1"/>
  <c r="K106" i="5" s="1"/>
  <c r="I1364" i="7"/>
  <c r="K94" i="5" s="1"/>
  <c r="H94" i="5" s="1"/>
  <c r="N94" i="5" s="1"/>
  <c r="J87" i="5"/>
  <c r="N821" i="7"/>
  <c r="J68" i="5"/>
  <c r="H56" i="5"/>
  <c r="N56" i="5" s="1"/>
  <c r="N615" i="7"/>
  <c r="J54" i="5"/>
  <c r="N406" i="6"/>
  <c r="J79" i="5" s="1"/>
  <c r="J340" i="6"/>
  <c r="L66" i="5" s="1"/>
  <c r="I145" i="6"/>
  <c r="K45" i="5" s="1"/>
  <c r="J111" i="5"/>
  <c r="I406" i="7"/>
  <c r="K46" i="5" s="1"/>
  <c r="J46" i="5"/>
  <c r="I265" i="6"/>
  <c r="K59" i="5" s="1"/>
  <c r="N76" i="6"/>
  <c r="J36" i="5" s="1"/>
  <c r="N1641" i="7"/>
  <c r="N1642" i="7" s="1"/>
  <c r="F1646" i="7"/>
  <c r="I1646" i="7" s="1"/>
  <c r="I1649" i="7" s="1"/>
  <c r="K108" i="5" s="1"/>
  <c r="I1491" i="7"/>
  <c r="K100" i="5" s="1"/>
  <c r="N1299" i="7"/>
  <c r="I1205" i="7"/>
  <c r="K86" i="5" s="1"/>
  <c r="N1042" i="7"/>
  <c r="J61" i="5"/>
  <c r="N678" i="7"/>
  <c r="L47" i="5"/>
  <c r="J683" i="6"/>
  <c r="L109" i="5" s="1"/>
  <c r="E540" i="6"/>
  <c r="N306" i="6"/>
  <c r="J66" i="5" s="1"/>
  <c r="I1741" i="7"/>
  <c r="K113" i="5" s="1"/>
  <c r="L96" i="5"/>
  <c r="N1383" i="7"/>
  <c r="F1394" i="7"/>
  <c r="I1394" i="7" s="1"/>
  <c r="I1135" i="7"/>
  <c r="K83" i="5" s="1"/>
  <c r="N518" i="7"/>
  <c r="J51" i="5"/>
  <c r="I94" i="6"/>
  <c r="K36" i="5" s="1"/>
  <c r="I1694" i="7"/>
  <c r="K111" i="5" s="1"/>
  <c r="I1559" i="7"/>
  <c r="K103" i="5" s="1"/>
  <c r="H103" i="5" s="1"/>
  <c r="N103" i="5" s="1"/>
  <c r="I1469" i="7"/>
  <c r="K99" i="5" s="1"/>
  <c r="H99" i="5" s="1"/>
  <c r="N99" i="5" s="1"/>
  <c r="I1336" i="7"/>
  <c r="K93" i="5" s="1"/>
  <c r="H93" i="5" s="1"/>
  <c r="N93" i="5" s="1"/>
  <c r="N1279" i="7"/>
  <c r="N1256" i="7"/>
  <c r="I989" i="7"/>
  <c r="K75" i="5" s="1"/>
  <c r="H75" i="5" s="1"/>
  <c r="N75" i="5" s="1"/>
  <c r="I588" i="7"/>
  <c r="K54" i="5" s="1"/>
  <c r="N354" i="7"/>
  <c r="I335" i="7"/>
  <c r="K43" i="5" s="1"/>
  <c r="H43" i="5" s="1"/>
  <c r="N43" i="5" s="1"/>
  <c r="N475" i="7"/>
  <c r="I101" i="7"/>
  <c r="K33" i="5" s="1"/>
  <c r="H33" i="5" s="1"/>
  <c r="N33" i="5" s="1"/>
  <c r="I76" i="7"/>
  <c r="N5" i="7"/>
  <c r="C10" i="6"/>
  <c r="E10" i="6" s="1"/>
  <c r="J30" i="5"/>
  <c r="H30" i="5" s="1"/>
  <c r="N30" i="5" s="1"/>
  <c r="N1746" i="7"/>
  <c r="I1447" i="7"/>
  <c r="K98" i="5" s="1"/>
  <c r="H98" i="5" s="1"/>
  <c r="N98" i="5" s="1"/>
  <c r="N1382" i="7"/>
  <c r="F1390" i="7"/>
  <c r="I1390" i="7" s="1"/>
  <c r="I1403" i="7" s="1"/>
  <c r="K96" i="5" s="1"/>
  <c r="I1251" i="7"/>
  <c r="K89" i="5" s="1"/>
  <c r="H89" i="5" s="1"/>
  <c r="N89" i="5" s="1"/>
  <c r="I1227" i="7"/>
  <c r="K87" i="5" s="1"/>
  <c r="N929" i="7"/>
  <c r="N843" i="7"/>
  <c r="N800" i="7"/>
  <c r="N755" i="7"/>
  <c r="I673" i="7"/>
  <c r="K58" i="5" s="1"/>
  <c r="H58" i="5" s="1"/>
  <c r="N58" i="5" s="1"/>
  <c r="N636" i="7"/>
  <c r="I470" i="7"/>
  <c r="K48" i="5" s="1"/>
  <c r="I438" i="7"/>
  <c r="K47" i="5" s="1"/>
  <c r="I229" i="7"/>
  <c r="K39" i="5" s="1"/>
  <c r="H39" i="5" s="1"/>
  <c r="N39" i="5" s="1"/>
  <c r="I882" i="7"/>
  <c r="K70" i="5" s="1"/>
  <c r="H70" i="5" s="1"/>
  <c r="N70" i="5" s="1"/>
  <c r="I610" i="7"/>
  <c r="K55" i="5" s="1"/>
  <c r="N302" i="7"/>
  <c r="N304" i="7" s="1"/>
  <c r="N251" i="7"/>
  <c r="I924" i="7"/>
  <c r="K72" i="5" s="1"/>
  <c r="H72" i="5" s="1"/>
  <c r="N72" i="5" s="1"/>
  <c r="N788" i="7"/>
  <c r="N604" i="7"/>
  <c r="N540" i="7"/>
  <c r="I310" i="7"/>
  <c r="K42" i="5" s="1"/>
  <c r="I284" i="7"/>
  <c r="K41" i="5" s="1"/>
  <c r="H41" i="5" s="1"/>
  <c r="N41" i="5" s="1"/>
  <c r="I161" i="7"/>
  <c r="K35" i="5" s="1"/>
  <c r="H35" i="5" s="1"/>
  <c r="N35" i="5" s="1"/>
  <c r="N120" i="7"/>
  <c r="N994" i="7" l="1"/>
  <c r="C352" i="6" s="1"/>
  <c r="E352" i="6" s="1"/>
  <c r="N496" i="7"/>
  <c r="C122" i="6" s="1"/>
  <c r="E122" i="6" s="1"/>
  <c r="H50" i="5"/>
  <c r="N50" i="5" s="1"/>
  <c r="H38" i="5"/>
  <c r="N38" i="5" s="1"/>
  <c r="H68" i="5"/>
  <c r="N68" i="5" s="1"/>
  <c r="H77" i="5"/>
  <c r="N77" i="5" s="1"/>
  <c r="H79" i="5"/>
  <c r="N79" i="5" s="1"/>
  <c r="K102" i="5"/>
  <c r="H102" i="5" s="1"/>
  <c r="N102" i="5" s="1"/>
  <c r="N1518" i="7"/>
  <c r="N169" i="7"/>
  <c r="N1165" i="7"/>
  <c r="N1496" i="7"/>
  <c r="N30" i="7"/>
  <c r="N909" i="7"/>
  <c r="C292" i="6" s="1"/>
  <c r="E292" i="6" s="1"/>
  <c r="H61" i="5"/>
  <c r="N61" i="5" s="1"/>
  <c r="N267" i="7"/>
  <c r="N1232" i="7"/>
  <c r="N697" i="7"/>
  <c r="C238" i="6" s="1"/>
  <c r="E238" i="6" s="1"/>
  <c r="H45" i="5"/>
  <c r="N45" i="5" s="1"/>
  <c r="N887" i="7"/>
  <c r="N1541" i="7"/>
  <c r="N191" i="7"/>
  <c r="H101" i="5"/>
  <c r="N101" i="5" s="1"/>
  <c r="H51" i="5"/>
  <c r="N51" i="5" s="1"/>
  <c r="H59" i="5"/>
  <c r="N59" i="5" s="1"/>
  <c r="H115" i="5"/>
  <c r="N115" i="5" s="1"/>
  <c r="H80" i="5"/>
  <c r="N80" i="5" s="1"/>
  <c r="H83" i="5"/>
  <c r="N83" i="5" s="1"/>
  <c r="H52" i="5"/>
  <c r="N52" i="5" s="1"/>
  <c r="H88" i="5"/>
  <c r="N88" i="5" s="1"/>
  <c r="H66" i="5"/>
  <c r="N66" i="5" s="1"/>
  <c r="H78" i="5"/>
  <c r="N78" i="5" s="1"/>
  <c r="H95" i="5"/>
  <c r="N95" i="5" s="1"/>
  <c r="H29" i="5"/>
  <c r="N29" i="5" s="1"/>
  <c r="N1430" i="7"/>
  <c r="N1433" i="7" s="1"/>
  <c r="N499" i="7"/>
  <c r="N865" i="7"/>
  <c r="N868" i="7" s="1"/>
  <c r="N1108" i="7"/>
  <c r="N1111" i="7" s="1"/>
  <c r="C395" i="6"/>
  <c r="E395" i="6" s="1"/>
  <c r="N997" i="7"/>
  <c r="N1564" i="7"/>
  <c r="C593" i="6" s="1"/>
  <c r="E593" i="6" s="1"/>
  <c r="N1474" i="7"/>
  <c r="C543" i="6" s="1"/>
  <c r="E543" i="6" s="1"/>
  <c r="N1768" i="7"/>
  <c r="N1771" i="7" s="1"/>
  <c r="C397" i="6"/>
  <c r="E397" i="6" s="1"/>
  <c r="C294" i="6"/>
  <c r="E294" i="6" s="1"/>
  <c r="C239" i="6"/>
  <c r="E239" i="6" s="1"/>
  <c r="N1015" i="7"/>
  <c r="C353" i="6" s="1"/>
  <c r="E353" i="6" s="1"/>
  <c r="E354" i="6" s="1"/>
  <c r="N344" i="6" s="1"/>
  <c r="N347" i="6" s="1"/>
  <c r="J84" i="5"/>
  <c r="H84" i="5" s="1"/>
  <c r="N84" i="5" s="1"/>
  <c r="N1702" i="7"/>
  <c r="C641" i="6"/>
  <c r="E641" i="6" s="1"/>
  <c r="N1320" i="7"/>
  <c r="N1323" i="7" s="1"/>
  <c r="H76" i="5"/>
  <c r="N76" i="5" s="1"/>
  <c r="H109" i="5"/>
  <c r="N109" i="5" s="1"/>
  <c r="H86" i="5"/>
  <c r="N86" i="5" s="1"/>
  <c r="L116" i="5"/>
  <c r="F8" i="4" s="1"/>
  <c r="F16" i="4" s="1"/>
  <c r="H36" i="5"/>
  <c r="N36" i="5" s="1"/>
  <c r="C290" i="6"/>
  <c r="E290" i="6" s="1"/>
  <c r="N1386" i="7"/>
  <c r="C121" i="6"/>
  <c r="E121" i="6" s="1"/>
  <c r="N478" i="7"/>
  <c r="N1235" i="7"/>
  <c r="C445" i="6"/>
  <c r="E445" i="6" s="1"/>
  <c r="N1521" i="7"/>
  <c r="C545" i="6"/>
  <c r="E545" i="6" s="1"/>
  <c r="N212" i="7"/>
  <c r="N450" i="7"/>
  <c r="N1045" i="7"/>
  <c r="C393" i="6"/>
  <c r="E393" i="6" s="1"/>
  <c r="N1499" i="7"/>
  <c r="C544" i="6"/>
  <c r="E544" i="6" s="1"/>
  <c r="H47" i="5"/>
  <c r="N47" i="5" s="1"/>
  <c r="H46" i="5"/>
  <c r="N46" i="5" s="1"/>
  <c r="H111" i="5"/>
  <c r="N111" i="5" s="1"/>
  <c r="H54" i="5"/>
  <c r="N54" i="5" s="1"/>
  <c r="H87" i="5"/>
  <c r="N87" i="5" s="1"/>
  <c r="N1610" i="7"/>
  <c r="J107" i="5"/>
  <c r="H107" i="5" s="1"/>
  <c r="N107" i="5" s="1"/>
  <c r="C546" i="6"/>
  <c r="E546" i="6" s="1"/>
  <c r="N1544" i="7"/>
  <c r="N109" i="7"/>
  <c r="J34" i="5"/>
  <c r="C170" i="6"/>
  <c r="E170" i="6" s="1"/>
  <c r="N543" i="7"/>
  <c r="N1341" i="7"/>
  <c r="N758" i="7"/>
  <c r="C241" i="6"/>
  <c r="E241" i="6" s="1"/>
  <c r="N932" i="7"/>
  <c r="C293" i="6"/>
  <c r="E293" i="6" s="1"/>
  <c r="N270" i="7"/>
  <c r="C66" i="6"/>
  <c r="E66" i="6" s="1"/>
  <c r="N657" i="7"/>
  <c r="N1259" i="7"/>
  <c r="C446" i="6"/>
  <c r="E446" i="6" s="1"/>
  <c r="N1567" i="7"/>
  <c r="H48" i="5"/>
  <c r="N48" i="5" s="1"/>
  <c r="N318" i="7"/>
  <c r="N681" i="7"/>
  <c r="C237" i="6"/>
  <c r="E237" i="6" s="1"/>
  <c r="N85" i="7"/>
  <c r="N371" i="7"/>
  <c r="N1677" i="7"/>
  <c r="N571" i="7"/>
  <c r="N824" i="7"/>
  <c r="C288" i="6"/>
  <c r="E288" i="6" s="1"/>
  <c r="N1210" i="7"/>
  <c r="N593" i="7"/>
  <c r="J55" i="5"/>
  <c r="H55" i="5" s="1"/>
  <c r="N55" i="5" s="1"/>
  <c r="N240" i="7"/>
  <c r="J40" i="5"/>
  <c r="H40" i="5" s="1"/>
  <c r="N40" i="5" s="1"/>
  <c r="N803" i="7"/>
  <c r="C287" i="6"/>
  <c r="E287" i="6" s="1"/>
  <c r="N1749" i="7"/>
  <c r="C643" i="6"/>
  <c r="E643" i="6" s="1"/>
  <c r="K32" i="5"/>
  <c r="N59" i="7"/>
  <c r="N1282" i="7"/>
  <c r="C447" i="6"/>
  <c r="E447" i="6" s="1"/>
  <c r="N521" i="7"/>
  <c r="C123" i="6"/>
  <c r="E123" i="6" s="1"/>
  <c r="C541" i="6"/>
  <c r="E541" i="6" s="1"/>
  <c r="C448" i="6"/>
  <c r="E448" i="6" s="1"/>
  <c r="N1302" i="7"/>
  <c r="H113" i="5"/>
  <c r="N113" i="5" s="1"/>
  <c r="C173" i="6"/>
  <c r="E173" i="6" s="1"/>
  <c r="N618" i="7"/>
  <c r="N890" i="7"/>
  <c r="C291" i="6"/>
  <c r="E291" i="6" s="1"/>
  <c r="N1586" i="7"/>
  <c r="J106" i="5"/>
  <c r="H106" i="5" s="1"/>
  <c r="N106" i="5" s="1"/>
  <c r="N1654" i="7"/>
  <c r="J110" i="5"/>
  <c r="H110" i="5" s="1"/>
  <c r="N110" i="5" s="1"/>
  <c r="N776" i="7"/>
  <c r="J65" i="5"/>
  <c r="H65" i="5" s="1"/>
  <c r="N65" i="5" s="1"/>
  <c r="N293" i="7"/>
  <c r="J42" i="5"/>
  <c r="H42" i="5" s="1"/>
  <c r="N42" i="5" s="1"/>
  <c r="N639" i="7"/>
  <c r="C174" i="6"/>
  <c r="E174" i="6" s="1"/>
  <c r="N846" i="7"/>
  <c r="C289" i="6"/>
  <c r="E289" i="6" s="1"/>
  <c r="N1168" i="7"/>
  <c r="C398" i="6"/>
  <c r="E398" i="6" s="1"/>
  <c r="N343" i="7"/>
  <c r="J44" i="5"/>
  <c r="H44" i="5" s="1"/>
  <c r="N44" i="5" s="1"/>
  <c r="N974" i="7"/>
  <c r="N415" i="7"/>
  <c r="N1632" i="7"/>
  <c r="J108" i="5"/>
  <c r="H108" i="5" s="1"/>
  <c r="N108" i="5" s="1"/>
  <c r="N1722" i="7"/>
  <c r="N145" i="7"/>
  <c r="N1187" i="7"/>
  <c r="H100" i="5"/>
  <c r="N100" i="5" s="1"/>
  <c r="N1452" i="7"/>
  <c r="N700" i="7" l="1"/>
  <c r="N912" i="7"/>
  <c r="N1018" i="7"/>
  <c r="N33" i="7"/>
  <c r="C11" i="6"/>
  <c r="E11" i="6" s="1"/>
  <c r="N194" i="7"/>
  <c r="C63" i="6"/>
  <c r="E63" i="6" s="1"/>
  <c r="C62" i="6"/>
  <c r="E62" i="6" s="1"/>
  <c r="N172" i="7"/>
  <c r="C396" i="6"/>
  <c r="E396" i="6" s="1"/>
  <c r="C644" i="6"/>
  <c r="E644" i="6" s="1"/>
  <c r="C449" i="6"/>
  <c r="E449" i="6" s="1"/>
  <c r="N1477" i="7"/>
  <c r="C295" i="6"/>
  <c r="E295" i="6" s="1"/>
  <c r="E296" i="6" s="1"/>
  <c r="N279" i="6" s="1"/>
  <c r="N282" i="6" s="1"/>
  <c r="N977" i="7"/>
  <c r="N1589" i="7"/>
  <c r="C594" i="6"/>
  <c r="E594" i="6" s="1"/>
  <c r="N1455" i="7"/>
  <c r="C542" i="6"/>
  <c r="E542" i="6" s="1"/>
  <c r="N1725" i="7"/>
  <c r="C642" i="6"/>
  <c r="E642" i="6" s="1"/>
  <c r="N346" i="7"/>
  <c r="C69" i="6"/>
  <c r="E69" i="6" s="1"/>
  <c r="C67" i="6"/>
  <c r="E67" i="6" s="1"/>
  <c r="N296" i="7"/>
  <c r="N1657" i="7"/>
  <c r="C639" i="6"/>
  <c r="E639" i="6" s="1"/>
  <c r="N1213" i="7"/>
  <c r="C400" i="6"/>
  <c r="E400" i="6" s="1"/>
  <c r="N1680" i="7"/>
  <c r="C640" i="6"/>
  <c r="E640" i="6" s="1"/>
  <c r="N660" i="7"/>
  <c r="C175" i="6"/>
  <c r="E175" i="6" s="1"/>
  <c r="N243" i="7"/>
  <c r="C65" i="6"/>
  <c r="E65" i="6" s="1"/>
  <c r="C118" i="6"/>
  <c r="E118" i="6" s="1"/>
  <c r="N374" i="7"/>
  <c r="C68" i="6"/>
  <c r="E68" i="6" s="1"/>
  <c r="N321" i="7"/>
  <c r="N1613" i="7"/>
  <c r="C595" i="6"/>
  <c r="E595" i="6" s="1"/>
  <c r="N453" i="7"/>
  <c r="C120" i="6"/>
  <c r="E120" i="6" s="1"/>
  <c r="N1190" i="7"/>
  <c r="C399" i="6"/>
  <c r="E399" i="6" s="1"/>
  <c r="N418" i="7"/>
  <c r="C119" i="6"/>
  <c r="E119" i="6" s="1"/>
  <c r="N779" i="7"/>
  <c r="C242" i="6"/>
  <c r="E242" i="6" s="1"/>
  <c r="E243" i="6" s="1"/>
  <c r="N229" i="6" s="1"/>
  <c r="N232" i="6" s="1"/>
  <c r="C12" i="6"/>
  <c r="E12" i="6" s="1"/>
  <c r="N62" i="7"/>
  <c r="N88" i="7"/>
  <c r="C13" i="6"/>
  <c r="E13" i="6" s="1"/>
  <c r="H34" i="5"/>
  <c r="N34" i="5" s="1"/>
  <c r="N215" i="7"/>
  <c r="C64" i="6"/>
  <c r="E64" i="6" s="1"/>
  <c r="J96" i="5"/>
  <c r="H96" i="5" s="1"/>
  <c r="N96" i="5" s="1"/>
  <c r="N1373" i="7"/>
  <c r="C15" i="6"/>
  <c r="E15" i="6" s="1"/>
  <c r="N148" i="7"/>
  <c r="N1635" i="7"/>
  <c r="C596" i="6"/>
  <c r="E596" i="6" s="1"/>
  <c r="K116" i="5"/>
  <c r="E8" i="4" s="1"/>
  <c r="E16" i="4" s="1"/>
  <c r="H32" i="5"/>
  <c r="N32" i="5" s="1"/>
  <c r="C172" i="6"/>
  <c r="E172" i="6" s="1"/>
  <c r="N596" i="7"/>
  <c r="C171" i="6"/>
  <c r="E171" i="6" s="1"/>
  <c r="N574" i="7"/>
  <c r="N1344" i="7"/>
  <c r="C450" i="6"/>
  <c r="E450" i="6" s="1"/>
  <c r="E451" i="6" s="1"/>
  <c r="N437" i="6" s="1"/>
  <c r="N440" i="6" s="1"/>
  <c r="C14" i="6"/>
  <c r="E14" i="6" s="1"/>
  <c r="N112" i="7"/>
  <c r="E176" i="6" l="1"/>
  <c r="N162" i="6" s="1"/>
  <c r="N165" i="6" s="1"/>
  <c r="E597" i="6"/>
  <c r="N585" i="6" s="1"/>
  <c r="N588" i="6" s="1"/>
  <c r="J116" i="5"/>
  <c r="D8" i="4" s="1"/>
  <c r="D16" i="4" s="1"/>
  <c r="E401" i="6"/>
  <c r="N385" i="6" s="1"/>
  <c r="N388" i="6" s="1"/>
  <c r="N116" i="5"/>
  <c r="E70" i="6"/>
  <c r="N54" i="6" s="1"/>
  <c r="N57" i="6" s="1"/>
  <c r="N1376" i="7"/>
  <c r="C539" i="6"/>
  <c r="E539" i="6" s="1"/>
  <c r="E547" i="6" s="1"/>
  <c r="N531" i="6" s="1"/>
  <c r="N534" i="6" s="1"/>
  <c r="E16" i="6"/>
  <c r="N2" i="6" s="1"/>
  <c r="N5" i="6" s="1"/>
  <c r="E124" i="6"/>
  <c r="N110" i="6" s="1"/>
  <c r="N113" i="6" s="1"/>
  <c r="E645" i="6"/>
  <c r="N631" i="6" s="1"/>
  <c r="N634" i="6" s="1"/>
  <c r="H8" i="4" l="1"/>
  <c r="H16" i="4" s="1"/>
  <c r="O1" i="5"/>
</calcChain>
</file>

<file path=xl/sharedStrings.xml><?xml version="1.0" encoding="utf-8"?>
<sst xmlns="http://schemas.openxmlformats.org/spreadsheetml/2006/main" count="25570" uniqueCount="2711">
  <si>
    <t>Proportionning valve mount</t>
  </si>
  <si>
    <t>Tee mount</t>
  </si>
  <si>
    <t>Composition for total vehicle:</t>
  </si>
  <si>
    <t>Total Vehicle</t>
  </si>
  <si>
    <t>Wheels &amp; Tires</t>
  </si>
  <si>
    <t>Suspension &amp; Shocks</t>
  </si>
  <si>
    <t>Steering System</t>
  </si>
  <si>
    <t>Miscellaneous, Fit &amp; Finish</t>
  </si>
  <si>
    <t>Instruments &amp; Wiring</t>
  </si>
  <si>
    <t>Frame &amp; Body</t>
  </si>
  <si>
    <t>Engine &amp; Drivetrain</t>
  </si>
  <si>
    <t>Brake System</t>
  </si>
  <si>
    <t>Total</t>
  </si>
  <si>
    <t>Tooling</t>
  </si>
  <si>
    <t>Fasteners</t>
  </si>
  <si>
    <t>Processes</t>
  </si>
  <si>
    <t>Materials</t>
  </si>
  <si>
    <t>Area Totals</t>
  </si>
  <si>
    <t>for:</t>
  </si>
  <si>
    <t>Cost Summary Basics</t>
  </si>
  <si>
    <t>Area Total</t>
  </si>
  <si>
    <t>Engine and Drivetrain</t>
  </si>
  <si>
    <t>Chain set</t>
  </si>
  <si>
    <t>AA</t>
  </si>
  <si>
    <t>Driveshaft</t>
  </si>
  <si>
    <t>Differential</t>
  </si>
  <si>
    <t>Shifter</t>
  </si>
  <si>
    <t>Cooling system</t>
  </si>
  <si>
    <t>Catch cans assembly</t>
  </si>
  <si>
    <t>Throttle body</t>
  </si>
  <si>
    <t>Intake system</t>
  </si>
  <si>
    <t>Fuel system</t>
  </si>
  <si>
    <t>Fuel Tank assembly</t>
  </si>
  <si>
    <t>Exhaust system</t>
  </si>
  <si>
    <t>Details Page Number</t>
  </si>
  <si>
    <t>Total Cost</t>
  </si>
  <si>
    <t>Tooling Cost</t>
  </si>
  <si>
    <t>Fastener Cost</t>
  </si>
  <si>
    <t>Process Cost</t>
  </si>
  <si>
    <t>Material Cost</t>
  </si>
  <si>
    <t>Quantity</t>
  </si>
  <si>
    <t>Unit Cost</t>
  </si>
  <si>
    <t>Description</t>
  </si>
  <si>
    <t>Component</t>
  </si>
  <si>
    <t>Asm</t>
  </si>
  <si>
    <t>Rev. Lvl.</t>
  </si>
  <si>
    <t>Asm/Prt #</t>
  </si>
  <si>
    <t>Area of Commodity</t>
  </si>
  <si>
    <t>Line Num.</t>
  </si>
  <si>
    <t>The cost of assemlies on this chart should not include the cost of the parts in the assembly but only the materials, processes, fasteners and tooling in the assembly level.</t>
  </si>
  <si>
    <t>081</t>
  </si>
  <si>
    <t>Car #</t>
  </si>
  <si>
    <t>Year</t>
  </si>
  <si>
    <t>FS</t>
  </si>
  <si>
    <t>Competition Code</t>
  </si>
  <si>
    <t>Total Vehicle Cost</t>
  </si>
  <si>
    <t>Ecole Centrale Lyon</t>
  </si>
  <si>
    <t>University</t>
  </si>
  <si>
    <t>Sub Total</t>
  </si>
  <si>
    <t>point</t>
  </si>
  <si>
    <t>Tabs welding</t>
  </si>
  <si>
    <t>Welds - Welding Fixture</t>
  </si>
  <si>
    <t>FractionIncluded</t>
  </si>
  <si>
    <t>PVF</t>
  </si>
  <si>
    <t>Unit</t>
  </si>
  <si>
    <t>UnitCost</t>
  </si>
  <si>
    <t>Use</t>
  </si>
  <si>
    <t>ItemOrder</t>
  </si>
  <si>
    <t>mm</t>
  </si>
  <si>
    <t>Hold the rear sprocket adapter in place on the differential</t>
  </si>
  <si>
    <t>Retaining Ring, External</t>
  </si>
  <si>
    <t>Assemble the front sprocket with the engine</t>
  </si>
  <si>
    <t>Bolt, Grade 8.8 (SAE 5)</t>
  </si>
  <si>
    <t>Assemble the chain shield with the engine</t>
  </si>
  <si>
    <t>Washer, Grade 8.8 (SAE 5)</t>
  </si>
  <si>
    <t>Nut, Grade 8.8 (SAE 5)</t>
  </si>
  <si>
    <t>Assemble the chain shield with the tab</t>
  </si>
  <si>
    <t>Assemble the rear sprocket with the adapter</t>
  </si>
  <si>
    <t>Unit2</t>
  </si>
  <si>
    <t>Size2</t>
  </si>
  <si>
    <t>Unit1</t>
  </si>
  <si>
    <t>Size1</t>
  </si>
  <si>
    <t>Fastener</t>
  </si>
  <si>
    <t>Bolt chain shield to engine</t>
  </si>
  <si>
    <t>Reaction Tool &lt;= 25.4 mm</t>
  </si>
  <si>
    <t>Ratchet &lt;= 25.4 mm</t>
  </si>
  <si>
    <t>Place bolts and washers</t>
  </si>
  <si>
    <t>Assemble, 1 kg, Loose</t>
  </si>
  <si>
    <t>Bolt upper chain shield to tab</t>
  </si>
  <si>
    <t>Chain tension</t>
  </si>
  <si>
    <t>Adjustment - Misc.</t>
  </si>
  <si>
    <t>Put chain in place</t>
  </si>
  <si>
    <t>Assemble, 5 kg, Line-on-Line</t>
  </si>
  <si>
    <t>Bolt front sprocket to engine</t>
  </si>
  <si>
    <t>Put the front sprocket in place</t>
  </si>
  <si>
    <t>Assemble, 1 kg, Interference</t>
  </si>
  <si>
    <t>Bolt rear sprocket to adapter</t>
  </si>
  <si>
    <t>Put the retaining ring in the groove</t>
  </si>
  <si>
    <t>Put the centering pin in the rear sprocket adapter</t>
  </si>
  <si>
    <t>Put the rear sprocket adapter on the differential</t>
  </si>
  <si>
    <t>Assemble, 3 kg, Interference</t>
  </si>
  <si>
    <t>cm</t>
  </si>
  <si>
    <t>Weld tab to frame</t>
  </si>
  <si>
    <t>Weld</t>
  </si>
  <si>
    <t>Mult. Val.</t>
  </si>
  <si>
    <t>Multiplier</t>
  </si>
  <si>
    <t>Process</t>
  </si>
  <si>
    <t>Chain</t>
  </si>
  <si>
    <t>Density</t>
  </si>
  <si>
    <t>Length</t>
  </si>
  <si>
    <t>Area</t>
  </si>
  <si>
    <t>Area Name</t>
  </si>
  <si>
    <t>Material</t>
  </si>
  <si>
    <t>Part Cost</t>
  </si>
  <si>
    <t>Part</t>
  </si>
  <si>
    <t>Details</t>
  </si>
  <si>
    <t>FileLink3</t>
  </si>
  <si>
    <t>Suffix</t>
  </si>
  <si>
    <t>Extended Cost</t>
  </si>
  <si>
    <t>FileLink2</t>
  </si>
  <si>
    <t>EN A0012</t>
  </si>
  <si>
    <t>P/N Base</t>
  </si>
  <si>
    <t>FileLink1</t>
  </si>
  <si>
    <t>Assembly</t>
  </si>
  <si>
    <t>Qty</t>
  </si>
  <si>
    <t>System</t>
  </si>
  <si>
    <t>Asm Cost</t>
  </si>
  <si>
    <t>Ecole Cenrale de Lyon</t>
  </si>
  <si>
    <t>Fasten the tripod housing and the hub</t>
  </si>
  <si>
    <t>Nut, Grade NAS 6-Point</t>
  </si>
  <si>
    <t>Assemble the tripod housings and the differential</t>
  </si>
  <si>
    <t>fasten the boot</t>
  </si>
  <si>
    <t>Hose Clamp, Spring Steel</t>
  </si>
  <si>
    <t>Snap ring for retaining tripods</t>
  </si>
  <si>
    <t>Retaining Ring, R-ring</t>
  </si>
  <si>
    <t>Bolt tripod housing to hub</t>
  </si>
  <si>
    <t>Wrench &lt;= 25.4 mm</t>
  </si>
  <si>
    <t>Assemble a hose clamp and an tripod housing</t>
  </si>
  <si>
    <t>Assemble a hose clamp and an axle</t>
  </si>
  <si>
    <t>Assemble a tripod housing and a hub</t>
  </si>
  <si>
    <t>Assemble a boot and an tripod housing</t>
  </si>
  <si>
    <t>Assemble an axle and a tripod housing</t>
  </si>
  <si>
    <t>Assemble, 3 kg, Loose</t>
  </si>
  <si>
    <t>Assemble an axle and a snap ring</t>
  </si>
  <si>
    <t>Assemble a tripod and an axle</t>
  </si>
  <si>
    <t>Assemble, 1 kg, Line-on-Line</t>
  </si>
  <si>
    <t>Assemble a boot and an axle</t>
  </si>
  <si>
    <t>Fasten the differential and a tripod housing</t>
  </si>
  <si>
    <t>Assemble a tripod housing and the differential</t>
  </si>
  <si>
    <t>Boot for driveshaft</t>
  </si>
  <si>
    <t>Constant Velocity Joint, Boot</t>
  </si>
  <si>
    <t>Tripod for driveshaft</t>
  </si>
  <si>
    <t>Constant Velocity Joint, Tripod</t>
  </si>
  <si>
    <t>EN A0011</t>
  </si>
  <si>
    <t>Tabs</t>
  </si>
  <si>
    <t>Assemble right bearing carrier and tabs</t>
  </si>
  <si>
    <t xml:space="preserve">Blocking eccentric </t>
  </si>
  <si>
    <t>Blocking right bearing carrier and right eccentric</t>
  </si>
  <si>
    <t>Blocking left bearing carrier and left</t>
  </si>
  <si>
    <t>Assemble left bearing carrier and tabs</t>
  </si>
  <si>
    <t>Bolt the right bearing carrier to tabs</t>
  </si>
  <si>
    <t>Bolt the left bearing carrier to tabs</t>
  </si>
  <si>
    <t>Reaction Tool &lt;= 6.35 mm</t>
  </si>
  <si>
    <t>Ratchet &lt;= 6.35 mm</t>
  </si>
  <si>
    <t>Put two washers on bolt</t>
  </si>
  <si>
    <t>Assemble, 1kg, Loose</t>
  </si>
  <si>
    <t>Put the bearing carriers and tabs in place</t>
  </si>
  <si>
    <t>Assemble, 3 kg, Line-on-Line</t>
  </si>
  <si>
    <t>Assemble the bearing carriers and the bearings</t>
  </si>
  <si>
    <t>Assemble the right bearing and the right eccentric</t>
  </si>
  <si>
    <t>Assemble the left bearing and the left eccentric</t>
  </si>
  <si>
    <t>Assemble the housing and the bearings</t>
  </si>
  <si>
    <t>Weld tabs to frame</t>
  </si>
  <si>
    <t>liter</t>
  </si>
  <si>
    <t>Differential oil</t>
  </si>
  <si>
    <t>Fluid, Oil</t>
  </si>
  <si>
    <t>Left differential bearing</t>
  </si>
  <si>
    <t>Bearing, Double Row, Ball, Radial</t>
  </si>
  <si>
    <t>Right differential bearing</t>
  </si>
  <si>
    <t>Differential housing and mounting assembly</t>
  </si>
  <si>
    <t>EN A0010</t>
  </si>
  <si>
    <t>Retain shifting pinion shaft</t>
  </si>
  <si>
    <t>Make contact between rings and engine case</t>
  </si>
  <si>
    <t>Lock actuator between mount brackets</t>
  </si>
  <si>
    <t>Bolt,Grade 8.8 (SAE)</t>
  </si>
  <si>
    <t>Fasten star gear to the shift star</t>
  </si>
  <si>
    <t>Fastener Engagement Length &gt; 2D</t>
  </si>
  <si>
    <t>Tighten coupling bolts</t>
  </si>
  <si>
    <t>Wrench &lt;= 6.35 mm</t>
  </si>
  <si>
    <t>Fastener Engagement Length &gt; 4D</t>
  </si>
  <si>
    <t>Tighten actuator mounts's bolts</t>
  </si>
  <si>
    <t>Tighten elastomer screw</t>
  </si>
  <si>
    <t>Mount washer on elastomer screw</t>
  </si>
  <si>
    <t>Align rear mount with tab</t>
  </si>
  <si>
    <t>Mount elastomer on tab</t>
  </si>
  <si>
    <t>Mount actuator assembly on coupling</t>
  </si>
  <si>
    <t>Mount nut on screws</t>
  </si>
  <si>
    <t>Hand - Start Only</t>
  </si>
  <si>
    <t>Mount washers on screws</t>
  </si>
  <si>
    <t>Mount screws on actuator mounts</t>
  </si>
  <si>
    <t>Mount rear actuator mount</t>
  </si>
  <si>
    <t>Mount front actuator mount</t>
  </si>
  <si>
    <t>Mount engine case bolts</t>
  </si>
  <si>
    <t>Power Tool &lt;= 25.4 mm</t>
  </si>
  <si>
    <t>Mount engine case</t>
  </si>
  <si>
    <t>Mount clutch pressure bolts</t>
  </si>
  <si>
    <t>Power Tool &lt;= 6.35 mm</t>
  </si>
  <si>
    <t>Mount clutch pressure springs</t>
  </si>
  <si>
    <t>Mount pressure disc assembly</t>
  </si>
  <si>
    <t>Mount clutch discs</t>
  </si>
  <si>
    <t>Tighten central clutch nut</t>
  </si>
  <si>
    <t>Mount central clutch washers</t>
  </si>
  <si>
    <t>Mount central clutch</t>
  </si>
  <si>
    <t>Mount clutch guide</t>
  </si>
  <si>
    <t>Mount clutch roller case assembly</t>
  </si>
  <si>
    <t>Mount clutch flywheel</t>
  </si>
  <si>
    <t>Mount gearbox actuator coupling</t>
  </si>
  <si>
    <t>Mount retaining ring on shifting pinion shaft</t>
  </si>
  <si>
    <t>Mount whasher on shifting pinion shaft</t>
  </si>
  <si>
    <t>Mount shifting pinion shaft</t>
  </si>
  <si>
    <t>Tighten shift star bolt</t>
  </si>
  <si>
    <t>Mount gearbox drum gear</t>
  </si>
  <si>
    <t>Disassemble</t>
  </si>
  <si>
    <t>Remove shift star bolt</t>
  </si>
  <si>
    <t>Remove geashift drum stopper assembly</t>
  </si>
  <si>
    <t>Remove gearshift drum stopper bolt</t>
  </si>
  <si>
    <t>Remove shifting shaft stop</t>
  </si>
  <si>
    <t>Remove shifting shaft</t>
  </si>
  <si>
    <t>Remove shifting shaft retaining plate</t>
  </si>
  <si>
    <t>Remove shifting shaft retaining bolt</t>
  </si>
  <si>
    <t>Remove clutch flywheel</t>
  </si>
  <si>
    <t>Remove clutch roller case assembly</t>
  </si>
  <si>
    <t>Remove clutch guide</t>
  </si>
  <si>
    <t>Remove central clutch assembly</t>
  </si>
  <si>
    <t>Remove central clutch nut</t>
  </si>
  <si>
    <t>Remove clutch discs assembly</t>
  </si>
  <si>
    <t>Remove pressure disc assembly</t>
  </si>
  <si>
    <t>Remove clutch pressure springs</t>
  </si>
  <si>
    <t>Remove clutch pressure bolts</t>
  </si>
  <si>
    <t>Remove engine case</t>
  </si>
  <si>
    <t>Remove engine case bolts</t>
  </si>
  <si>
    <t>m²</t>
  </si>
  <si>
    <t>Paint tab to protect from rust</t>
  </si>
  <si>
    <t>Aerosol apply</t>
  </si>
  <si>
    <t>Weld tab to chassis</t>
  </si>
  <si>
    <t>For Engine on tab mount, with internal threading</t>
  </si>
  <si>
    <t>Mount, Vibration-Damping Sandwich</t>
  </si>
  <si>
    <t>Gearbox actuator</t>
  </si>
  <si>
    <t>Motor, 12 Volt, DC Brushless Servo</t>
  </si>
  <si>
    <t>Protect steel tab from rust</t>
  </si>
  <si>
    <t>Paint</t>
  </si>
  <si>
    <t>The gearshifting system relies on a DC brushless motor.</t>
  </si>
  <si>
    <t>EN A0009</t>
  </si>
  <si>
    <t>Welds - Welding Fixture Tabs</t>
  </si>
  <si>
    <t>Main line hose clamp</t>
  </si>
  <si>
    <t>Hose Clamp, Miniature Bolt</t>
  </si>
  <si>
    <t>M6 nuts for lateral bar, tabs and radiator</t>
  </si>
  <si>
    <t>M6 Bolt for fittings and radiator</t>
  </si>
  <si>
    <t>labor</t>
  </si>
  <si>
    <t>Bolt Hose Clamp</t>
  </si>
  <si>
    <t>Assemble lines with radiator</t>
  </si>
  <si>
    <t>Nut for lateral bar</t>
  </si>
  <si>
    <t>Reaction tool &lt;= 25.4 mm</t>
  </si>
  <si>
    <t>Bolt for lateral bar</t>
  </si>
  <si>
    <t>Nut for vibration damping sandwiches</t>
  </si>
  <si>
    <t>Assemble lateral bar with lateral tab and radiator</t>
  </si>
  <si>
    <t>Set radiator to vibration-damping sandwiches</t>
  </si>
  <si>
    <t>Assemble, 3 kg, Line-on-line</t>
  </si>
  <si>
    <t>Assemble vibration-damping sandwich with tabs</t>
  </si>
  <si>
    <t>Weld lateral tabs to frame</t>
  </si>
  <si>
    <t>Weld lower tab to frame</t>
  </si>
  <si>
    <t>Weld upper tab to frame</t>
  </si>
  <si>
    <t>Radiator mounts</t>
  </si>
  <si>
    <t>Mount, vibration dumping sandwich</t>
  </si>
  <si>
    <t>L</t>
  </si>
  <si>
    <t>cooling water</t>
  </si>
  <si>
    <t>Fluid, coolant</t>
  </si>
  <si>
    <t>Engine cooling system</t>
  </si>
  <si>
    <t>EN A0008</t>
  </si>
  <si>
    <t>Engine and Expansion tank clamp</t>
  </si>
  <si>
    <t>Hose Clamp, Worm Drive</t>
  </si>
  <si>
    <t>M6 washer for collar on collar mount</t>
  </si>
  <si>
    <t>M6 nut for collar on collar mount</t>
  </si>
  <si>
    <t>M6 bolt for assembly fixation</t>
  </si>
  <si>
    <t>Hose mounting on Bottles, Engine and Expansion tank</t>
  </si>
  <si>
    <t>Assemble, 1kg, Interference</t>
  </si>
  <si>
    <t>Clamps installation</t>
  </si>
  <si>
    <t>Screwdriver &gt; 1 Turn</t>
  </si>
  <si>
    <t>Clamp installation on engine and expansion tank from cooling system</t>
  </si>
  <si>
    <t>Hoses cut</t>
  </si>
  <si>
    <t>Cut (scissors, knife)</t>
  </si>
  <si>
    <t xml:space="preserve">Reaction tool for M6 nut </t>
  </si>
  <si>
    <t>Tighten M6 bolt for bottles + fittings plates + tab on differential bearing carrier</t>
  </si>
  <si>
    <t>Bottles + mounts on tabs</t>
  </si>
  <si>
    <t>hole</t>
  </si>
  <si>
    <t>Bottles drilling for hoses</t>
  </si>
  <si>
    <t>Drilled holes &lt; 25.4 mm dia.</t>
  </si>
  <si>
    <t>Drill the plate fitting, diam 6</t>
  </si>
  <si>
    <t>Bend plate fitting around the 2 cans</t>
  </si>
  <si>
    <t>m^2</t>
  </si>
  <si>
    <t>Bottles painting</t>
  </si>
  <si>
    <t>Lines from Engine's top and Expansion tank to overflow bottles</t>
  </si>
  <si>
    <t>Hose, Silicone</t>
  </si>
  <si>
    <t>Beer drinking bottle</t>
  </si>
  <si>
    <t>Overflow Bottle, Aluminum Drinking Bottle</t>
  </si>
  <si>
    <t>Oil and Water catch cans, mounted on the differential bearing carrier (EN10003)</t>
  </si>
  <si>
    <t>EN A0007</t>
  </si>
  <si>
    <t>Assemble air filter</t>
  </si>
  <si>
    <t>M6 washer for  throttle body on plenum</t>
  </si>
  <si>
    <t>Washer,Grade 8.8 (SAE)</t>
  </si>
  <si>
    <t>M6 nut for  throttle body on plenum</t>
  </si>
  <si>
    <t>Nut,Grade 8.8 (SAE)</t>
  </si>
  <si>
    <t>M6 bolt for  throttle body on plenum</t>
  </si>
  <si>
    <t>M5 bolt for Throttle negative stop</t>
  </si>
  <si>
    <t>M5 bolt for axle stop</t>
  </si>
  <si>
    <t>Between plenum / body  bolts</t>
  </si>
  <si>
    <t>Safety Wire, Install</t>
  </si>
  <si>
    <t>Assemble cable</t>
  </si>
  <si>
    <t>Assemble 1 kg, loose</t>
  </si>
  <si>
    <t>Tighten throttle adjuster</t>
  </si>
  <si>
    <t>Hand, Loose &lt;=6,35mm</t>
  </si>
  <si>
    <t>Assemble cable adjuster</t>
  </si>
  <si>
    <t>Tighten clamp</t>
  </si>
  <si>
    <t>Screwdriver &gt;1 Turn</t>
  </si>
  <si>
    <t>Assemble air filter and clamp</t>
  </si>
  <si>
    <t>Reaction tool for M6 nut</t>
  </si>
  <si>
    <t>Reaction tool &lt;=6,35mm</t>
  </si>
  <si>
    <t>Tighten M6 bolt for fitting body on plenum</t>
  </si>
  <si>
    <t>Ratchet &lt;= 6,35mm</t>
  </si>
  <si>
    <t>Assemble throttle body on plenum</t>
  </si>
  <si>
    <t>Assemble seal on throttle body</t>
  </si>
  <si>
    <t>Tighten M5 bolt for axle stop</t>
  </si>
  <si>
    <t>Assemble axle stop</t>
  </si>
  <si>
    <t>Assemble torsion spring</t>
  </si>
  <si>
    <t>Assemble, 1kg, Line-on-line</t>
  </si>
  <si>
    <t>Reaction tool for M5 nut</t>
  </si>
  <si>
    <t>Tighten M5 bolt for negative stop</t>
  </si>
  <si>
    <t>Assemble negative stop</t>
  </si>
  <si>
    <t>Assemble cable housing axle</t>
  </si>
  <si>
    <t>Assemble TPS axle</t>
  </si>
  <si>
    <t>Assemble throttle plate in restrictor</t>
  </si>
  <si>
    <t>Assemble ram pipe on throttle housing</t>
  </si>
  <si>
    <t>Assemble flange on restrictor</t>
  </si>
  <si>
    <t>Assemble throttle housing on restrictor</t>
  </si>
  <si>
    <t>Cable Adjuster</t>
  </si>
  <si>
    <t>m</t>
  </si>
  <si>
    <t>Throttle cable</t>
  </si>
  <si>
    <t>Cable, Pull</t>
  </si>
  <si>
    <t>sealing with plenum</t>
  </si>
  <si>
    <t>Seal, O-ring, Elastomer</t>
  </si>
  <si>
    <t>Sealing with airfilter</t>
  </si>
  <si>
    <t>Helicoidal spring</t>
  </si>
  <si>
    <t>Spring, Tension (General)</t>
  </si>
  <si>
    <t>Torsion spring</t>
  </si>
  <si>
    <t>cm^2</t>
  </si>
  <si>
    <t>Air filter</t>
  </si>
  <si>
    <t>EN A0006</t>
  </si>
  <si>
    <t>Assemble rubber on engine and pipes</t>
  </si>
  <si>
    <t>Hose clamp, Miniature bolt</t>
  </si>
  <si>
    <t>M4 Nut for plenum</t>
  </si>
  <si>
    <t xml:space="preserve"> M6 Nut for pipes</t>
  </si>
  <si>
    <t>M4 Bolts for plenum</t>
  </si>
  <si>
    <t xml:space="preserve">M6 Bolt for pipes </t>
  </si>
  <si>
    <t>M6 Bolt for Rubber brushing</t>
  </si>
  <si>
    <t>Raction tool for M4 nut</t>
  </si>
  <si>
    <t>Tighten M4 bolts for plenum and plate</t>
  </si>
  <si>
    <t>Ratchet &lt;=6,35mm</t>
  </si>
  <si>
    <t>Assemble plenum and plenum plate</t>
  </si>
  <si>
    <t>Raction tool for M6 nut</t>
  </si>
  <si>
    <t>Raction tool &lt;=6,35mm</t>
  </si>
  <si>
    <t>Tighten M6 bolts for pipes and plate</t>
  </si>
  <si>
    <t>Seal past apply on the plate</t>
  </si>
  <si>
    <t>Liquid applicator gun</t>
  </si>
  <si>
    <t>Assemble pipes and plenum plate</t>
  </si>
  <si>
    <t>Assemble, 1kg, loose</t>
  </si>
  <si>
    <t>Tighten M6 bolts for inlet pipes and pipe ends</t>
  </si>
  <si>
    <t>Seal past apply on the top of pipes end</t>
  </si>
  <si>
    <t>Assemble inlet pipes to pipe ends</t>
  </si>
  <si>
    <t>Screwdriver &gt; 1Turn</t>
  </si>
  <si>
    <t>Assemble pipe ends to rubber brushing</t>
  </si>
  <si>
    <t>Tighten M6 bolts for Rubber brushing</t>
  </si>
  <si>
    <t>Assemble Rubber brushing to engine</t>
  </si>
  <si>
    <t>Seal paste</t>
  </si>
  <si>
    <t>Adhesive</t>
  </si>
  <si>
    <t>EN A0005</t>
  </si>
  <si>
    <t>Welding fixture from tabs (Fuel pump + Pressure regulator) on frame</t>
  </si>
  <si>
    <t>M6 bolt for Pump collar on Tab</t>
  </si>
  <si>
    <t>Tighten fittings + adapters</t>
  </si>
  <si>
    <t>Tighten Tube nut</t>
  </si>
  <si>
    <t>Assemble banjo on fuel rail</t>
  </si>
  <si>
    <t>Safety wire installation between fuel rail and admission pipe</t>
  </si>
  <si>
    <t>Assemble Rail on Admission pipe</t>
  </si>
  <si>
    <t>Assemble Injectors on Fuel rail</t>
  </si>
  <si>
    <t>Assemble Injectors seal O Ring</t>
  </si>
  <si>
    <t>Tighten M6 bolt between Fuel pressure regulator and Tab</t>
  </si>
  <si>
    <t>Assemble Fuel pressure regulator on Tab</t>
  </si>
  <si>
    <t>Tighten M6 bolt between Pump Collar and Tab</t>
  </si>
  <si>
    <t>Assemble Pump + Collar on Pump tab</t>
  </si>
  <si>
    <t>Assemble Pump on Collar</t>
  </si>
  <si>
    <t>Assemble fittings on hose</t>
  </si>
  <si>
    <t>Pump collar tab on frame  (regulator tab only pointed)</t>
  </si>
  <si>
    <t>Injector seals</t>
  </si>
  <si>
    <t>Seal, O-Ring, Elastomer</t>
  </si>
  <si>
    <t>Adaptater for Pump and regulator conical threading</t>
  </si>
  <si>
    <t>Adapter/L.P./Union Reducer//Aluminum/Anodized</t>
  </si>
  <si>
    <t>Tee out, Regulator in</t>
  </si>
  <si>
    <t>Adapter/L.P./Union/FeMale Flare//Aluminum/Anodized</t>
  </si>
  <si>
    <t>Pump out, regulator in, filter in</t>
  </si>
  <si>
    <t>Adapter/L.P./Union Tee//Brass/</t>
  </si>
  <si>
    <t>Banjo fitting on rail</t>
  </si>
  <si>
    <t>Fitting/L.P./Tube Nut//Steel/</t>
  </si>
  <si>
    <t>Fuel rail alimentation</t>
  </si>
  <si>
    <t>Banjo Fitting, Aluminum</t>
  </si>
  <si>
    <t>Tank out, Pump in, T in and out, Tank return, Filter in and out, Banjo connection</t>
  </si>
  <si>
    <t>Fitting/L.P./Straight/Aluminum/Anodized</t>
  </si>
  <si>
    <t>Pump out, Rail in, Regulator out</t>
  </si>
  <si>
    <t>Fitting/L.P./Elbow/90 deg./Aluminum/Anodized</t>
  </si>
  <si>
    <t>Fuel tank draining port cap</t>
  </si>
  <si>
    <t>Fitting/L.P./Cap//Aluminum/ Anodized</t>
  </si>
  <si>
    <t>Hose, Low Pressure, Stainless Steel Braided Outer</t>
  </si>
  <si>
    <t>Fuel Injector, Gasoline</t>
  </si>
  <si>
    <t>Fuel Pressure Regulator, Gasoline</t>
  </si>
  <si>
    <t>Fuel Pump, Fuel Injected, Gasoline</t>
  </si>
  <si>
    <t>Fuel filter</t>
  </si>
  <si>
    <t>Fuel line and supply from tank to engine</t>
  </si>
  <si>
    <t>EN A0004</t>
  </si>
  <si>
    <t>Tabs to frame welding</t>
  </si>
  <si>
    <t>Clamps for filler neck and tube</t>
  </si>
  <si>
    <t>M6 washer for collar on collar mount +  for vibration damping sandwich</t>
  </si>
  <si>
    <t>M6 nut for collar on collar mount +  for vibration damping sandwich</t>
  </si>
  <si>
    <t>M6 bolt for collar on collar mount</t>
  </si>
  <si>
    <t>M8 washer for vibration damping sandwich</t>
  </si>
  <si>
    <t>M8 nut for vibration damping sandwich</t>
  </si>
  <si>
    <t>Filler tube cap</t>
  </si>
  <si>
    <t>Hand, Loose &gt; 25.4 mm</t>
  </si>
  <si>
    <t>Tighten Filler tube collar on collar tab</t>
  </si>
  <si>
    <t>Filler tube collar on collar tab</t>
  </si>
  <si>
    <t>Hose clamps</t>
  </si>
  <si>
    <t>Filler hose on the filler neck and Filler tube</t>
  </si>
  <si>
    <t>Assemble, 1kg, Interferance</t>
  </si>
  <si>
    <t>Clamps on the Filler hose</t>
  </si>
  <si>
    <t>Filler collar on Filler tube</t>
  </si>
  <si>
    <t>Tighten Fuel tank on the tabs</t>
  </si>
  <si>
    <t>Ratchet, &lt;= 25.4mm</t>
  </si>
  <si>
    <t>Fuel tank on the tabs</t>
  </si>
  <si>
    <t>Tighten vibration damping sandwich on Fuel Tank</t>
  </si>
  <si>
    <t>Vibration dampings sandwich on Fuel tank</t>
  </si>
  <si>
    <t>Fuel tank tabs + Filler neck tab  on frame</t>
  </si>
  <si>
    <t>Filler hose raccording Filler tube and Filler neck</t>
  </si>
  <si>
    <t>Vibration-Damping Sandwich for fuel tank, bolt include, diam 6mm</t>
  </si>
  <si>
    <t>Vibration-Damping Sandwich for fuel tank, bolt include, diam 8mm</t>
  </si>
  <si>
    <t>Fuel Tank with filler neck</t>
  </si>
  <si>
    <t>EN A0003</t>
  </si>
  <si>
    <t>Fixation muffler washer M5</t>
  </si>
  <si>
    <t>Fixation muffler nut M5</t>
  </si>
  <si>
    <t>Fixation muffler bolt M5</t>
  </si>
  <si>
    <t>Header's nut</t>
  </si>
  <si>
    <t>Mufflar bolts</t>
  </si>
  <si>
    <t>Tighten Muffler on bottom</t>
  </si>
  <si>
    <t>fastener installation &gt;4D</t>
  </si>
  <si>
    <t>Assemble Mufler fixation</t>
  </si>
  <si>
    <t>Assemble,1kg, Line on line</t>
  </si>
  <si>
    <t>Tube fixation muffler cut</t>
  </si>
  <si>
    <t>Tube cut</t>
  </si>
  <si>
    <t>Tighten Muffler on tubing</t>
  </si>
  <si>
    <t>Ratchet &lt;=25,4mm</t>
  </si>
  <si>
    <t>Muffler</t>
  </si>
  <si>
    <t>Assemble, 3kg, Line on line</t>
  </si>
  <si>
    <t>Assemble tubing to collector</t>
  </si>
  <si>
    <t>Assemble secondary collector to primary tubing</t>
  </si>
  <si>
    <t>Assemble Primary collector tubing to collector</t>
  </si>
  <si>
    <t>Assemble Primary collector to headers</t>
  </si>
  <si>
    <t>Assemble headers to engine</t>
  </si>
  <si>
    <t>Tighten header's nut</t>
  </si>
  <si>
    <t>Assemble collector to header</t>
  </si>
  <si>
    <t>Assemble flange to headers</t>
  </si>
  <si>
    <t>Tip welding on headers</t>
  </si>
  <si>
    <t>Tube 8mmx1mm</t>
  </si>
  <si>
    <t>Tubing material, Mufler fixation</t>
  </si>
  <si>
    <t>Aluminium - Normal</t>
  </si>
  <si>
    <t>Exhaust System Ceramic Coating</t>
  </si>
  <si>
    <t>EN A0002</t>
  </si>
  <si>
    <t>Mounts welding</t>
  </si>
  <si>
    <t>M12 washer for mounts</t>
  </si>
  <si>
    <t>Washer, Grade 12.9</t>
  </si>
  <si>
    <t>M12 front mount bolt</t>
  </si>
  <si>
    <t>Bolt, Grade 12.9</t>
  </si>
  <si>
    <t>M12 axle nut</t>
  </si>
  <si>
    <t>Nut, Grade 12.9</t>
  </si>
  <si>
    <t>Engine first start, includes fuel</t>
  </si>
  <si>
    <t>Seal paste application</t>
  </si>
  <si>
    <t>Liquid Applicator Gun</t>
  </si>
  <si>
    <t>Cut from the inlet filter for entering in the new sump (diam. 25mm)</t>
  </si>
  <si>
    <t>Reaction tool for M12 nut</t>
  </si>
  <si>
    <t>Reaction Tool, &lt;=25.4mm</t>
  </si>
  <si>
    <t>Tighten front mount M12 nut</t>
  </si>
  <si>
    <t>Tighten upper axle M12 nuts</t>
  </si>
  <si>
    <t>Assemble upper axle</t>
  </si>
  <si>
    <t>Assemble, 1kg, Line-on-Line</t>
  </si>
  <si>
    <t>Assemble engine in frame</t>
  </si>
  <si>
    <t>Assemble, &gt;20 kg, Interference</t>
  </si>
  <si>
    <t>Assemble vibration damping sandwich</t>
  </si>
  <si>
    <t>Mounts painting</t>
  </si>
  <si>
    <t>Upper mounts welding</t>
  </si>
  <si>
    <t>Front mounts welding</t>
  </si>
  <si>
    <t>Paper seal for sump</t>
  </si>
  <si>
    <t>Engine mounts</t>
  </si>
  <si>
    <t>Engine oil</t>
  </si>
  <si>
    <t>Engine assembly with mounts and sump</t>
  </si>
  <si>
    <t>EN A0001</t>
  </si>
  <si>
    <t>Engine</t>
  </si>
  <si>
    <t>Material-Steel</t>
  </si>
  <si>
    <t>cm^3</t>
  </si>
  <si>
    <t>Shaping of the centering pin</t>
  </si>
  <si>
    <t>Machining</t>
  </si>
  <si>
    <t>Setup and removal of the machining of the centering pin</t>
  </si>
  <si>
    <t>Machining Setup, Install and remove</t>
  </si>
  <si>
    <t>round 12mm</t>
  </si>
  <si>
    <t>Material for the centering pin</t>
  </si>
  <si>
    <t>Steel, Mild</t>
  </si>
  <si>
    <t>EN 12006</t>
  </si>
  <si>
    <t>Centering pin</t>
  </si>
  <si>
    <t>Drawing</t>
  </si>
  <si>
    <t>Ecole Centrale de Lyon</t>
  </si>
  <si>
    <t>Mount painting</t>
  </si>
  <si>
    <t>Material, Steel</t>
  </si>
  <si>
    <t>Mounts cut</t>
  </si>
  <si>
    <t>Laser cut</t>
  </si>
  <si>
    <t>Setup for machining</t>
  </si>
  <si>
    <t>mounts paint</t>
  </si>
  <si>
    <t>Rectangular area (plate) 15mm x 2mm</t>
  </si>
  <si>
    <t>Mounts material</t>
  </si>
  <si>
    <t>EN 12005</t>
  </si>
  <si>
    <t>Tab</t>
  </si>
  <si>
    <t>Shield painting</t>
  </si>
  <si>
    <t>Aerosol Apply</t>
  </si>
  <si>
    <t>Hole for the lower chain shield</t>
  </si>
  <si>
    <t>bend</t>
  </si>
  <si>
    <t>Bend to shape</t>
  </si>
  <si>
    <t>Sheet metal bends</t>
  </si>
  <si>
    <t>Shaping of the chain shield</t>
  </si>
  <si>
    <t>Laser Cut</t>
  </si>
  <si>
    <t>Setup and removal of the machining of the shield</t>
  </si>
  <si>
    <t>Protection against rust</t>
  </si>
  <si>
    <t>Rectangular area (plate) 62mm x 3mm</t>
  </si>
  <si>
    <t>Material for the upper chain shield</t>
  </si>
  <si>
    <t>EN 12004</t>
  </si>
  <si>
    <t>Chain shield</t>
  </si>
  <si>
    <t>Broach of the adapter</t>
  </si>
  <si>
    <t>Broach, Internal</t>
  </si>
  <si>
    <t>Setup and removal of the broach of the adapter</t>
  </si>
  <si>
    <t>Machinig Setup, Install and remove</t>
  </si>
  <si>
    <t>Hole for the rear sprocket</t>
  </si>
  <si>
    <t>Shaping of the adapter</t>
  </si>
  <si>
    <t>Setup and removal of the machining of the adapter</t>
  </si>
  <si>
    <t>Round 132mm</t>
  </si>
  <si>
    <t>Material for the adapter</t>
  </si>
  <si>
    <t>Aluminium, Premium</t>
  </si>
  <si>
    <t>EN 12003</t>
  </si>
  <si>
    <t>Rear sprocket adapter</t>
  </si>
  <si>
    <t>Shaping of the sprocket</t>
  </si>
  <si>
    <t>Setup and removalfor laser cut of the sprocket</t>
  </si>
  <si>
    <t>Material-steel</t>
  </si>
  <si>
    <t>Gear Shaping (hobbing)</t>
  </si>
  <si>
    <t>Setup and removal of the machining of the sprocket</t>
  </si>
  <si>
    <t>Round 210mm</t>
  </si>
  <si>
    <t>Material for the rear sprocket</t>
  </si>
  <si>
    <t>EN 12002</t>
  </si>
  <si>
    <t>Rear sprocket</t>
  </si>
  <si>
    <t>Broach of the sprocket</t>
  </si>
  <si>
    <t>Setup and removal of the broach of the sprocket</t>
  </si>
  <si>
    <t>Round 76mm</t>
  </si>
  <si>
    <t>Material for front sprocket</t>
  </si>
  <si>
    <t>Bought</t>
  </si>
  <si>
    <t>EN 12001</t>
  </si>
  <si>
    <t>Front sprocket</t>
  </si>
  <si>
    <t>Broach of the axle</t>
  </si>
  <si>
    <t>Broach, External</t>
  </si>
  <si>
    <t>Setup and removal of the broach of the axle</t>
  </si>
  <si>
    <t>Shaping of the axle</t>
  </si>
  <si>
    <t>Setup and removal of the machining of the axle</t>
  </si>
  <si>
    <t>Round 24mm diam.</t>
  </si>
  <si>
    <t>Material for driveshaft axle</t>
  </si>
  <si>
    <t>Steel, Alloy</t>
  </si>
  <si>
    <t>EN 11004</t>
  </si>
  <si>
    <t>Left axle</t>
  </si>
  <si>
    <t>EN 11003</t>
  </si>
  <si>
    <t>Right axle</t>
  </si>
  <si>
    <t>Threading of the tripod housing</t>
  </si>
  <si>
    <t>Threading, External (machining)</t>
  </si>
  <si>
    <t>Setup and removal of the threading of the tripod housing</t>
  </si>
  <si>
    <t>Broach of the tripod housing</t>
  </si>
  <si>
    <t>Setup and removal of the broach of the tripod housing</t>
  </si>
  <si>
    <t>Shaping of the tripod housing</t>
  </si>
  <si>
    <t>Setup and removal of the machining of the tripod housing</t>
  </si>
  <si>
    <t xml:space="preserve">Round 65,5mm diam. </t>
  </si>
  <si>
    <t>Material for the tripod housing</t>
  </si>
  <si>
    <t>EN 11002</t>
  </si>
  <si>
    <t>Outboard tripod housing</t>
  </si>
  <si>
    <t>Round 65,5mm diam.</t>
  </si>
  <si>
    <t>Material for the inboard tripod housing</t>
  </si>
  <si>
    <t>EN 11001</t>
  </si>
  <si>
    <t>Inboard Tripod housing</t>
  </si>
  <si>
    <t>Holes</t>
  </si>
  <si>
    <t>Shaping side 2</t>
  </si>
  <si>
    <t>Setup and removal of the machining of the left eccentric on the other side</t>
  </si>
  <si>
    <t>Shaping side 1</t>
  </si>
  <si>
    <t>Setup and removal of the machining of the right eccentric</t>
  </si>
  <si>
    <t>Round 146mm</t>
  </si>
  <si>
    <t>Material for the left eccentric</t>
  </si>
  <si>
    <t>Plastic, Polyoxymethylene (POM)</t>
  </si>
  <si>
    <t>Chain tension adjustement</t>
  </si>
  <si>
    <t>EN 10008</t>
  </si>
  <si>
    <t>Left eccentric</t>
  </si>
  <si>
    <t xml:space="preserve">Drawing </t>
  </si>
  <si>
    <t>Setup and removal of the machining of the right eccentric on the other side</t>
  </si>
  <si>
    <t>Material for the right eccentric</t>
  </si>
  <si>
    <t>EN 10007</t>
  </si>
  <si>
    <t>Right eccentric</t>
  </si>
  <si>
    <t>Tab painting</t>
  </si>
  <si>
    <t>Shaping of the tab and holes</t>
  </si>
  <si>
    <t>Tab paint</t>
  </si>
  <si>
    <t>Rectangular area (plate) 20x3mm</t>
  </si>
  <si>
    <t>Material for the tab</t>
  </si>
  <si>
    <t>EN 10006</t>
  </si>
  <si>
    <t>Rear bearing carrier tab (right and left)</t>
  </si>
  <si>
    <t>Rectangular area (plate)  20x3mm</t>
  </si>
  <si>
    <t>EN 10005</t>
  </si>
  <si>
    <t>Front bearing carrier tab (right and left)</t>
  </si>
  <si>
    <t>Material - Aluminium</t>
  </si>
  <si>
    <t>Thread</t>
  </si>
  <si>
    <t>Threading, Internal (machining)</t>
  </si>
  <si>
    <t>Shaping of the differential bearing carrier</t>
  </si>
  <si>
    <t>Setup and removal of the machining of the right bearing carrier</t>
  </si>
  <si>
    <t>Rectangular area 169x22 mm</t>
  </si>
  <si>
    <t>Material for the left bearing carrier</t>
  </si>
  <si>
    <t>EN 10004</t>
  </si>
  <si>
    <t>Left bearing carrier</t>
  </si>
  <si>
    <t>Rectangular area 169x20 mm</t>
  </si>
  <si>
    <t>Material for the right bearing carrier</t>
  </si>
  <si>
    <t>EN 10003</t>
  </si>
  <si>
    <t>Right bearing carrier</t>
  </si>
  <si>
    <t>Limite Slip Differential</t>
  </si>
  <si>
    <t>Differential Internals, Limited Slip, Salisbury or Powerflow or Clutch Style</t>
  </si>
  <si>
    <t>Bought with the differential</t>
  </si>
  <si>
    <t>EN 10002</t>
  </si>
  <si>
    <t>Internals</t>
  </si>
  <si>
    <t>Copper washer for impermeability of the differential</t>
  </si>
  <si>
    <t>Crush Washer</t>
  </si>
  <si>
    <t>Drain screw</t>
  </si>
  <si>
    <t>Bolt, Grade 10,9</t>
  </si>
  <si>
    <t>Washer, Grade 12,9</t>
  </si>
  <si>
    <t>Assemble of the three parts</t>
  </si>
  <si>
    <t>Bolt, Grade 12,9</t>
  </si>
  <si>
    <t>Bolt the drain screws to housing</t>
  </si>
  <si>
    <t>Assemble the three parts</t>
  </si>
  <si>
    <t>Assemble the three parts and the two seals</t>
  </si>
  <si>
    <t>hole for the differential cover</t>
  </si>
  <si>
    <t>Drilled holles &lt;25,4mm dia</t>
  </si>
  <si>
    <t>Machining of the differential cover</t>
  </si>
  <si>
    <t>Setup and removal of the machining</t>
  </si>
  <si>
    <t>Broach of the housing cover</t>
  </si>
  <si>
    <t>hole for the differential housing cover</t>
  </si>
  <si>
    <t>Machining of the diffrential housing cover</t>
  </si>
  <si>
    <t>Setup and removal of the machining of the differential housing cover</t>
  </si>
  <si>
    <t>Tapped holes for the drain screw of the differential housing</t>
  </si>
  <si>
    <t>Tapping holes</t>
  </si>
  <si>
    <t>Tapped holes for the differential housing</t>
  </si>
  <si>
    <t>Machining of the diffrential housing</t>
  </si>
  <si>
    <t>Setup and removal of the machining of the differential housing</t>
  </si>
  <si>
    <t>Round 102mm diam.</t>
  </si>
  <si>
    <t>Material for differential cover</t>
  </si>
  <si>
    <t>Material for differential housing cover</t>
  </si>
  <si>
    <t>Round 102mm</t>
  </si>
  <si>
    <t>Material for differential housing</t>
  </si>
  <si>
    <t>Bought with the differential, cost as made</t>
  </si>
  <si>
    <t>EN 10001</t>
  </si>
  <si>
    <t>Housing</t>
  </si>
  <si>
    <t>Material, Aluminum</t>
  </si>
  <si>
    <t>cm³</t>
  </si>
  <si>
    <t>Machining setup, Change</t>
  </si>
  <si>
    <t>circle diam 27mm</t>
  </si>
  <si>
    <t>Material for part</t>
  </si>
  <si>
    <t>Aluminium, Normal</t>
  </si>
  <si>
    <t>EN 09006</t>
  </si>
  <si>
    <t>Engine -Pinion shaft link</t>
  </si>
  <si>
    <t>Setup for laser cut</t>
  </si>
  <si>
    <t>rectangular area (plate) 30x2 mm</t>
  </si>
  <si>
    <t xml:space="preserve">mm </t>
  </si>
  <si>
    <t>Bracket that maintains the gearbox actuator</t>
  </si>
  <si>
    <t>EN 09005</t>
  </si>
  <si>
    <t>Rear engine gearbox actuator mout</t>
  </si>
  <si>
    <t>rectangular area (plate) 11x2 mm</t>
  </si>
  <si>
    <t>EN 09004</t>
  </si>
  <si>
    <t>Front engine gearbox actuator mout</t>
  </si>
  <si>
    <t>Material – Steel</t>
  </si>
  <si>
    <t>rectangular area (plate) 23x3 mm</t>
  </si>
  <si>
    <t>Déscription brève de la pièce</t>
  </si>
  <si>
    <t>EN 09003</t>
  </si>
  <si>
    <t>Engine gearbox actuator tab</t>
  </si>
  <si>
    <t>Gear shaping</t>
  </si>
  <si>
    <t>Cm³</t>
  </si>
  <si>
    <t>Replaces the engine's gear selector shaft</t>
  </si>
  <si>
    <t>EN 09002</t>
  </si>
  <si>
    <t>Engine gearbox pinion shaft</t>
  </si>
  <si>
    <t>Screw hole</t>
  </si>
  <si>
    <t>Shift star contact</t>
  </si>
  <si>
    <t>circle diam 57mm</t>
  </si>
  <si>
    <t>Gear material</t>
  </si>
  <si>
    <t>Mounts on engine gear star</t>
  </si>
  <si>
    <t>EN 09001</t>
  </si>
  <si>
    <t>Engine Gearbox drum gear</t>
  </si>
  <si>
    <t>2 holles, diam 6.5mm for M6 nuts</t>
  </si>
  <si>
    <t>Stambing the tube ends for drilling and bolt fitting</t>
  </si>
  <si>
    <t>Sheet metal stamping</t>
  </si>
  <si>
    <t>Tube bend</t>
  </si>
  <si>
    <t>2x 1.2cm diameter tube cut</t>
  </si>
  <si>
    <t>Circular area (tube) 12x1 mm</t>
  </si>
  <si>
    <t>Tube fittings material</t>
  </si>
  <si>
    <t>Aluminium, Normal (per kg)</t>
  </si>
  <si>
    <t>EN 08008</t>
  </si>
  <si>
    <t>Tube fittings</t>
  </si>
  <si>
    <t>Bend</t>
  </si>
  <si>
    <t>Sheet metal bend</t>
  </si>
  <si>
    <t>Material - Steel</t>
  </si>
  <si>
    <t>Machining Setup,
Install and remove</t>
  </si>
  <si>
    <t>tab painting</t>
  </si>
  <si>
    <t>Rectangular area (plate) 30x2 mm</t>
  </si>
  <si>
    <t>Radiator lateral tab material</t>
  </si>
  <si>
    <t>Steel, Mild (per kg)</t>
  </si>
  <si>
    <t>EN 08007</t>
  </si>
  <si>
    <t>Radiator lateral tab</t>
  </si>
  <si>
    <t>Rectangular area (plate) 25x2 mm</t>
  </si>
  <si>
    <t>Radiator lower tab material</t>
  </si>
  <si>
    <t>EN 08006</t>
  </si>
  <si>
    <t>Radiator lower tab</t>
  </si>
  <si>
    <t>Rectangular area (plate) 18x2 mm</t>
  </si>
  <si>
    <t>Radiator upper tab material</t>
  </si>
  <si>
    <t>EN 08005</t>
  </si>
  <si>
    <t>Radiator upper tab</t>
  </si>
  <si>
    <t>Expansion tank welding fixture</t>
  </si>
  <si>
    <t>FracIncld</t>
  </si>
  <si>
    <t>Expansion tank filler neck and cap assembly</t>
  </si>
  <si>
    <t>Material : Steel</t>
  </si>
  <si>
    <t>Expansion tank cap</t>
  </si>
  <si>
    <t>Setup for machinig and removal</t>
  </si>
  <si>
    <t>Material : Aluminium</t>
  </si>
  <si>
    <t>Expansion tank welding</t>
  </si>
  <si>
    <t>Hose output</t>
  </si>
  <si>
    <t>Uper and lower side cutting</t>
  </si>
  <si>
    <t>for laser cut</t>
  </si>
  <si>
    <t>Filler neck</t>
  </si>
  <si>
    <t>Round 60mm diameter</t>
  </si>
  <si>
    <t>Round 20mm diameter</t>
  </si>
  <si>
    <t>Aluminium, normal (per kg)</t>
  </si>
  <si>
    <t>Round 50mm diameter</t>
  </si>
  <si>
    <t>Rectangular area 145mm*50mm</t>
  </si>
  <si>
    <t>Uper and lower side</t>
  </si>
  <si>
    <t>Tube 45mm * 2,5mm</t>
  </si>
  <si>
    <t>Lateral side</t>
  </si>
  <si>
    <t>EN 08004</t>
  </si>
  <si>
    <t>Expansion tank</t>
  </si>
  <si>
    <t>Set fan to radiator</t>
  </si>
  <si>
    <t>Pin, Plastic Push</t>
  </si>
  <si>
    <t>Push pin</t>
  </si>
  <si>
    <t>Assemble, 1 kg, Line-on-line</t>
  </si>
  <si>
    <t>Heat Exchanger Fan</t>
  </si>
  <si>
    <t>EN 08003</t>
  </si>
  <si>
    <t>Fan</t>
  </si>
  <si>
    <t>Radiator</t>
  </si>
  <si>
    <t>Heat Exchanger, Air-to-Liquid</t>
  </si>
  <si>
    <t>EN 08002</t>
  </si>
  <si>
    <t>Hose and sleeve assembly</t>
  </si>
  <si>
    <t>Steel hose cutting</t>
  </si>
  <si>
    <t>Saw or tubing cuts</t>
  </si>
  <si>
    <t>Silicone hose cutting</t>
  </si>
  <si>
    <t>Tube 25 x 0.5mm</t>
  </si>
  <si>
    <t>Main lines</t>
  </si>
  <si>
    <t>Steel, Stainless</t>
  </si>
  <si>
    <t>Sleeve</t>
  </si>
  <si>
    <t>EN 08001</t>
  </si>
  <si>
    <t>Coolant lines</t>
  </si>
  <si>
    <t>Base for plate lamination</t>
  </si>
  <si>
    <t>Lamination - Flat Panel Tool</t>
  </si>
  <si>
    <t>Curing of the plate</t>
  </si>
  <si>
    <t>Cure, Room Temperature</t>
  </si>
  <si>
    <t>Repeat 3</t>
  </si>
  <si>
    <t>Resin application on the 3 Ply</t>
  </si>
  <si>
    <t>Resin application, Manual</t>
  </si>
  <si>
    <t>Lamination of the 3 Ply</t>
  </si>
  <si>
    <t>Lamination, Manual</t>
  </si>
  <si>
    <t>Cut sheet of fiber (pre lamination)</t>
  </si>
  <si>
    <t>Cut (scissors)</t>
  </si>
  <si>
    <t>Resin</t>
  </si>
  <si>
    <t>kg</t>
  </si>
  <si>
    <t>Plate inside material     400 g/m²</t>
  </si>
  <si>
    <t>Glass Fiber, 1 Ply</t>
  </si>
  <si>
    <t>Carbon fiber, 1 Ply</t>
  </si>
  <si>
    <t>Plate for the 2 cans fitting</t>
  </si>
  <si>
    <t>EN 07002</t>
  </si>
  <si>
    <t>Cans fittings</t>
  </si>
  <si>
    <t>2 bends</t>
  </si>
  <si>
    <t>Setup for laser cutting</t>
  </si>
  <si>
    <t>Rectengular area (plate) 35x2 mm</t>
  </si>
  <si>
    <t>Tabs material</t>
  </si>
  <si>
    <t>Fixed on the diffential bearing carrier (EN 10003)</t>
  </si>
  <si>
    <t>EN 07001</t>
  </si>
  <si>
    <t>Catch cans tabs</t>
  </si>
  <si>
    <t>Round 80mm</t>
  </si>
  <si>
    <t>EN 06009</t>
  </si>
  <si>
    <t>Ram pipe</t>
  </si>
  <si>
    <t>Round 25mm</t>
  </si>
  <si>
    <t>EN 06008</t>
  </si>
  <si>
    <t>Axle stop</t>
  </si>
  <si>
    <t>Rectangular 60 x 2mm</t>
  </si>
  <si>
    <t>EN 06007</t>
  </si>
  <si>
    <t>Cable housing</t>
  </si>
  <si>
    <t>Round 32mm</t>
  </si>
  <si>
    <t>EN 06006</t>
  </si>
  <si>
    <t>Throttle plate</t>
  </si>
  <si>
    <t>Machining of the back face</t>
  </si>
  <si>
    <t>Setup part for machining of the back face</t>
  </si>
  <si>
    <t>Machining Setup, Change</t>
  </si>
  <si>
    <t>Round 10mm</t>
  </si>
  <si>
    <t>Axle material</t>
  </si>
  <si>
    <t>EN 06005</t>
  </si>
  <si>
    <t>TPS axle</t>
  </si>
  <si>
    <t>EN 06004</t>
  </si>
  <si>
    <t>Throttle axle</t>
  </si>
  <si>
    <t>Machining setup, install and remove</t>
  </si>
  <si>
    <t>Rectangular 45*30mm</t>
  </si>
  <si>
    <t>EN 06003</t>
  </si>
  <si>
    <t>Throttle housing</t>
  </si>
  <si>
    <t>Machining setp, change</t>
  </si>
  <si>
    <t>Cutout shape</t>
  </si>
  <si>
    <t>Round diam 42mm</t>
  </si>
  <si>
    <t>EN 06002</t>
  </si>
  <si>
    <t>Restrictor</t>
  </si>
  <si>
    <t>Aluminium</t>
  </si>
  <si>
    <t>Drillet holes &lt;25,4mm dia.</t>
  </si>
  <si>
    <t>Rectangular 40*20mm</t>
  </si>
  <si>
    <t>Stock material for part</t>
  </si>
  <si>
    <t>EN 06001</t>
  </si>
  <si>
    <t>Throttle flange</t>
  </si>
  <si>
    <t>Glue Hose on the basement plate</t>
  </si>
  <si>
    <t>Put Rubber hose on plate</t>
  </si>
  <si>
    <t>Material-Alu</t>
  </si>
  <si>
    <t>Glue for Rubber hose</t>
  </si>
  <si>
    <t>2 Rubber brushing</t>
  </si>
  <si>
    <t>Hose, Rubber</t>
  </si>
  <si>
    <t>Rectangular area (plate) 60mm x 3mm</t>
  </si>
  <si>
    <t>Stock material for basement plate</t>
  </si>
  <si>
    <t>Aluminum, Normal (per kg)</t>
  </si>
  <si>
    <t>Engine rubber brushing, 2 rubber brushing by plate</t>
  </si>
  <si>
    <t>EN 05006</t>
  </si>
  <si>
    <t>Rubber brushing</t>
  </si>
  <si>
    <t>2 bends for each mount</t>
  </si>
  <si>
    <t>Cutout shape, 2 mounts</t>
  </si>
  <si>
    <t>Rectangular area (plate) 24mm x 2mm</t>
  </si>
  <si>
    <t>2 fittings for the plenum on the engine</t>
  </si>
  <si>
    <t>EN 05005</t>
  </si>
  <si>
    <t>Plenum mounts</t>
  </si>
  <si>
    <t>Rapid Prototype - Plastic</t>
  </si>
  <si>
    <t>Plastic, ABS (per kg)</t>
  </si>
  <si>
    <t>Connection from the Inlet pipes, the engine and the injector</t>
  </si>
  <si>
    <t>EN 05004</t>
  </si>
  <si>
    <t>Pipe end</t>
  </si>
  <si>
    <t>4 inlet pipes in 1 part</t>
  </si>
  <si>
    <t>EN 05003</t>
  </si>
  <si>
    <t>Inlet pipes</t>
  </si>
  <si>
    <t>Material - Aluminum</t>
  </si>
  <si>
    <t>Rectangular area (plate) 210mm x 3mm</t>
  </si>
  <si>
    <t>Plenum bottom plate for connection with inlet pipes</t>
  </si>
  <si>
    <t>EN 05002</t>
  </si>
  <si>
    <t>Plenum plate</t>
  </si>
  <si>
    <t>EN 05001</t>
  </si>
  <si>
    <t>Plenum</t>
  </si>
  <si>
    <t>Rolling at 90° and 135°</t>
  </si>
  <si>
    <t>Rectangular area (plate) 30mm x 1mm</t>
  </si>
  <si>
    <t>Mount material</t>
  </si>
  <si>
    <t>Aluminum - Normal</t>
  </si>
  <si>
    <t>Symetrie of Fuel rail mount 1</t>
  </si>
  <si>
    <t>EN 04006</t>
  </si>
  <si>
    <t>Fuel rail mount 2</t>
  </si>
  <si>
    <t>Mounts for the fuel rail, between fuel rail and engine</t>
  </si>
  <si>
    <t>EN 04005</t>
  </si>
  <si>
    <t>Fuel rail mount 1</t>
  </si>
  <si>
    <t>Rolling at 60mm + 2 fixation zones</t>
  </si>
  <si>
    <t>Rectangular area (plate) 20mm x 1mm</t>
  </si>
  <si>
    <t>Collar material</t>
  </si>
  <si>
    <t>Collar for fuel pump fitting</t>
  </si>
  <si>
    <t>EN 04004</t>
  </si>
  <si>
    <t>Fuel pump collar</t>
  </si>
  <si>
    <t>Rectangular area (plate) 20mm x 2 mm</t>
  </si>
  <si>
    <t>Tab material</t>
  </si>
  <si>
    <t>Steel - Mild</t>
  </si>
  <si>
    <t>Fuel pressure regulator tab</t>
  </si>
  <si>
    <t>EN 04003</t>
  </si>
  <si>
    <t>Pressure regulator tab</t>
  </si>
  <si>
    <t>Standard tab for engine system (same as Filler tube, batterie, …)</t>
  </si>
  <si>
    <t>EN 04002</t>
  </si>
  <si>
    <t>Fuel pump tab</t>
  </si>
  <si>
    <t>Weld main tube + tabs</t>
  </si>
  <si>
    <t>Material- Steel</t>
  </si>
  <si>
    <t>Setup and remove for laser cut (fitting tabs)</t>
  </si>
  <si>
    <t>Machining Setup, Install and Remove</t>
  </si>
  <si>
    <t>Injectors tube welding on main tube</t>
  </si>
  <si>
    <t>Weld - Round Tubing</t>
  </si>
  <si>
    <t>end</t>
  </si>
  <si>
    <t>Tube for injectors</t>
  </si>
  <si>
    <t>Tube end preparation for welding</t>
  </si>
  <si>
    <t>Tube end threading for Banjo nut</t>
  </si>
  <si>
    <t>Setup and remove for tube machining</t>
  </si>
  <si>
    <t>Main + injectors  tube cut</t>
  </si>
  <si>
    <t>Rectangular area 100mm x 30mm</t>
  </si>
  <si>
    <t>Fitting tabs material</t>
  </si>
  <si>
    <t>Round tube 16mm x 3mm</t>
  </si>
  <si>
    <t>Main + injectors tube material</t>
  </si>
  <si>
    <t>EN 04001</t>
  </si>
  <si>
    <t>Fuel rail</t>
  </si>
  <si>
    <t>3 x mounts</t>
  </si>
  <si>
    <t>Rectangular area (plate) 18mm x 1.5mm</t>
  </si>
  <si>
    <t>3 tabs for tank fixation (on the front) + Filler tube tab</t>
  </si>
  <si>
    <t>EN 03006</t>
  </si>
  <si>
    <t>Fuel tank front tab</t>
  </si>
  <si>
    <t>Inside + Outside cut</t>
  </si>
  <si>
    <t>Rectangular area (plate) 45mm x 2mm</t>
  </si>
  <si>
    <t>Fuel Tank tabs</t>
  </si>
  <si>
    <t>Tab for tank fixation (on the back)</t>
  </si>
  <si>
    <t>EN 03005</t>
  </si>
  <si>
    <t>Fuel tank back tab</t>
  </si>
  <si>
    <t>Rectangular area 20mm x 2mm</t>
  </si>
  <si>
    <t>Collor for Filler tube fixation ton the frame</t>
  </si>
  <si>
    <t>EN 03004</t>
  </si>
  <si>
    <t>Filler tube collar</t>
  </si>
  <si>
    <t>Check valve</t>
  </si>
  <si>
    <t>Fuel Check Valve assembling</t>
  </si>
  <si>
    <t>Fuel Check Valve hole (20mm)</t>
  </si>
  <si>
    <t>Machning Setup, Install and Remove</t>
  </si>
  <si>
    <t>Fuel Check Valve, In-line, Aluminum Rollover</t>
  </si>
  <si>
    <t>Round area diameter 50mm</t>
  </si>
  <si>
    <t>Cap material</t>
  </si>
  <si>
    <t>Aluminum - Normal (per kg)</t>
  </si>
  <si>
    <t>EN 03003</t>
  </si>
  <si>
    <t>Filler cap</t>
  </si>
  <si>
    <t>Point</t>
  </si>
  <si>
    <t>Hose clamp</t>
  </si>
  <si>
    <t>Hose mounting</t>
  </si>
  <si>
    <t>Hose cut</t>
  </si>
  <si>
    <t>Barb fittings welding on tube</t>
  </si>
  <si>
    <t>Thread for cap</t>
  </si>
  <si>
    <t>Hole</t>
  </si>
  <si>
    <t>Filler neck body</t>
  </si>
  <si>
    <t>Sight tube</t>
  </si>
  <si>
    <t>Adapter/L.P./Barb to Male Pipe/90 Deg./Aluminum/Anodized</t>
  </si>
  <si>
    <t>circle area (tube) 45mm x 2mm</t>
  </si>
  <si>
    <t>En 03002</t>
  </si>
  <si>
    <t>Filler tube</t>
  </si>
  <si>
    <t>Zyrcoflex sheet on the tank front</t>
  </si>
  <si>
    <t>Heat Barrier</t>
  </si>
  <si>
    <t>Velcro installation on the tank back</t>
  </si>
  <si>
    <t>Tape</t>
  </si>
  <si>
    <t>Fittings glue</t>
  </si>
  <si>
    <t>Neck welding</t>
  </si>
  <si>
    <t>Fuel tank welding</t>
  </si>
  <si>
    <t>Neck tube cut</t>
  </si>
  <si>
    <t>Back fitting bend</t>
  </si>
  <si>
    <t>Front fittings bend</t>
  </si>
  <si>
    <t>Bottom side plate bend</t>
  </si>
  <si>
    <t>Main plate bend</t>
  </si>
  <si>
    <t>Fittings plate</t>
  </si>
  <si>
    <t>Fittings plate material cut</t>
  </si>
  <si>
    <t>Bottom side plate</t>
  </si>
  <si>
    <t>Bottom plate</t>
  </si>
  <si>
    <t>Main plate</t>
  </si>
  <si>
    <t>Plate material cut</t>
  </si>
  <si>
    <t>Zyrcoflex sheet, heat protection on the front</t>
  </si>
  <si>
    <t>Velcro</t>
  </si>
  <si>
    <t>3M, DP490 glue for fittings</t>
  </si>
  <si>
    <t>For Dash6 connexion</t>
  </si>
  <si>
    <t>Fitting, Weld-in, Male, Aluminum</t>
  </si>
  <si>
    <t>Rectangular plate 165mm x 2mm</t>
  </si>
  <si>
    <t>Fittings plate material</t>
  </si>
  <si>
    <t>Circular area (tube) 45mm x 2mm</t>
  </si>
  <si>
    <t>Nek tube</t>
  </si>
  <si>
    <t>Rectangular plate 460mm x 2.5mm</t>
  </si>
  <si>
    <t>Fuel tank plate material</t>
  </si>
  <si>
    <t>Fuel tank, 7L</t>
  </si>
  <si>
    <t>Drawing 4 Tube</t>
  </si>
  <si>
    <t>FileLink4</t>
  </si>
  <si>
    <t>EN 03001</t>
  </si>
  <si>
    <t xml:space="preserve">Drawing 3 Side bottom plate </t>
  </si>
  <si>
    <t>Fuel Tank</t>
  </si>
  <si>
    <t xml:space="preserve">Drawing 2 Bottom plate </t>
  </si>
  <si>
    <t xml:space="preserve">Drawing 1 Main plate </t>
  </si>
  <si>
    <t>Hole diam 5mm for muffler fastener</t>
  </si>
  <si>
    <t>Cut carbon fiber pre lamination</t>
  </si>
  <si>
    <t>Assemble, 1kg, line on line</t>
  </si>
  <si>
    <t>Sheet metal punching</t>
  </si>
  <si>
    <t>cut</t>
  </si>
  <si>
    <t>Carbon Fiber, 1 Ply</t>
  </si>
  <si>
    <t>Rectangular 0,4*0,5m</t>
  </si>
  <si>
    <t>Cost as made</t>
  </si>
  <si>
    <t>EN 02008</t>
  </si>
  <si>
    <t>Tube end preperation for welding</t>
  </si>
  <si>
    <t>Tube bends</t>
  </si>
  <si>
    <t>Round 50mm*1,5mm</t>
  </si>
  <si>
    <t>Header material</t>
  </si>
  <si>
    <t>EN 02007</t>
  </si>
  <si>
    <t>Secondary collector tubing</t>
  </si>
  <si>
    <t>Round 42,4mm*1,6mm</t>
  </si>
  <si>
    <t>EN 02006</t>
  </si>
  <si>
    <t>Secondary collector</t>
  </si>
  <si>
    <t>2 primary collectors in 1 part</t>
  </si>
  <si>
    <t>EN 02005</t>
  </si>
  <si>
    <t>Primary collector tubing</t>
  </si>
  <si>
    <t>Round 34mm*2,5mm</t>
  </si>
  <si>
    <t>EN 02004</t>
  </si>
  <si>
    <t>Primary collector</t>
  </si>
  <si>
    <t>4 Headers in one part</t>
  </si>
  <si>
    <t>EN 02003</t>
  </si>
  <si>
    <t>Exhaust headers</t>
  </si>
  <si>
    <t>Flange cut</t>
  </si>
  <si>
    <t>4 parts made from 1 setup</t>
  </si>
  <si>
    <t>rectangular</t>
  </si>
  <si>
    <t>Flange material</t>
  </si>
  <si>
    <t>EN 02002</t>
  </si>
  <si>
    <t>Exhaust flange</t>
  </si>
  <si>
    <t>Material - Stainless steel</t>
  </si>
  <si>
    <t xml:space="preserve">Machining </t>
  </si>
  <si>
    <t>Round</t>
  </si>
  <si>
    <t>EN 02001</t>
  </si>
  <si>
    <t>Exhaust tip</t>
  </si>
  <si>
    <t>Assemble plate on the engine</t>
  </si>
  <si>
    <t>For M6 bolt</t>
  </si>
  <si>
    <t>Materail - Aluminium</t>
  </si>
  <si>
    <t>Rectangular plate 60mm x 2mm</t>
  </si>
  <si>
    <t>Plate material</t>
  </si>
  <si>
    <t>Obstruction of the PAIR valves</t>
  </si>
  <si>
    <t>EN 01006</t>
  </si>
  <si>
    <t>Obstrution plate</t>
  </si>
  <si>
    <t>Draining bolt</t>
  </si>
  <si>
    <t>Assemble the sump and the engine</t>
  </si>
  <si>
    <t>For M8 bolt</t>
  </si>
  <si>
    <t>For draining screw</t>
  </si>
  <si>
    <t>Draining hole</t>
  </si>
  <si>
    <t>Machining Setup, installation and remove</t>
  </si>
  <si>
    <t>Weld outside plates (partition plates just pointed)</t>
  </si>
  <si>
    <t>partition material</t>
  </si>
  <si>
    <t>outside plates</t>
  </si>
  <si>
    <t>outside + partition plates</t>
  </si>
  <si>
    <t>Rectangular plate 70mm x 1.5mm</t>
  </si>
  <si>
    <t>5754, partition material</t>
  </si>
  <si>
    <t>Rectangular plate 300mm x 2.5mm</t>
  </si>
  <si>
    <t>5754, outside plates</t>
  </si>
  <si>
    <t>Flat wet sump</t>
  </si>
  <si>
    <t>Drawing 4</t>
  </si>
  <si>
    <t>EN 01005</t>
  </si>
  <si>
    <t>Drawing 3</t>
  </si>
  <si>
    <t>Flat sump</t>
  </si>
  <si>
    <t>Drawing 2</t>
  </si>
  <si>
    <t>Drawing 1</t>
  </si>
  <si>
    <t>Threading, external (machining)</t>
  </si>
  <si>
    <t>To 12mm diameter</t>
  </si>
  <si>
    <t>Round 14mm</t>
  </si>
  <si>
    <t>Steel, mild</t>
  </si>
  <si>
    <t>Upper engine axle</t>
  </si>
  <si>
    <t>EN 01004</t>
  </si>
  <si>
    <t>Upper axle</t>
  </si>
  <si>
    <t>Weld the plates and the cylinder</t>
  </si>
  <si>
    <t>Weld Round tubing</t>
  </si>
  <si>
    <t>Assemble the plate and the front mount (cylinder)</t>
  </si>
  <si>
    <t>Outside + inside cut</t>
  </si>
  <si>
    <t>Rectangular Area 36mm x 3mm</t>
  </si>
  <si>
    <t>Upper mounts</t>
  </si>
  <si>
    <t>Engine upper mounts ,assembly of 2 plates + 1 front mount</t>
  </si>
  <si>
    <t>EN 01003</t>
  </si>
  <si>
    <t>Upper mount</t>
  </si>
  <si>
    <t>Round 33 mm</t>
  </si>
  <si>
    <t>Front mount</t>
  </si>
  <si>
    <t>Front engine mount</t>
  </si>
  <si>
    <t>EN 01002</t>
  </si>
  <si>
    <t>cc</t>
  </si>
  <si>
    <t>Engine and Transmission, Ultra High Performance</t>
  </si>
  <si>
    <t>Honda CBR 600 RR PC40 engine, with a new anti-dribble clutch, a team-made flat wet sump and a team made gear shift system</t>
  </si>
  <si>
    <t>EN 01001</t>
  </si>
  <si>
    <t>Engine part</t>
  </si>
  <si>
    <t>Drawing part :</t>
  </si>
  <si>
    <t>Drawing part</t>
  </si>
  <si>
    <t xml:space="preserve">Drawing part : </t>
  </si>
  <si>
    <t>EN_04002</t>
  </si>
  <si>
    <t>EN 03002</t>
  </si>
  <si>
    <t>Tube</t>
  </si>
  <si>
    <t>Side bottom plate</t>
  </si>
  <si>
    <t>Author</t>
  </si>
  <si>
    <t>Comment</t>
  </si>
  <si>
    <t>Date</t>
  </si>
  <si>
    <t>Issue Number</t>
  </si>
  <si>
    <t>Initial release for 2016</t>
  </si>
  <si>
    <t>EPSA Team</t>
  </si>
  <si>
    <t>Wheel studs</t>
  </si>
  <si>
    <t>Stud, Grade 12,9</t>
  </si>
  <si>
    <t>Bearing nuts</t>
  </si>
  <si>
    <t>Wrench &gt;25,4mm</t>
  </si>
  <si>
    <t>Spacer</t>
  </si>
  <si>
    <t>Bearing assemble</t>
  </si>
  <si>
    <t>Wheel studs and hub assemble</t>
  </si>
  <si>
    <t>Locknut/L.P///Steel/</t>
  </si>
  <si>
    <t>WT A0003</t>
  </si>
  <si>
    <t>Rear hubs</t>
  </si>
  <si>
    <t>WT A0002</t>
  </si>
  <si>
    <t>Front Hubs</t>
  </si>
  <si>
    <t>Lug nuts</t>
  </si>
  <si>
    <t>Nut,Lug</t>
  </si>
  <si>
    <t>Tighten lug nuts</t>
  </si>
  <si>
    <t>Wheels on hub assembly</t>
  </si>
  <si>
    <t>Assemble, 5kg, loose</t>
  </si>
  <si>
    <t>Wheel weights (and balancing)</t>
  </si>
  <si>
    <t>Complete wheel assembly</t>
  </si>
  <si>
    <t>WT A0001</t>
  </si>
  <si>
    <t>Wheel assembly</t>
  </si>
  <si>
    <t>Axial holes</t>
  </si>
  <si>
    <t>Radial holes</t>
  </si>
  <si>
    <t xml:space="preserve">Second half external shape </t>
  </si>
  <si>
    <t>Half external shape and central hole</t>
  </si>
  <si>
    <t>circle area diam. 120mm</t>
  </si>
  <si>
    <t>WT 03003</t>
  </si>
  <si>
    <t>Rear spacer</t>
  </si>
  <si>
    <t>Wheel bearing, Ball, Angular Contact</t>
  </si>
  <si>
    <t>WT 03002</t>
  </si>
  <si>
    <t>Bearings</t>
  </si>
  <si>
    <t>Milling</t>
  </si>
  <si>
    <t>Lathe</t>
  </si>
  <si>
    <t>circle area diam. 121mm</t>
  </si>
  <si>
    <t>Aluminium, Premium (per kg)</t>
  </si>
  <si>
    <t>WT 03001</t>
  </si>
  <si>
    <t>Rear hub</t>
  </si>
  <si>
    <t>circle area diam 120mm</t>
  </si>
  <si>
    <t>WT 02003</t>
  </si>
  <si>
    <t>Front Spacer</t>
  </si>
  <si>
    <t>WT 02002</t>
  </si>
  <si>
    <t>WT 02001</t>
  </si>
  <si>
    <t>Front Hub</t>
  </si>
  <si>
    <t>Valve stem (and inflation tire)</t>
  </si>
  <si>
    <t>Purchased valve stem</t>
  </si>
  <si>
    <t>WT 01003</t>
  </si>
  <si>
    <t>Valve stem</t>
  </si>
  <si>
    <t>Tire</t>
  </si>
  <si>
    <t>Tire, Hoosier, LC0, 10"-18,0 x 6,0</t>
  </si>
  <si>
    <t>Hoosier LC0 10"</t>
  </si>
  <si>
    <t>WT 01002</t>
  </si>
  <si>
    <t>Wheels</t>
  </si>
  <si>
    <t>Wheels, 10", 3 Piece, Keizer, Aluminium</t>
  </si>
  <si>
    <t>Keizer 10i wheels</t>
  </si>
  <si>
    <t>WT 01001</t>
  </si>
  <si>
    <t>Wheel</t>
  </si>
  <si>
    <t xml:space="preserve">Drawing Part : </t>
  </si>
  <si>
    <t>Drawing Part :</t>
  </si>
  <si>
    <t>Plate outside material 200 g/m²</t>
  </si>
  <si>
    <t>Nut to lock</t>
  </si>
  <si>
    <t>Nut, grade 8.8 (SAE 5)</t>
  </si>
  <si>
    <t>Bolt linking all the parts</t>
  </si>
  <si>
    <t>Bolt, grade 8.8 (SAE 5)</t>
  </si>
  <si>
    <t>Repeat 4</t>
  </si>
  <si>
    <t>cm²</t>
  </si>
  <si>
    <t>Glue applying on steering wheel and handles</t>
  </si>
  <si>
    <t>Brush Apply</t>
  </si>
  <si>
    <t>Glue for steering wheel handle</t>
  </si>
  <si>
    <t>To improve handling</t>
  </si>
  <si>
    <t>Handlebar Tape</t>
  </si>
  <si>
    <t>Blippers and loom</t>
  </si>
  <si>
    <t>Flat Shifter</t>
  </si>
  <si>
    <t>ST A0005</t>
  </si>
  <si>
    <t>Steering Wheel</t>
  </si>
  <si>
    <t>Washers for bolt</t>
  </si>
  <si>
    <t>Washer, grade 8.8 (SAE 5)</t>
  </si>
  <si>
    <t>Nuts for bolts</t>
  </si>
  <si>
    <t>Bolt linking to rack and wheel</t>
  </si>
  <si>
    <t>Put the nuts on the rod end</t>
  </si>
  <si>
    <t>Wrench</t>
  </si>
  <si>
    <t>Put the nuts on the bolts</t>
  </si>
  <si>
    <t>Ratchet</t>
  </si>
  <si>
    <t>Repeat 2</t>
  </si>
  <si>
    <t xml:space="preserve">Glue applying on simple Insert </t>
  </si>
  <si>
    <t>Solvent degreasing  on insert</t>
  </si>
  <si>
    <t>Hand Finish - Surface Preperation</t>
  </si>
  <si>
    <t>Balls diameter</t>
  </si>
  <si>
    <t>Rod end for tie rod extremities</t>
  </si>
  <si>
    <t>Rod end, Industrial</t>
  </si>
  <si>
    <t>Glue for bearings and tube - Included in process</t>
  </si>
  <si>
    <t>ST A0004</t>
  </si>
  <si>
    <t>Tie Rod Assembly</t>
  </si>
  <si>
    <t>Steel mounts welding on tube</t>
  </si>
  <si>
    <t>Ring to lock the quick release</t>
  </si>
  <si>
    <t>Retaining ring, internal</t>
  </si>
  <si>
    <t>Welding of Quick Release Mount on first column tube</t>
  </si>
  <si>
    <t>Assembly of spring and balls</t>
  </si>
  <si>
    <t>Assembly of sliding, fixed parts and spring</t>
  </si>
  <si>
    <t>Balls locking grooves</t>
  </si>
  <si>
    <t>Spring for sliding parts and balls</t>
  </si>
  <si>
    <t>Spring, ccompression (General)</t>
  </si>
  <si>
    <t>Stock part</t>
  </si>
  <si>
    <t>ST A0003</t>
  </si>
  <si>
    <t>Quick Release</t>
  </si>
  <si>
    <t>lower mounts welding on frame</t>
  </si>
  <si>
    <t>Ring retaining the pinion</t>
  </si>
  <si>
    <t>Retaining Ring, Internal</t>
  </si>
  <si>
    <t>Bolts for rack stop</t>
  </si>
  <si>
    <t>Washers for bolts</t>
  </si>
  <si>
    <t>Bolts between rack mounts</t>
  </si>
  <si>
    <t>Put bolts onto the mounts</t>
  </si>
  <si>
    <t>Assemble the upper mounts</t>
  </si>
  <si>
    <t>Assemble rack on the lower mounts</t>
  </si>
  <si>
    <t>Put the bolts to lock the rack stops</t>
  </si>
  <si>
    <t>Assemble rack stop on the rack</t>
  </si>
  <si>
    <t>Welding of lower mount</t>
  </si>
  <si>
    <t>Nipple to grease the rack</t>
  </si>
  <si>
    <t>Grease Nipple, Straight</t>
  </si>
  <si>
    <t>ST A0002</t>
  </si>
  <si>
    <t>Steering Rack assembly</t>
  </si>
  <si>
    <t>Steering wheel mount welding</t>
  </si>
  <si>
    <t>Column and sleeve welding</t>
  </si>
  <si>
    <t>To link Rack sleeve to Rack</t>
  </si>
  <si>
    <t>Pin, Cotter, Straight</t>
  </si>
  <si>
    <t>To link Universal Joint and Column</t>
  </si>
  <si>
    <t>Put pins into universal joints and tubes</t>
  </si>
  <si>
    <t>Assemble tubes on universal joints</t>
  </si>
  <si>
    <t>Holes on universal joint for pins</t>
  </si>
  <si>
    <t>Drilled holes</t>
  </si>
  <si>
    <t>Assemble column and mount</t>
  </si>
  <si>
    <t>Assemble of bearings</t>
  </si>
  <si>
    <t>First column tube</t>
  </si>
  <si>
    <t>Column</t>
  </si>
  <si>
    <t>steering wheel mount painting</t>
  </si>
  <si>
    <t>Bearing</t>
  </si>
  <si>
    <t>Steering wheel mount</t>
  </si>
  <si>
    <t>Steering column universal joint</t>
  </si>
  <si>
    <t>Link between the steering wheel and the steering rack</t>
  </si>
  <si>
    <t>ST A0001</t>
  </si>
  <si>
    <t>Steering Column</t>
  </si>
  <si>
    <t>Stock</t>
  </si>
  <si>
    <t>Parts for a better handling of the steering wheel by the drivers</t>
  </si>
  <si>
    <t>ST 05004</t>
  </si>
  <si>
    <t>Steering Wheel Handle</t>
  </si>
  <si>
    <t>Hole for assembly</t>
  </si>
  <si>
    <t>Drilled hole</t>
  </si>
  <si>
    <t>Material Aluminum</t>
  </si>
  <si>
    <t>Material removal - Center</t>
  </si>
  <si>
    <t>Setup for machining and removal</t>
  </si>
  <si>
    <t>Circular area diam. 120mm</t>
  </si>
  <si>
    <t>Spacer between the Shifter System and the Quick Release System</t>
  </si>
  <si>
    <t>ST 05003</t>
  </si>
  <si>
    <t>Holes for assembly</t>
  </si>
  <si>
    <t>Spacer between the steering wheel and the Shifter System</t>
  </si>
  <si>
    <t>ST 05002</t>
  </si>
  <si>
    <t>holes</t>
  </si>
  <si>
    <t>Steel</t>
  </si>
  <si>
    <t>Outlines and holes</t>
  </si>
  <si>
    <t>Rectangular aera 210mm x 140mm</t>
  </si>
  <si>
    <t>ST 05001</t>
  </si>
  <si>
    <t>Steering Wheel Body</t>
  </si>
  <si>
    <t>Rod End emplacement</t>
  </si>
  <si>
    <t>Tapping Holes</t>
  </si>
  <si>
    <t>Material removal</t>
  </si>
  <si>
    <t>Setup for machining process</t>
  </si>
  <si>
    <t>Machining setup, change</t>
  </si>
  <si>
    <t>Material removal - side view profile</t>
  </si>
  <si>
    <t>Circular area diam 19mm</t>
  </si>
  <si>
    <t>Steel for machining the part</t>
  </si>
  <si>
    <t>ST 04004</t>
  </si>
  <si>
    <t>Tie Rod Insert</t>
  </si>
  <si>
    <t>Material Steel</t>
  </si>
  <si>
    <t>Circular area diam. 14mm</t>
  </si>
  <si>
    <t>ST 04003</t>
  </si>
  <si>
    <t>Rack Tapered Spacer</t>
  </si>
  <si>
    <t>Material steel</t>
  </si>
  <si>
    <t>Conical spacer</t>
  </si>
  <si>
    <t>ST 04002</t>
  </si>
  <si>
    <t>Upright Tapered Spacer</t>
  </si>
  <si>
    <t>Tube Lamination</t>
  </si>
  <si>
    <t>Lamination, Fillament Wirring</t>
  </si>
  <si>
    <t>Carbon composite tube made by fillament wirring</t>
  </si>
  <si>
    <t>ST 04001</t>
  </si>
  <si>
    <t>Tie Rod Tube</t>
  </si>
  <si>
    <t>Annodize</t>
  </si>
  <si>
    <t>Material : Aluminum</t>
  </si>
  <si>
    <t>Circular area diam. 71mm</t>
  </si>
  <si>
    <t>Stock Part</t>
  </si>
  <si>
    <t>ST 03003</t>
  </si>
  <si>
    <t>Quick Release Fixed Part</t>
  </si>
  <si>
    <t>Free</t>
  </si>
  <si>
    <t>Broach for external groove</t>
  </si>
  <si>
    <t>Broach, external</t>
  </si>
  <si>
    <t>ST 03002</t>
  </si>
  <si>
    <t>Quick Release Sliding Part</t>
  </si>
  <si>
    <t>Radius</t>
  </si>
  <si>
    <t>ST 03001</t>
  </si>
  <si>
    <t>Quick Release Mount</t>
  </si>
  <si>
    <t>Hole for rod assembly</t>
  </si>
  <si>
    <t>Steup for last machining process</t>
  </si>
  <si>
    <t>Hole for rack assembly</t>
  </si>
  <si>
    <t>Drilled holes, diam &lt;25.4mm</t>
  </si>
  <si>
    <t>Rectangular aera 26mm x 28mm</t>
  </si>
  <si>
    <t>ST 02007</t>
  </si>
  <si>
    <t>Rack Stop</t>
  </si>
  <si>
    <t>Rectangular aera 68mm x 20mm</t>
  </si>
  <si>
    <t>ST 02006</t>
  </si>
  <si>
    <t>Upper Rack Mount</t>
  </si>
  <si>
    <t>Outlines</t>
  </si>
  <si>
    <t>Rectangular aera 46mm x 23mm</t>
  </si>
  <si>
    <t>ST 02005</t>
  </si>
  <si>
    <t>Mount Spacer</t>
  </si>
  <si>
    <t>Rectangular aera 115mm x 25mm</t>
  </si>
  <si>
    <t>ST 02004</t>
  </si>
  <si>
    <t>Lower Rack Mount</t>
  </si>
  <si>
    <t>die</t>
  </si>
  <si>
    <t>Die casting - Die</t>
  </si>
  <si>
    <t>Reamed hole for the rack translation</t>
  </si>
  <si>
    <t>Machining making proper surfaces</t>
  </si>
  <si>
    <t>kh</t>
  </si>
  <si>
    <t>Housing casting</t>
  </si>
  <si>
    <t>Die casting</t>
  </si>
  <si>
    <t>Material for the rack housing</t>
  </si>
  <si>
    <t>ST 02003</t>
  </si>
  <si>
    <t>Rack Housing</t>
  </si>
  <si>
    <t>Teeth machining</t>
  </si>
  <si>
    <t>Machining the form to insert colum</t>
  </si>
  <si>
    <t>Holes for tie rod assembling</t>
  </si>
  <si>
    <t>Circular area diam. 50mm</t>
  </si>
  <si>
    <t>Stock for the pinion</t>
  </si>
  <si>
    <t>ST 02002</t>
  </si>
  <si>
    <t>Circular area diam. 20mm</t>
  </si>
  <si>
    <t>Stock for the rack</t>
  </si>
  <si>
    <t>ST 02001</t>
  </si>
  <si>
    <t>Rack</t>
  </si>
  <si>
    <t>Holes for pins</t>
  </si>
  <si>
    <t>Setup part for machining of the other side</t>
  </si>
  <si>
    <t>Inside radius reduction</t>
  </si>
  <si>
    <t>First radius reduction</t>
  </si>
  <si>
    <t>Circular area diam 21mm</t>
  </si>
  <si>
    <t>Link between the tube and the steering rack</t>
  </si>
  <si>
    <t>ST 01005</t>
  </si>
  <si>
    <t>Rack Sleeve</t>
  </si>
  <si>
    <t>Second radius reduction</t>
  </si>
  <si>
    <t>Circular area diam 15mm</t>
  </si>
  <si>
    <t>Sleeve between the tubes and the joints</t>
  </si>
  <si>
    <t>ST 01004</t>
  </si>
  <si>
    <t>holes for assembly with pins</t>
  </si>
  <si>
    <t>Cut to proper length</t>
  </si>
  <si>
    <t>Cirular area 15mm x 1.5 mm</t>
  </si>
  <si>
    <t>Tube for steering column</t>
  </si>
  <si>
    <t>Tubing, steel</t>
  </si>
  <si>
    <t>ST 01003</t>
  </si>
  <si>
    <t>Second Column Tube</t>
  </si>
  <si>
    <t>Holes for assembly with pins</t>
  </si>
  <si>
    <t>Hole for quick release welding</t>
  </si>
  <si>
    <t>Setup for last machining process</t>
  </si>
  <si>
    <t>Machining Setup, change</t>
  </si>
  <si>
    <t>Reduction of radius for bearings</t>
  </si>
  <si>
    <t>Hole for bushing</t>
  </si>
  <si>
    <t>Circular area diam. 19mm</t>
  </si>
  <si>
    <t>Stock for column washer</t>
  </si>
  <si>
    <t>Steel, Mild (per Kg)</t>
  </si>
  <si>
    <t>ST 01002</t>
  </si>
  <si>
    <t>First Column Tube</t>
  </si>
  <si>
    <t>Steel mounts welding on frame</t>
  </si>
  <si>
    <t>Welding of tubes on the machined part</t>
  </si>
  <si>
    <t>Preparation of the 2 tubes</t>
  </si>
  <si>
    <t>Reamed hole for ball bearing</t>
  </si>
  <si>
    <t>Ream hole</t>
  </si>
  <si>
    <t>Second hole for ball bearing</t>
  </si>
  <si>
    <t>First hole for ball bearing</t>
  </si>
  <si>
    <t>Radius for axis</t>
  </si>
  <si>
    <t>Circular area diam. 20mm x 1.5mm</t>
  </si>
  <si>
    <t>Liaison with the frame</t>
  </si>
  <si>
    <t>Tubing, Steel</t>
  </si>
  <si>
    <t>Circular area diam. 21mm</t>
  </si>
  <si>
    <t>ST 01001</t>
  </si>
  <si>
    <t>Steering Wheel Mount</t>
  </si>
  <si>
    <t>Body Mounts</t>
  </si>
  <si>
    <t>Fastening of body plates on the frame</t>
  </si>
  <si>
    <t>Hook and Loop, Loop Side (Velcro)</t>
  </si>
  <si>
    <t>Hook and Loop, Hook Side (Velcro)</t>
  </si>
  <si>
    <t>For Body plates fixing</t>
  </si>
  <si>
    <t>Nutsert</t>
  </si>
  <si>
    <t>M5 bolts</t>
  </si>
  <si>
    <t>Washer, Grade 8,8 (SAE 5)</t>
  </si>
  <si>
    <t>M6 bolts</t>
  </si>
  <si>
    <t>Bolt Front Body Plates on Mounts</t>
  </si>
  <si>
    <t>Bolt Air Inlets on Mounts</t>
  </si>
  <si>
    <t>Bolt Front Body on Mounts</t>
  </si>
  <si>
    <t>M6 bolts for Air Inlet fixing</t>
  </si>
  <si>
    <t>Reaction Tool &lt;=6,35mm</t>
  </si>
  <si>
    <t>Air Inlet</t>
  </si>
  <si>
    <t xml:space="preserve">Assemble, 3kg, Loose </t>
  </si>
  <si>
    <t>Repeat 14</t>
  </si>
  <si>
    <t>M5 bolts for Body Plates fixing</t>
  </si>
  <si>
    <t>repeat 14</t>
  </si>
  <si>
    <t>Body Plates</t>
  </si>
  <si>
    <t>Assemble, 1kg, Line to Line</t>
  </si>
  <si>
    <t>M6 bolts for Front body fixing</t>
  </si>
  <si>
    <t xml:space="preserve">Body Front </t>
  </si>
  <si>
    <t>For nutsert on Body  and Body Plates Mounts (similar process)</t>
  </si>
  <si>
    <t>Riveting</t>
  </si>
  <si>
    <t>Body plates mount</t>
  </si>
  <si>
    <t>Repeat 42</t>
  </si>
  <si>
    <t>Glue application for Body plates mounts</t>
  </si>
  <si>
    <t>Protect Body Mounts from Rust</t>
  </si>
  <si>
    <t>Weld body mounts to frame</t>
  </si>
  <si>
    <t>Complete Body Assembly</t>
  </si>
  <si>
    <t>FR A0006</t>
  </si>
  <si>
    <t>Body</t>
  </si>
  <si>
    <t>Frame and Body</t>
  </si>
  <si>
    <t>Steel tube welding on frame</t>
  </si>
  <si>
    <t>Cable on Engine</t>
  </si>
  <si>
    <t>Cable on lever joint</t>
  </si>
  <si>
    <t>Cable on clucht lever</t>
  </si>
  <si>
    <t>Handle Padding on Lever Handle</t>
  </si>
  <si>
    <t>M6 nut blocking</t>
  </si>
  <si>
    <t>M6 Bolt installaton</t>
  </si>
  <si>
    <t>Lever Handle on Frame</t>
  </si>
  <si>
    <t>M6 Bolt installation</t>
  </si>
  <si>
    <t>Lever Joint on Lever Handle</t>
  </si>
  <si>
    <t>Clutch cable</t>
  </si>
  <si>
    <t>Cable adjuster</t>
  </si>
  <si>
    <t>Clutch actuation</t>
  </si>
  <si>
    <t>Clutch actuation system</t>
  </si>
  <si>
    <t>FR A0005</t>
  </si>
  <si>
    <t>Rails Mounts</t>
  </si>
  <si>
    <t>Overtravel Switch</t>
  </si>
  <si>
    <t>Throttle Foot Support on Rail</t>
  </si>
  <si>
    <t>Throttle Pedal Supports on Rail</t>
  </si>
  <si>
    <t>Throttle Pedal Supports on Throttle Pedal Axle</t>
  </si>
  <si>
    <t>Throttle Rocker on Left Side Throttle Pedal Support</t>
  </si>
  <si>
    <t>Throttle Actuation on Throttle Pedal</t>
  </si>
  <si>
    <t>Throttle Stop Tube on Throttle Stop</t>
  </si>
  <si>
    <t>Throttle Pedal Stop on Throttle Pedal</t>
  </si>
  <si>
    <t>Screw on plastic nut</t>
  </si>
  <si>
    <t>Hand, Loos &lt;=25,4mm</t>
  </si>
  <si>
    <t>Put Overtravel Switch in position</t>
  </si>
  <si>
    <t xml:space="preserve">M6 Nut </t>
  </si>
  <si>
    <t>M6 Bolt for Overtravel Switch</t>
  </si>
  <si>
    <t>Put Overtravel Switch Mount in position</t>
  </si>
  <si>
    <t>M6 Nut of Master Cylinder</t>
  </si>
  <si>
    <t>Master Cylinder on Balance Bar</t>
  </si>
  <si>
    <t>M6 Nut for Master Cylinder</t>
  </si>
  <si>
    <t>Master Cylinder on Master Cylinder Bar</t>
  </si>
  <si>
    <t>Master Cylinder Bar on Brake Pedal</t>
  </si>
  <si>
    <t>M10 Nut</t>
  </si>
  <si>
    <t>Reaction Tool &lt;=25,4mm</t>
  </si>
  <si>
    <t>M10 Bolt for Balance Bar Support on Rail</t>
  </si>
  <si>
    <t>Ratchet &lt;= 25,4mm</t>
  </si>
  <si>
    <t>Ballance Bar on Rail</t>
  </si>
  <si>
    <t>Gluing Ballance Bar Support</t>
  </si>
  <si>
    <t>Ballance Bar Support on Ballance Bar</t>
  </si>
  <si>
    <t>M6 Bolt for Throttle Rocker fixing</t>
  </si>
  <si>
    <t>Insert Brake Pedal Axcel between Brake Pedal and Rail</t>
  </si>
  <si>
    <t>Insert Brake Pedal on Rail</t>
  </si>
  <si>
    <t>Insert bronze pedal bushing into brake pedal</t>
  </si>
  <si>
    <t>M6 Bolt for Foot Support fixing</t>
  </si>
  <si>
    <t xml:space="preserve">M8 Nut </t>
  </si>
  <si>
    <t>M8 Bolt for Throttle Support Fixing</t>
  </si>
  <si>
    <t>Throttle Pedal and his Supports on Rail</t>
  </si>
  <si>
    <t>Right Side Throttle Pedal Support on Throttle Pedal Axle</t>
  </si>
  <si>
    <t>Left Side Throttle Pedal Support on Throttle Pedal Axle</t>
  </si>
  <si>
    <t>Throttle cable adjuster on Throttle Rocker</t>
  </si>
  <si>
    <t xml:space="preserve">M4 Nut </t>
  </si>
  <si>
    <t>M4 Bolt for Throttle Rocker fixing</t>
  </si>
  <si>
    <t>M6 Bolt for Throttle Actuation fixing</t>
  </si>
  <si>
    <t>Throttle Actuation on Throttle Actuation Brace</t>
  </si>
  <si>
    <t>Throttle Actuation Brace on Throttle Pedal</t>
  </si>
  <si>
    <t>M4 Bolt for Throttle Stop Tube fixing</t>
  </si>
  <si>
    <t>M6 Bolt for pedal stop fixing</t>
  </si>
  <si>
    <t>Throttle pedal stop on pedal</t>
  </si>
  <si>
    <t>Insert Throttle Pedal Axle into bushings</t>
  </si>
  <si>
    <t>Insert bronze pedal bushing into throttle pedal</t>
  </si>
  <si>
    <t>Protect Mounts from rust</t>
  </si>
  <si>
    <t>Welding Rail Mounts on frame</t>
  </si>
  <si>
    <t>Glue for Balance Bar Support</t>
  </si>
  <si>
    <t>Adhesive - cost in process</t>
  </si>
  <si>
    <t>Link between Throttle Actuator and Throttle Rocker</t>
  </si>
  <si>
    <t>Adjustable 2 pedals assembly</t>
  </si>
  <si>
    <t>FR A0004</t>
  </si>
  <si>
    <t>Pedal Assembly</t>
  </si>
  <si>
    <t>Undertray fixing</t>
  </si>
  <si>
    <t xml:space="preserve">Undertray fixing </t>
  </si>
  <si>
    <t>M6 mounts</t>
  </si>
  <si>
    <t>Undertray middle mount</t>
  </si>
  <si>
    <t>Undertray front mount</t>
  </si>
  <si>
    <t>Protect Undertray Mounts from Rust</t>
  </si>
  <si>
    <t>weld mounts to frame</t>
  </si>
  <si>
    <t>Undertray</t>
  </si>
  <si>
    <t>FR A0003</t>
  </si>
  <si>
    <t>Bolt Attenuator on Plate</t>
  </si>
  <si>
    <t>Assemble Attenuator on IA Plate</t>
  </si>
  <si>
    <t>Impact Attenuator</t>
  </si>
  <si>
    <t>FR A0002</t>
  </si>
  <si>
    <t xml:space="preserve"> Gussets and anti intrusion plate fixture</t>
  </si>
  <si>
    <t>Frame Welding Fixture</t>
  </si>
  <si>
    <t xml:space="preserve"> Gussets and anti-intrusion plate welding</t>
  </si>
  <si>
    <t>Weld tubing</t>
  </si>
  <si>
    <t>Frame and anti-intrusion plate</t>
  </si>
  <si>
    <t>Tubular steel space frame</t>
  </si>
  <si>
    <t>FR A0001</t>
  </si>
  <si>
    <t>Frame</t>
  </si>
  <si>
    <t>Material  - Steel</t>
  </si>
  <si>
    <t>Mount Countourning</t>
  </si>
  <si>
    <t>10 parts cut from a single machine setup</t>
  </si>
  <si>
    <t>Rectangular 31x23mm</t>
  </si>
  <si>
    <t>Steel Mounts welded on the frame</t>
  </si>
  <si>
    <t>FR 06005</t>
  </si>
  <si>
    <t>Body Mount</t>
  </si>
  <si>
    <t>Mold for all plates</t>
  </si>
  <si>
    <t>Material  - Composite</t>
  </si>
  <si>
    <t>Holes on the 8 plates</t>
  </si>
  <si>
    <t>Cutting all the 8 plates</t>
  </si>
  <si>
    <t>Waterjet Cut</t>
  </si>
  <si>
    <t>Curing</t>
  </si>
  <si>
    <t>Resin application on the 3 plys</t>
  </si>
  <si>
    <t>Lamination of the 3 plys</t>
  </si>
  <si>
    <t>Cutting of the 3 plys</t>
  </si>
  <si>
    <t>Composite</t>
  </si>
  <si>
    <t>Aramid (Kevlar) Fiber, 1 Ply</t>
  </si>
  <si>
    <t>All 8 Plates for closing a side of the car</t>
  </si>
  <si>
    <t>FR 06004</t>
  </si>
  <si>
    <t>Left half mold</t>
  </si>
  <si>
    <t>Lamination - Composite Tool</t>
  </si>
  <si>
    <t>Material - Composite</t>
  </si>
  <si>
    <t>Holes for fiwing</t>
  </si>
  <si>
    <t>Resin application on the 4 plys</t>
  </si>
  <si>
    <t>Lamination of the 4 plys</t>
  </si>
  <si>
    <t>Cutting of the 4 plys</t>
  </si>
  <si>
    <t>Glass Fiber, 1 Plys</t>
  </si>
  <si>
    <t>FR 06003</t>
  </si>
  <si>
    <t>Body Left Inlet</t>
  </si>
  <si>
    <t>Right half mold</t>
  </si>
  <si>
    <t>FR 06002</t>
  </si>
  <si>
    <t>Body Right Inlet</t>
  </si>
  <si>
    <t>FR 06001</t>
  </si>
  <si>
    <t>Front body</t>
  </si>
  <si>
    <t>Machining - Steel</t>
  </si>
  <si>
    <t>Paddling casting</t>
  </si>
  <si>
    <t>Round 12mm x 1mm</t>
  </si>
  <si>
    <t>Steel Alloy</t>
  </si>
  <si>
    <t>FR 05005</t>
  </si>
  <si>
    <t>Steel tube</t>
  </si>
  <si>
    <t>Rubber</t>
  </si>
  <si>
    <t>FR 05004</t>
  </si>
  <si>
    <t>Handle padding</t>
  </si>
  <si>
    <t>Lever casting</t>
  </si>
  <si>
    <t>Axle Hole</t>
  </si>
  <si>
    <t>Aluminum, Normal</t>
  </si>
  <si>
    <t>Taken from a motorcycle, cost as made</t>
  </si>
  <si>
    <t>FR 05003</t>
  </si>
  <si>
    <t>Actuation Lever</t>
  </si>
  <si>
    <t>Body Shape</t>
  </si>
  <si>
    <t>Axle Holes</t>
  </si>
  <si>
    <t>Collar finish</t>
  </si>
  <si>
    <t>Main shape finish</t>
  </si>
  <si>
    <t>Body shape</t>
  </si>
  <si>
    <t>FR 05002</t>
  </si>
  <si>
    <t>Lever Joint</t>
  </si>
  <si>
    <t>Weight reduction</t>
  </si>
  <si>
    <t>Main shape contouring</t>
  </si>
  <si>
    <t>circular ø 25 mm</t>
  </si>
  <si>
    <t>FR 05001</t>
  </si>
  <si>
    <t>Lever handle</t>
  </si>
  <si>
    <t>Bends</t>
  </si>
  <si>
    <t>rectangular area (plate) 70mm x 3mm</t>
  </si>
  <si>
    <t>FR 04019</t>
  </si>
  <si>
    <t>Overtravel Swich Mount</t>
  </si>
  <si>
    <t>Threading of both ends</t>
  </si>
  <si>
    <t>Threading, External</t>
  </si>
  <si>
    <t>Turning the other end</t>
  </si>
  <si>
    <t>Setup for machining the opposite side</t>
  </si>
  <si>
    <t>Machning Setup, Change</t>
  </si>
  <si>
    <t>Turning one end</t>
  </si>
  <si>
    <t>Install and remove part from machine</t>
  </si>
  <si>
    <t>Round 12mm diam.</t>
  </si>
  <si>
    <t>Steel, Normal</t>
  </si>
  <si>
    <t>FR 04018</t>
  </si>
  <si>
    <t>Master Cylinder Bar</t>
  </si>
  <si>
    <t>rectangular area (plate) 68mm x 3mm</t>
  </si>
  <si>
    <t>Ballance Bar Support</t>
  </si>
  <si>
    <t>FR 04017</t>
  </si>
  <si>
    <t>Material-Bronze</t>
  </si>
  <si>
    <t>Machining of the bushing (turning)</t>
  </si>
  <si>
    <t>Round area, 25 mm diam</t>
  </si>
  <si>
    <t xml:space="preserve">Stock material for bushings </t>
  </si>
  <si>
    <t>Bronze</t>
  </si>
  <si>
    <t>Bronze Bushing used for brake pedal pivots</t>
  </si>
  <si>
    <t>FR 04016</t>
  </si>
  <si>
    <t>Brake Pedal Bushing</t>
  </si>
  <si>
    <t>Reamed pedal mount hole for bushing</t>
  </si>
  <si>
    <t>Reemed hole</t>
  </si>
  <si>
    <t>Pedal Mount Hole and Holes for master-cylinders axle</t>
  </si>
  <si>
    <t>left side material removing</t>
  </si>
  <si>
    <t>Second profil and right side material removing</t>
  </si>
  <si>
    <t>Pedal Mount Hole</t>
  </si>
  <si>
    <t>Outer profil</t>
  </si>
  <si>
    <t>Rectangular area 38mm x 62mm</t>
  </si>
  <si>
    <t>Material for pedal</t>
  </si>
  <si>
    <t>Aluminium, normal</t>
  </si>
  <si>
    <t>Brake Pedal</t>
  </si>
  <si>
    <t>FR 04015</t>
  </si>
  <si>
    <t>Holes for fixing</t>
  </si>
  <si>
    <t>Panel for the driver's foot</t>
  </si>
  <si>
    <t>FR 04014</t>
  </si>
  <si>
    <t>Pedal Foot Support</t>
  </si>
  <si>
    <t>Rectangular area 75mm x 2mm</t>
  </si>
  <si>
    <t>FR 04013</t>
  </si>
  <si>
    <t>Right Side Throttle Pedal Support</t>
  </si>
  <si>
    <t>Pedal actuation cable and throttle actuation</t>
  </si>
  <si>
    <t>Outer profil, height, and first hole</t>
  </si>
  <si>
    <t>Machining setup, and remove</t>
  </si>
  <si>
    <t>Rectangular area 17mm x 21mm</t>
  </si>
  <si>
    <t xml:space="preserve"> mm </t>
  </si>
  <si>
    <t>FR 04012</t>
  </si>
  <si>
    <t>Throttle Rocker</t>
  </si>
  <si>
    <t>Exemple de Tooling</t>
  </si>
  <si>
    <t>Welding Second Part on First Part</t>
  </si>
  <si>
    <t>Bends on the first part</t>
  </si>
  <si>
    <t>Seconf Part Cutting</t>
  </si>
  <si>
    <t>Laser Cutting</t>
  </si>
  <si>
    <t>Second Part Installation</t>
  </si>
  <si>
    <t>Machining, Install and Remove</t>
  </si>
  <si>
    <t>First Part Cutting</t>
  </si>
  <si>
    <t>First Part Installation</t>
  </si>
  <si>
    <t>Rectangular area (plate) 20 x 2mm</t>
  </si>
  <si>
    <t>Rectangular area (plate) 60 x 2mm</t>
  </si>
  <si>
    <t>FR 04011</t>
  </si>
  <si>
    <t>Left Side Throttle Pedal Support</t>
  </si>
  <si>
    <t>Rectangular area (plate) 40 x 3mm</t>
  </si>
  <si>
    <t>FR 04010</t>
  </si>
  <si>
    <t xml:space="preserve">Throttle Actuation </t>
  </si>
  <si>
    <t>Rectangular area 19mm x 34mm</t>
  </si>
  <si>
    <t>FR 04009</t>
  </si>
  <si>
    <t>Throttle actuation brace</t>
  </si>
  <si>
    <t>Tube 5mmx2mm</t>
  </si>
  <si>
    <t>Tube for part</t>
  </si>
  <si>
    <t>FR 04008</t>
  </si>
  <si>
    <t>Throttle Pedal Stop Cylinder</t>
  </si>
  <si>
    <t xml:space="preserve">Material removal and slots for pedal fixation </t>
  </si>
  <si>
    <t>Setup for next machining step</t>
  </si>
  <si>
    <t>Rectangular area 23mm x 36mm</t>
  </si>
  <si>
    <t>FR 04007</t>
  </si>
  <si>
    <t>Throttle Pedal Stop</t>
  </si>
  <si>
    <t>Turning</t>
  </si>
  <si>
    <t>Round area, diam 13mm</t>
  </si>
  <si>
    <t>Steel axle used for throttle pedal pivots</t>
  </si>
  <si>
    <t>FR 04006</t>
  </si>
  <si>
    <t>Throttle Pedal Axle</t>
  </si>
  <si>
    <t>Round area, diam 25mm</t>
  </si>
  <si>
    <t>Bronze Bushing used for throttle pedal pivots</t>
  </si>
  <si>
    <t>FR 04005</t>
  </si>
  <si>
    <t>Throttle Pedal Bushing</t>
  </si>
  <si>
    <t>Holes for pedal stop</t>
  </si>
  <si>
    <t>Holes for throttle actuation</t>
  </si>
  <si>
    <t xml:space="preserve">Material removal - outer profil an height </t>
  </si>
  <si>
    <t>Rectangular area 38mm x 24mm</t>
  </si>
  <si>
    <t>FR 04004</t>
  </si>
  <si>
    <t>Throttle Pedal</t>
  </si>
  <si>
    <t>Adjustable mounting and weigth reduction</t>
  </si>
  <si>
    <t>Square 2mm thick, 25mm x 25mm</t>
  </si>
  <si>
    <t>Aluminium square tube material used as rail stock</t>
  </si>
  <si>
    <t xml:space="preserve">Aluminium </t>
  </si>
  <si>
    <t>Rail for Pedal fixing</t>
  </si>
  <si>
    <t>FR 04003</t>
  </si>
  <si>
    <t>Pedal Rail</t>
  </si>
  <si>
    <t>Rectangular area (plate) 23mm x 3mm</t>
  </si>
  <si>
    <t>Rear Rails Mounts</t>
  </si>
  <si>
    <t>FR 04002</t>
  </si>
  <si>
    <t>Rectangular area (plate) 36mm x 3mm</t>
  </si>
  <si>
    <t>Front Rails Mounts</t>
  </si>
  <si>
    <t>FR 04001</t>
  </si>
  <si>
    <t>Rectangular 23x3 mm</t>
  </si>
  <si>
    <t>Undertray Mount</t>
  </si>
  <si>
    <t>FR 03003</t>
  </si>
  <si>
    <t>Holes for fixation</t>
  </si>
  <si>
    <t>Cutting the outer profil</t>
  </si>
  <si>
    <t>Vacuum Form</t>
  </si>
  <si>
    <t>Resin application on the 4 carbon plys</t>
  </si>
  <si>
    <t>Resin application, Infusion Molding</t>
  </si>
  <si>
    <t>Repeat 5</t>
  </si>
  <si>
    <t>Lamination of the plys and the foam</t>
  </si>
  <si>
    <t>Reapeat 4</t>
  </si>
  <si>
    <t>Structural Foam</t>
  </si>
  <si>
    <t>Second part of the undertray</t>
  </si>
  <si>
    <t>FR 03002</t>
  </si>
  <si>
    <t>Undertray middle</t>
  </si>
  <si>
    <t>First part of the undertray</t>
  </si>
  <si>
    <t>FR 03001</t>
  </si>
  <si>
    <t>Undertray front</t>
  </si>
  <si>
    <t>Drill largest holes at each extremities of the previous holes for bolt's heads and nuts</t>
  </si>
  <si>
    <t>Drill holes for bolts</t>
  </si>
  <si>
    <t>Glue 3 parts</t>
  </si>
  <si>
    <t>Material - Foam</t>
  </si>
  <si>
    <t>Cut third part side</t>
  </si>
  <si>
    <t>Non metallic cutting &gt; 76.2 mm</t>
  </si>
  <si>
    <t>Apply glue on second part</t>
  </si>
  <si>
    <t>Cut second part side</t>
  </si>
  <si>
    <t>Apply glue on first part</t>
  </si>
  <si>
    <t>Cut first part side</t>
  </si>
  <si>
    <t>Assemble foam parts, cost included in process</t>
  </si>
  <si>
    <t>Rectangular Area 254mmx169mm</t>
  </si>
  <si>
    <t>Third part of foam</t>
  </si>
  <si>
    <t>Foam, Expanding, Non-Structural</t>
  </si>
  <si>
    <t>Rectangular Area 305mmx237mm</t>
  </si>
  <si>
    <t>Second part of foam</t>
  </si>
  <si>
    <t>Rectangular Area 355mmx305mm</t>
  </si>
  <si>
    <t>First part of foam</t>
  </si>
  <si>
    <t>FSAE Impact Attenuator Type 15, bought, cost as made</t>
  </si>
  <si>
    <t>FR 02001</t>
  </si>
  <si>
    <t>Impact Attenuator part</t>
  </si>
  <si>
    <t>Rectangular Area 32mm x 1.5mm</t>
  </si>
  <si>
    <t>Tuber cover (28mm diameter disc)</t>
  </si>
  <si>
    <t>FR 01009</t>
  </si>
  <si>
    <t>Tube cover Diam. 28</t>
  </si>
  <si>
    <t>Rectangular Area 28mm x 1.5mm</t>
  </si>
  <si>
    <t>Tuber cover (24mm diameter disc)</t>
  </si>
  <si>
    <t>FR 01008</t>
  </si>
  <si>
    <t>Tube cover Diam. 26</t>
  </si>
  <si>
    <t>Setup for laser cutting for the 8 tube covers</t>
  </si>
  <si>
    <t>FR 01007</t>
  </si>
  <si>
    <t>Tube cover Diam. 24</t>
  </si>
  <si>
    <t>Setup for laser cutting of the 6 gusset plates</t>
  </si>
  <si>
    <t>Rectangular Area 20mm x 3mm</t>
  </si>
  <si>
    <t>Suspensions gusset plate</t>
  </si>
  <si>
    <t>FR 01006</t>
  </si>
  <si>
    <t>Rectangular Area 75mmx3mm</t>
  </si>
  <si>
    <t>Rear gusset plate</t>
  </si>
  <si>
    <t>FR 01005</t>
  </si>
  <si>
    <t>Rectangular Area 80mm x 3</t>
  </si>
  <si>
    <t>Front gusset plate</t>
  </si>
  <si>
    <t>FR 01004</t>
  </si>
  <si>
    <t>Rectangular Area (plate) 355x378mm</t>
  </si>
  <si>
    <t>Anti-intrusion plate</t>
  </si>
  <si>
    <t>FR 01003</t>
  </si>
  <si>
    <t>Round 20mm x 1.5mm</t>
  </si>
  <si>
    <t>Miscellaneous</t>
  </si>
  <si>
    <t>Round 25mm x 1.5mm</t>
  </si>
  <si>
    <t>Front Bulkhead Support,Main Hoop Bracing Supports, Jacking Point, Miscellaneous</t>
  </si>
  <si>
    <t>Round 30mm x 1.5mm</t>
  </si>
  <si>
    <t>Side Impact Structure, Front Bulkhead, Roll Hoop Bracing</t>
  </si>
  <si>
    <t>Round 30mm x 2mm</t>
  </si>
  <si>
    <t xml:space="preserve">Shoulder Harness Mounting Bar &amp; Straight Part of Front Hoop </t>
  </si>
  <si>
    <t>FR 01002</t>
  </si>
  <si>
    <t>Straight Round Steel Tubing</t>
  </si>
  <si>
    <t>Main &amp; Front Hoop Bends</t>
  </si>
  <si>
    <t>Front Hoop</t>
  </si>
  <si>
    <t>Main Hoop</t>
  </si>
  <si>
    <t>Main &amp; Front Hoop</t>
  </si>
  <si>
    <t>FR 01001</t>
  </si>
  <si>
    <t>Bent Round Steel Tubing</t>
  </si>
  <si>
    <t>Car # 081</t>
  </si>
  <si>
    <t>Parts welded to frame</t>
  </si>
  <si>
    <t>fix the brake line and the rear tee and chain protection</t>
  </si>
  <si>
    <t>Tie Wrap</t>
  </si>
  <si>
    <t>Brake line between Master Cylinder and Reservoirs</t>
  </si>
  <si>
    <t>Fix front tee to tee tab</t>
  </si>
  <si>
    <t>Fix tee tab to frame</t>
  </si>
  <si>
    <t>Fix brake fluid reservoirs to reservoir mount</t>
  </si>
  <si>
    <t>Fix the brake on the frame and the A-arms</t>
  </si>
  <si>
    <t>Install Tie Wrap (Zip Tie, Cable Clamp)</t>
  </si>
  <si>
    <t>Tighten hose clamps - worm drive</t>
  </si>
  <si>
    <t>Cut(scissors,knife)</t>
  </si>
  <si>
    <t>Shrink tube on HP hose</t>
  </si>
  <si>
    <t>Shrink Tube</t>
  </si>
  <si>
    <t>Reaction tool to lock the banjos</t>
  </si>
  <si>
    <t>Tighten the banjos</t>
  </si>
  <si>
    <t xml:space="preserve">Put the hose in the banjos </t>
  </si>
  <si>
    <t>Hand, Tight &lt;= 6.35 mm</t>
  </si>
  <si>
    <t>Repeat 12</t>
  </si>
  <si>
    <t>Cut the Heat Shrink tubing to lengh</t>
  </si>
  <si>
    <t>Brake line between Master Cylinder and calipers</t>
  </si>
  <si>
    <t>fix chain protection on frame</t>
  </si>
  <si>
    <t>Banjo Bolts in Master Cylinders and Calipers</t>
  </si>
  <si>
    <t>Ratchet 
&lt;= 25.4 mm</t>
  </si>
  <si>
    <t>Reaction tool for M6 nuts</t>
  </si>
  <si>
    <t>Bolt tee mount to frame</t>
  </si>
  <si>
    <t>fix tee on the tee tab</t>
  </si>
  <si>
    <t>Reaction tool for M8 nuts</t>
  </si>
  <si>
    <t>Fix tee mount on the frame</t>
  </si>
  <si>
    <t>Bolt brake fluid reservoirs to reservoir tab</t>
  </si>
  <si>
    <t>Assemble brake reservoir cover to screw</t>
  </si>
  <si>
    <t>Assemble strut brake reservoir to screw</t>
  </si>
  <si>
    <t>Assemble brake fluid reservoirs on reservoir tab</t>
  </si>
  <si>
    <t>assemble brake reservoir tab to screw crashbox</t>
  </si>
  <si>
    <t>Paint steel tabs and mounts</t>
  </si>
  <si>
    <t>Weld proportionning valve mount to frame</t>
  </si>
  <si>
    <t>Hydraulic (brake)</t>
  </si>
  <si>
    <t>Fluid,Oil</t>
  </si>
  <si>
    <t>Strut brake reservoir cover</t>
  </si>
  <si>
    <t>Steel tubing</t>
  </si>
  <si>
    <t>To put on the end of the HP Hose</t>
  </si>
  <si>
    <t>Heat Shrink Tubing</t>
  </si>
  <si>
    <t>Hose, High Pressure, Stainless Steel Braided Outer</t>
  </si>
  <si>
    <t>Brake fluid reservoir</t>
  </si>
  <si>
    <t>Hydraulic Fluid Reservoir, Remote (Plastic)</t>
  </si>
  <si>
    <t>Brake line</t>
  </si>
  <si>
    <t>Brake light</t>
  </si>
  <si>
    <t>Brake Light Pressure Switch Banjo Bolt</t>
  </si>
  <si>
    <t>Fitting/H.P./Straight//Steel/</t>
  </si>
  <si>
    <t>Tee to split the right and left brake line</t>
  </si>
  <si>
    <t>Fitting/L.P./Tee/Flare-Flare-Pipe/Steel/</t>
  </si>
  <si>
    <t>Banjo Bolt, 
Aluminum</t>
  </si>
  <si>
    <t>Banjo Fitting, 45 Deg., Aluminum</t>
  </si>
  <si>
    <t>Protect steel tab and mounts from rust</t>
  </si>
  <si>
    <t>BR A0003</t>
  </si>
  <si>
    <t>Brake line assembly</t>
  </si>
  <si>
    <t>Assemble Brake Rotors and Shrink discs</t>
  </si>
  <si>
    <t>Calipers in Uprights</t>
  </si>
  <si>
    <t>Bolt,Grade 8.9 (SAE)</t>
  </si>
  <si>
    <t>Assemble Brake Rotor onto hub</t>
  </si>
  <si>
    <t>Assemble,1kg, Line on Line</t>
  </si>
  <si>
    <t>Bolt fastening</t>
  </si>
  <si>
    <t>Ratchet &lt;= 6,35 mm</t>
  </si>
  <si>
    <t>Insert fastening thin</t>
  </si>
  <si>
    <t>Assemble,1kg, Loose</t>
  </si>
  <si>
    <t>Insert fastening L</t>
  </si>
  <si>
    <t>Bolt caliper to upright</t>
  </si>
  <si>
    <t>Put caliper in place</t>
  </si>
  <si>
    <t>Line up Pads</t>
  </si>
  <si>
    <t>BR A0002</t>
  </si>
  <si>
    <t>Rear brake assembly</t>
  </si>
  <si>
    <t>BR A0001</t>
  </si>
  <si>
    <t>Front brake assembly</t>
  </si>
  <si>
    <t>3 bends</t>
  </si>
  <si>
    <t>Outer profile</t>
  </si>
  <si>
    <t>rectangular area (plate) 32 x 1 mm</t>
  </si>
  <si>
    <t>Tee tab</t>
  </si>
  <si>
    <t>BR 03006</t>
  </si>
  <si>
    <t>Chain protection</t>
  </si>
  <si>
    <t>rectangular area (plate) 32 x 2mm</t>
  </si>
  <si>
    <t>BR 03005</t>
  </si>
  <si>
    <t>Balance bar for brake bias</t>
  </si>
  <si>
    <t xml:space="preserve">Balance Bar, Tilton, 72-250 </t>
  </si>
  <si>
    <t>Brake balance bar, assembly cost included in Pedal Assembly (in Frame and Body section)</t>
  </si>
  <si>
    <t>BR 03004</t>
  </si>
  <si>
    <t>Balance bar</t>
  </si>
  <si>
    <t>Brake master cylinder</t>
  </si>
  <si>
    <t>Master Cylinder, AP, CP3756</t>
  </si>
  <si>
    <t>Beringer MC 12.7 are in reality used, but as it is not in the cost tables the AP CP3756 master cylinder was chosen as it has similar characteristics</t>
  </si>
  <si>
    <t>BR 03003</t>
  </si>
  <si>
    <t>Master cylinder</t>
  </si>
  <si>
    <t>Cutout and holes</t>
  </si>
  <si>
    <t>rectangular aera (plate) 70 x 1mm</t>
  </si>
  <si>
    <t>BR 03002</t>
  </si>
  <si>
    <t>Brake reservoir cover</t>
  </si>
  <si>
    <t>Rectangular area (plate) 30 x 2mm</t>
  </si>
  <si>
    <t>material for part</t>
  </si>
  <si>
    <t>BR 03001</t>
  </si>
  <si>
    <t>Brake reservoir tab</t>
  </si>
  <si>
    <t>rectangular aera (plate) 12 x 1mm</t>
  </si>
  <si>
    <t>BR 02006</t>
  </si>
  <si>
    <t>Rear fastening disc thin</t>
  </si>
  <si>
    <t>BR 02005</t>
  </si>
  <si>
    <t>Rear fastening disc L</t>
  </si>
  <si>
    <t>Rectangular area 40 x 40mm</t>
  </si>
  <si>
    <t>Brake pad</t>
  </si>
  <si>
    <t>Brake Pad, Carbon Rotor</t>
  </si>
  <si>
    <t>BR 02004</t>
  </si>
  <si>
    <t>Rear brake pad</t>
  </si>
  <si>
    <t>Brake Caliper</t>
  </si>
  <si>
    <t>Brake Caliper, AP, CP4226</t>
  </si>
  <si>
    <t>BR 02003</t>
  </si>
  <si>
    <t>Rear caliper</t>
  </si>
  <si>
    <t>circle area diam. 70mm</t>
  </si>
  <si>
    <t>BR 02002</t>
  </si>
  <si>
    <t>Brake shrink disc rear</t>
  </si>
  <si>
    <t>Material - Stainless Steel</t>
  </si>
  <si>
    <t>circle area diam. 100mm</t>
  </si>
  <si>
    <t>Steel, Stainless (per kg)</t>
  </si>
  <si>
    <t>BR 02001</t>
  </si>
  <si>
    <t>Rear Brake disc</t>
  </si>
  <si>
    <t>rectangular aera (plate) 12 x 1 mm</t>
  </si>
  <si>
    <t>BR 01006</t>
  </si>
  <si>
    <t>Front fastening disc thin</t>
  </si>
  <si>
    <t>BR 01005</t>
  </si>
  <si>
    <t>Front fastening disc L</t>
  </si>
  <si>
    <t>Rectangular area 72 x 40 mm</t>
  </si>
  <si>
    <t>Brake Pad, Iron or Steel Rotor</t>
  </si>
  <si>
    <t>BR 01004</t>
  </si>
  <si>
    <t>Front brake pad</t>
  </si>
  <si>
    <t>Brake Caliper, Beringer, 2D1</t>
  </si>
  <si>
    <t>BR 01003</t>
  </si>
  <si>
    <t>Front caliper</t>
  </si>
  <si>
    <t>BR 01002</t>
  </si>
  <si>
    <t>Brake shrink disc</t>
  </si>
  <si>
    <t>Buy from Beringer</t>
  </si>
  <si>
    <t>BR 01001</t>
  </si>
  <si>
    <t>Front brake disc</t>
  </si>
  <si>
    <t>Wiring harness routing</t>
  </si>
  <si>
    <t>M6 washer</t>
  </si>
  <si>
    <t>M6 nut</t>
  </si>
  <si>
    <t>M6 bolt for ground tab (in battery assembly) + voltage regulator</t>
  </si>
  <si>
    <t>Reaction tool for m6 nut</t>
  </si>
  <si>
    <t>Reaction Tool &lt;= 6,35m</t>
  </si>
  <si>
    <t>tighten M6 voltage regulator bolt</t>
  </si>
  <si>
    <t>Voltage regulation installation</t>
  </si>
  <si>
    <t>Tighten M6 ground bolt</t>
  </si>
  <si>
    <t>ECU installation</t>
  </si>
  <si>
    <t>ECU fixation</t>
  </si>
  <si>
    <t>Install and route wiring harness</t>
  </si>
  <si>
    <t>Install Tie Wrap</t>
  </si>
  <si>
    <t>Tape large wire bundles</t>
  </si>
  <si>
    <t>Taping Wire Bundle</t>
  </si>
  <si>
    <t>Insert Bundle into Tube or Sleeve</t>
  </si>
  <si>
    <t>Wire dressing (install and route)</t>
  </si>
  <si>
    <t>Cover all soldered section</t>
  </si>
  <si>
    <t>repeat</t>
  </si>
  <si>
    <t>Cut heat shrink</t>
  </si>
  <si>
    <t>All wire-to-wire connections</t>
  </si>
  <si>
    <t>Attach Wire, Solder wire, not bent</t>
  </si>
  <si>
    <t>Ground rings and fuel pump</t>
  </si>
  <si>
    <t>Attach Wire, Ring</t>
  </si>
  <si>
    <t>contacts</t>
  </si>
  <si>
    <t>Crimp all other conectors terminals</t>
  </si>
  <si>
    <t>Connector Assembly, Crimp</t>
  </si>
  <si>
    <t>All single-wire connectors</t>
  </si>
  <si>
    <t>Crimp Wire</t>
  </si>
  <si>
    <t>Strip wire ends</t>
  </si>
  <si>
    <t>Strip Wire</t>
  </si>
  <si>
    <t>Cut all power wires to length</t>
  </si>
  <si>
    <t>Cut Wire</t>
  </si>
  <si>
    <t>Cut signal and control wires to length</t>
  </si>
  <si>
    <t>Cut all sensor wires to length</t>
  </si>
  <si>
    <t>To cover all soldered connections</t>
  </si>
  <si>
    <t>Wire routing and protection</t>
  </si>
  <si>
    <t>Wire Sleeving, Split</t>
  </si>
  <si>
    <t>Wire for sensors and connection with "Forward wiring harness"</t>
  </si>
  <si>
    <t>Wire, control/signal</t>
  </si>
  <si>
    <t>Various fuses</t>
  </si>
  <si>
    <t>Fuse, power</t>
  </si>
  <si>
    <t>pin(s)</t>
  </si>
  <si>
    <t>Fuse housing</t>
  </si>
  <si>
    <t>Fuse Box</t>
  </si>
  <si>
    <t>Engine Stop, Fan, Fuel pump, Gear motor, Lambda, Monitoring, Starter</t>
  </si>
  <si>
    <t>Relay, Power</t>
  </si>
  <si>
    <t>wire</t>
  </si>
  <si>
    <t>Ground ring</t>
  </si>
  <si>
    <t>Connector, Single Wire</t>
  </si>
  <si>
    <t>Started motor connector</t>
  </si>
  <si>
    <t>Connector, High Power,&gt;2 Amps</t>
  </si>
  <si>
    <t>Fuel Pump connector</t>
  </si>
  <si>
    <t>Regulator, Rectifier connector</t>
  </si>
  <si>
    <t>Alternator connector</t>
  </si>
  <si>
    <t>Fuel injector connector</t>
  </si>
  <si>
    <t>Connector, OEM quality</t>
  </si>
  <si>
    <t>Ignition Coils connector</t>
  </si>
  <si>
    <t>Fan connector</t>
  </si>
  <si>
    <t>ECU connector</t>
  </si>
  <si>
    <t>Cam Pulse generator connector</t>
  </si>
  <si>
    <t>Ignition Pulse sensor connector</t>
  </si>
  <si>
    <t>Wideband Lambda sensor connector</t>
  </si>
  <si>
    <t>ECT sensor connector</t>
  </si>
  <si>
    <t>Clutch switch connector</t>
  </si>
  <si>
    <t>Oil pressure switch connector</t>
  </si>
  <si>
    <t>Neutral Sensor connector</t>
  </si>
  <si>
    <t>TPS connector</t>
  </si>
  <si>
    <t>Wideband Lambda sensor</t>
  </si>
  <si>
    <t>Sensor, Wide Band Air Fuel Ratio</t>
  </si>
  <si>
    <t>ECT sensor</t>
  </si>
  <si>
    <t>Sensor, Thermocoupe</t>
  </si>
  <si>
    <t>Clutch switch</t>
  </si>
  <si>
    <t>Sensor, Two State Position</t>
  </si>
  <si>
    <t>Oil pressure switch</t>
  </si>
  <si>
    <t>Neutral Sensor</t>
  </si>
  <si>
    <t>TPS</t>
  </si>
  <si>
    <t>Sensor, Angular position</t>
  </si>
  <si>
    <t>ECU</t>
  </si>
  <si>
    <t>ECU, DTA, S60 Pro</t>
  </si>
  <si>
    <t>Wiring harness rearward of the firewall</t>
  </si>
  <si>
    <t>EL A0006</t>
  </si>
  <si>
    <t>Rear Firewall</t>
  </si>
  <si>
    <t>Electrical</t>
  </si>
  <si>
    <t>Connector Install, Circular, Screw Thread</t>
  </si>
  <si>
    <t>Wire dressing</t>
  </si>
  <si>
    <t>Shrink tube</t>
  </si>
  <si>
    <t>contact</t>
  </si>
  <si>
    <t>Connector assembly, crimp</t>
  </si>
  <si>
    <t>Crimp wire</t>
  </si>
  <si>
    <t>Example : Tighten bolts</t>
  </si>
  <si>
    <t>Example : Assemble part 1 on part 2</t>
  </si>
  <si>
    <t>Strip wire</t>
  </si>
  <si>
    <t>Describe process briefly</t>
  </si>
  <si>
    <t>Cut wire</t>
  </si>
  <si>
    <t>pin</t>
  </si>
  <si>
    <t>Connector, Aerospace Quality</t>
  </si>
  <si>
    <t>Wire, Power</t>
  </si>
  <si>
    <t>Wire, Control</t>
  </si>
  <si>
    <t>Gearbox actuator power and control harness</t>
  </si>
  <si>
    <t>EL A0005</t>
  </si>
  <si>
    <t>Gearbox actuator wiring harness</t>
  </si>
  <si>
    <t>Connector Install, Square, Friction</t>
  </si>
  <si>
    <t>Connector Install, Circular Screw, Thread</t>
  </si>
  <si>
    <t>Connector assembly, solder</t>
  </si>
  <si>
    <t>Connectors for buttons</t>
  </si>
  <si>
    <t>Connector, Computer Type</t>
  </si>
  <si>
    <t>Paddles connector</t>
  </si>
  <si>
    <t>Paddles connector mount</t>
  </si>
  <si>
    <t>Gear shifting paddles harness</t>
  </si>
  <si>
    <t>EL A0004</t>
  </si>
  <si>
    <t>Shifting system wiring harness</t>
  </si>
  <si>
    <t>Ground tab welding</t>
  </si>
  <si>
    <t>Insert Bundle Into Tube or Sleeve</t>
  </si>
  <si>
    <t>Wire Dressing (Install and route)</t>
  </si>
  <si>
    <t>Cut sleeve</t>
  </si>
  <si>
    <t>Over travel switch connector</t>
  </si>
  <si>
    <t>Connector Assembly, Solder</t>
  </si>
  <si>
    <t>Cut all wires to desired length</t>
  </si>
  <si>
    <t>Ground tab on frame</t>
  </si>
  <si>
    <t>Brake over travel switch connector</t>
  </si>
  <si>
    <t>Wire protection</t>
  </si>
  <si>
    <t>Brake over travel switch wire</t>
  </si>
  <si>
    <t>Wire, Control / Signal</t>
  </si>
  <si>
    <t>Wire from firewall to dashboard</t>
  </si>
  <si>
    <t>Ground tab</t>
  </si>
  <si>
    <t>Wiring harness fore of the firewall</t>
  </si>
  <si>
    <t>EL A0003</t>
  </si>
  <si>
    <t>Forward harness wiring</t>
  </si>
  <si>
    <t>Tabs welding on frame</t>
  </si>
  <si>
    <t>Attach side mounts to main mount</t>
  </si>
  <si>
    <t>Rivet, Pop</t>
  </si>
  <si>
    <t>M6 bolt for Master switch mount on tab</t>
  </si>
  <si>
    <t>Bolt,Grade 8.8 (SAE 5)</t>
  </si>
  <si>
    <t>M6 bolt for Battery mount on tab</t>
  </si>
  <si>
    <t>Master switch terminals</t>
  </si>
  <si>
    <t>Ground wire</t>
  </si>
  <si>
    <t>Battery terminals</t>
  </si>
  <si>
    <t>Battery and ground wire</t>
  </si>
  <si>
    <t>Cut wires to length</t>
  </si>
  <si>
    <t>Reaction tool for M6 nut for master switch</t>
  </si>
  <si>
    <t>Reaction Tool &lt;= 6,35mm</t>
  </si>
  <si>
    <t>Tighten M6 bolt for master switch and mount</t>
  </si>
  <si>
    <t>Assemble master switch mount on frame</t>
  </si>
  <si>
    <t>Assemble master switch on mount</t>
  </si>
  <si>
    <t>Reaction tool for M6 nut for battery</t>
  </si>
  <si>
    <t>Tighten M6 bolt between Battery mount and tabs</t>
  </si>
  <si>
    <t>Insert Battery mount on tab</t>
  </si>
  <si>
    <t>Insert Battery in Braket</t>
  </si>
  <si>
    <t>Side mounts riveting to main mount</t>
  </si>
  <si>
    <t>Side to main battery mount</t>
  </si>
  <si>
    <t>Ground cable</t>
  </si>
  <si>
    <t>Connector, High Power,&gt; 2 Amps</t>
  </si>
  <si>
    <t>Master switch</t>
  </si>
  <si>
    <t>Battery cables</t>
  </si>
  <si>
    <t>Main fuse box</t>
  </si>
  <si>
    <t>Main 250A Fuse (anti Short-cut)</t>
  </si>
  <si>
    <t>Fuse, Power</t>
  </si>
  <si>
    <t>Switch, Kill</t>
  </si>
  <si>
    <t>Starter battery LiFePo4</t>
  </si>
  <si>
    <t>Battery, Advanced Chemistry (Li-Ion)</t>
  </si>
  <si>
    <t>Master Switch mount</t>
  </si>
  <si>
    <t>Rear tab</t>
  </si>
  <si>
    <t>Front tab</t>
  </si>
  <si>
    <t>Side battery mount</t>
  </si>
  <si>
    <t>Main battery mount</t>
  </si>
  <si>
    <t>Battery assembly including housing and tabs</t>
  </si>
  <si>
    <t>EL A0002</t>
  </si>
  <si>
    <t>Battery Assembly</t>
  </si>
  <si>
    <t>Tabs weld points</t>
  </si>
  <si>
    <t>M6 bolts for Dashboard mount</t>
  </si>
  <si>
    <t>M6 bolts for LVDT sensor mount on tabs</t>
  </si>
  <si>
    <t>M5 bolts for housing mount on tabs</t>
  </si>
  <si>
    <t>Install tie wrap</t>
  </si>
  <si>
    <t>Install and route dashboard wiring</t>
  </si>
  <si>
    <t>Lay Wire, Control</t>
  </si>
  <si>
    <t>Install and route sensors wiring</t>
  </si>
  <si>
    <t>Housing sensor connector assembly</t>
  </si>
  <si>
    <t>Sensor removal connector assembly</t>
  </si>
  <si>
    <t>Install and route brake light wiring</t>
  </si>
  <si>
    <t>Install and route CANbus and power wiring</t>
  </si>
  <si>
    <t>Lay Wire, Power</t>
  </si>
  <si>
    <t>Fasten Hall Sensors on tabs</t>
  </si>
  <si>
    <t>Reaction tool for nut for Brake Light</t>
  </si>
  <si>
    <t>Fasten Brake Light on tabs</t>
  </si>
  <si>
    <t>Reaction tool for nut for LVDT sensors</t>
  </si>
  <si>
    <t>Fasten LDVT sensors on tabs</t>
  </si>
  <si>
    <t>Reaction tool for nut for housings</t>
  </si>
  <si>
    <t>Fasten housings on tabs</t>
  </si>
  <si>
    <t>Assemble dashboard</t>
  </si>
  <si>
    <t>Assemble brake light</t>
  </si>
  <si>
    <t>Assemble Hall and LDVT sensors</t>
  </si>
  <si>
    <t>Assemble brake pressure switch</t>
  </si>
  <si>
    <t>Assemble, 1kg, interference</t>
  </si>
  <si>
    <t>Assemble housing on tabs</t>
  </si>
  <si>
    <t>Weld tabs on chassis</t>
  </si>
  <si>
    <t>Housing connector for supply</t>
  </si>
  <si>
    <t>Housing connectors for power and communication</t>
  </si>
  <si>
    <t>Housing connectors for dashboard and paddles</t>
  </si>
  <si>
    <t>Housing connectors for sensors</t>
  </si>
  <si>
    <t>Connectors to allow sensors removal</t>
  </si>
  <si>
    <t>Sensors and dashboard wiring</t>
  </si>
  <si>
    <t>CANbus + supply wiring or supply wiring</t>
  </si>
  <si>
    <t>Mid card including gearbox control</t>
  </si>
  <si>
    <t>Chassis Control Module, +Automatic Shifter</t>
  </si>
  <si>
    <t>Front card including dashboard control</t>
  </si>
  <si>
    <t>Chassis Control Module, +Dashboard</t>
  </si>
  <si>
    <t>Custom data logging system composed of 3 Arduino boards linked to the ECU</t>
  </si>
  <si>
    <t>Chassis Control Module, Baseline Enclosure</t>
  </si>
  <si>
    <t>Brake light switch circuit junction</t>
  </si>
  <si>
    <t>Lamp, Brake with housing</t>
  </si>
  <si>
    <t>Brake light switch</t>
  </si>
  <si>
    <t>Brake Pressure Switch Banjo Bolt</t>
  </si>
  <si>
    <t>Damper stroke sensor and steering rack position sensor</t>
  </si>
  <si>
    <t>Sensor, LVDT</t>
  </si>
  <si>
    <t>Front wheel speed sensors</t>
  </si>
  <si>
    <t>Sensor, Hall Effect</t>
  </si>
  <si>
    <t>Rear Roll Bar Mount</t>
  </si>
  <si>
    <t>Speed Sensor Disc</t>
  </si>
  <si>
    <t>Sensor Tabs</t>
  </si>
  <si>
    <t>Welded Tabs</t>
  </si>
  <si>
    <t>Dashboard</t>
  </si>
  <si>
    <t>Driver information, data aquisition and storage system</t>
  </si>
  <si>
    <t>EL A0001</t>
  </si>
  <si>
    <t>Monitoring System</t>
  </si>
  <si>
    <t>rectangular area (plate) 31 x 2 mm</t>
  </si>
  <si>
    <t>Aluminum, normal</t>
  </si>
  <si>
    <t>Mount to secure the paddles connector</t>
  </si>
  <si>
    <t>EL 04001</t>
  </si>
  <si>
    <t>Rectangular area (plate) 15 x 2 mm</t>
  </si>
  <si>
    <t>Reused for master switch and battery tab, same tab as Filler tube</t>
  </si>
  <si>
    <t>EL 03001</t>
  </si>
  <si>
    <t>ben</t>
  </si>
  <si>
    <t>Rectangular area (plate) 150 x 2mm</t>
  </si>
  <si>
    <t>Mount plate for the master switch</t>
  </si>
  <si>
    <t>EL 02005</t>
  </si>
  <si>
    <t>Lount painting</t>
  </si>
  <si>
    <t>Mounts paint</t>
  </si>
  <si>
    <t>Rectangular area (plate) 15 x 2mm</t>
  </si>
  <si>
    <t>Rear tab welded on chassis</t>
  </si>
  <si>
    <t>EL 02004</t>
  </si>
  <si>
    <t>Reused for master switch and ground tab, same tab as Filler tube, corner piece, overflow bottles</t>
  </si>
  <si>
    <t>EL 02003</t>
  </si>
  <si>
    <t>Rectangular area (plate) 100 x 2mm</t>
  </si>
  <si>
    <t>Side part of the battery mount assembly</t>
  </si>
  <si>
    <t>EL 02002</t>
  </si>
  <si>
    <t>Rectangular area (plate) 160 x 2 mm</t>
  </si>
  <si>
    <t>Main part of the battery mount assembly</t>
  </si>
  <si>
    <t>EL 02001</t>
  </si>
  <si>
    <t>Rectangular areau (plate) 30 x 2mm</t>
  </si>
  <si>
    <t>Previously used for the removed rear roll bar but one is still used as a mount for the rear card housing</t>
  </si>
  <si>
    <t>EL 01005</t>
  </si>
  <si>
    <t>Hall sensor discs cutting</t>
  </si>
  <si>
    <t>circular area Diam. 100mm</t>
  </si>
  <si>
    <t>Disc material</t>
  </si>
  <si>
    <t>Sensors tabs</t>
  </si>
  <si>
    <t>EL 01004</t>
  </si>
  <si>
    <t>LVDT sensor second tabs bending</t>
  </si>
  <si>
    <t>Sheet Metal bends</t>
  </si>
  <si>
    <t>LVDT sensor tabs bending</t>
  </si>
  <si>
    <t>Hall sensor tabs bending</t>
  </si>
  <si>
    <t>LVDT sensor second tabs cutting</t>
  </si>
  <si>
    <t>LVDT sensor tabs cutting</t>
  </si>
  <si>
    <t>Hall sensor tabs cutting</t>
  </si>
  <si>
    <t>Rectagular area (plate) 15 x 1.5 mm</t>
  </si>
  <si>
    <t>LVDT sensor second tabs</t>
  </si>
  <si>
    <t>LVDT sensor tabs</t>
  </si>
  <si>
    <t>Hall sensor tabs</t>
  </si>
  <si>
    <t>EL 01003</t>
  </si>
  <si>
    <t>Tabs painting</t>
  </si>
  <si>
    <t>Dashboard tabs</t>
  </si>
  <si>
    <t>Rear housing rear tabs</t>
  </si>
  <si>
    <t>Mid housing rear tab</t>
  </si>
  <si>
    <t>Mid housing front tabs</t>
  </si>
  <si>
    <t>Front housing rear tabs</t>
  </si>
  <si>
    <t>Front housing front tab</t>
  </si>
  <si>
    <t>Brake light tabs</t>
  </si>
  <si>
    <t>Rectangular area (plate) 15 x 1.5 mm</t>
  </si>
  <si>
    <t>Rectangular area (plate) 10 x 1.5 mm</t>
  </si>
  <si>
    <t>Housing and brake light tabs</t>
  </si>
  <si>
    <t>EL 01002</t>
  </si>
  <si>
    <t>Assemble all components on dashboard</t>
  </si>
  <si>
    <t>Solder LCD wiring</t>
  </si>
  <si>
    <t>Preparing wires for connection</t>
  </si>
  <si>
    <t>Drilling fasteners holes</t>
  </si>
  <si>
    <t>Drilled holes &lt;25,4mm dia.</t>
  </si>
  <si>
    <t>Cutting the outter profile and the holes</t>
  </si>
  <si>
    <t>Setup for dashboard cuting</t>
  </si>
  <si>
    <t>Resin application on the plys</t>
  </si>
  <si>
    <t>Lamination of the plys</t>
  </si>
  <si>
    <t>Carbon Fiber and Glass Fiber cutting</t>
  </si>
  <si>
    <t>Dashboard wiring</t>
  </si>
  <si>
    <t>Starter, Homing, Neutral, Lauchcontrol and Display</t>
  </si>
  <si>
    <t>Switch, Pushbutton</t>
  </si>
  <si>
    <t>Contact</t>
  </si>
  <si>
    <t>Switch, Toogle</t>
  </si>
  <si>
    <t>Emergency kill switch</t>
  </si>
  <si>
    <t>Safety information and Shiftlight</t>
  </si>
  <si>
    <t>Lamp, LED</t>
  </si>
  <si>
    <t>Information display</t>
  </si>
  <si>
    <t>Display, LCD, Rectangle</t>
  </si>
  <si>
    <t>Composite dashboard</t>
  </si>
  <si>
    <t>Custom made carbon dashboard</t>
  </si>
  <si>
    <t>EL 01001</t>
  </si>
  <si>
    <t>Attach seat to tabs</t>
  </si>
  <si>
    <t xml:space="preserve"> </t>
  </si>
  <si>
    <t>Bolt seat to frame</t>
  </si>
  <si>
    <t>Place seat</t>
  </si>
  <si>
    <t>Attach foam</t>
  </si>
  <si>
    <t>Place foam</t>
  </si>
  <si>
    <t>Cut foam</t>
  </si>
  <si>
    <t>Non-metallic cutting &lt;= 50.8 mm</t>
  </si>
  <si>
    <t>Paint tabs</t>
  </si>
  <si>
    <t>Under seat to protect from frame vibrations</t>
  </si>
  <si>
    <t>Steel tabs painting</t>
  </si>
  <si>
    <t>Holds the driver in place</t>
  </si>
  <si>
    <t>MS A0005</t>
  </si>
  <si>
    <t>Seat</t>
  </si>
  <si>
    <t>Miscenalleous, Fit &amp; Finish</t>
  </si>
  <si>
    <t>Attach padding to main hoop</t>
  </si>
  <si>
    <t>Protects driver's head in case of crash</t>
  </si>
  <si>
    <t>MS A0004</t>
  </si>
  <si>
    <t>Safety</t>
  </si>
  <si>
    <t>Attach plate to tabs</t>
  </si>
  <si>
    <t>Washer, Grade 10.9 (SAE 8)</t>
  </si>
  <si>
    <t>Nut, Panel Retained</t>
  </si>
  <si>
    <t>Bolt, Grade 10.9 (SAE 8)</t>
  </si>
  <si>
    <t>Assemble eyebolts on tabs</t>
  </si>
  <si>
    <t>Bolt plate to tabs (loose)</t>
  </si>
  <si>
    <t>Assemble plate on tabs</t>
  </si>
  <si>
    <t>Assemble padding and fabric on plate</t>
  </si>
  <si>
    <t>Apply glue to plate</t>
  </si>
  <si>
    <t>B rush Apply</t>
  </si>
  <si>
    <t>Assemble fabric on padding</t>
  </si>
  <si>
    <t>Apply glue to padding</t>
  </si>
  <si>
    <t>Cut fabric into shape</t>
  </si>
  <si>
    <t>Cut head rest padding into shape</t>
  </si>
  <si>
    <t>Unmount plate from tabs</t>
  </si>
  <si>
    <t>Assemble tabs on plate</t>
  </si>
  <si>
    <t>Glue padding to plate</t>
  </si>
  <si>
    <t>Fix harness on tube mount</t>
  </si>
  <si>
    <t>Fabric</t>
  </si>
  <si>
    <t>Headrest foam padding</t>
  </si>
  <si>
    <t>Head Rest Padding</t>
  </si>
  <si>
    <t>Stop the driver's head in case of frontal crash</t>
  </si>
  <si>
    <t>MS A0003</t>
  </si>
  <si>
    <t>Headrest</t>
  </si>
  <si>
    <t>Attach harness to tabs</t>
  </si>
  <si>
    <t xml:space="preserve"> Nut, Grade 8.8 (SAE 5)</t>
  </si>
  <si>
    <t>Eyebolt, Threaded, Steel</t>
  </si>
  <si>
    <t>Attach padding to shoulder bar</t>
  </si>
  <si>
    <t>Assemble harness on eyebolts &amp; bar</t>
  </si>
  <si>
    <t>Glue padding to bar</t>
  </si>
  <si>
    <t>Roll Hoop Padding</t>
  </si>
  <si>
    <t>6-point safety harness</t>
  </si>
  <si>
    <t>Harness, Driver</t>
  </si>
  <si>
    <t>Keep the driver in place in case of crash</t>
  </si>
  <si>
    <t>MS A0002</t>
  </si>
  <si>
    <t>Harness</t>
  </si>
  <si>
    <t>Attach firewall to frame and between plate</t>
  </si>
  <si>
    <t>Firewall sealing with aluminium tape</t>
  </si>
  <si>
    <t>Hole plate riveting to main plate</t>
  </si>
  <si>
    <t>Hole plate installation</t>
  </si>
  <si>
    <t xml:space="preserve"> Top plate riveting to frame &amp; to main plate</t>
  </si>
  <si>
    <t>Top plate installation</t>
  </si>
  <si>
    <t>Side plates riveting to frame &amp; to main plate</t>
  </si>
  <si>
    <t>Side plates installation</t>
  </si>
  <si>
    <t>Head side plates riveting to frame</t>
  </si>
  <si>
    <t>Head side plates installation</t>
  </si>
  <si>
    <t>Assemble - Length &gt; 0.5m</t>
  </si>
  <si>
    <t>Main plate riveting to frame</t>
  </si>
  <si>
    <t>Main plate installation</t>
  </si>
  <si>
    <t>Protects the driver from engine</t>
  </si>
  <si>
    <t>MS A0001</t>
  </si>
  <si>
    <t>Firewall</t>
  </si>
  <si>
    <t>Attachment holes</t>
  </si>
  <si>
    <t>Give shape</t>
  </si>
  <si>
    <t>2 parts cut from a single machine setup</t>
  </si>
  <si>
    <t>Rectangular Area (plate) 21 x 2mm</t>
  </si>
  <si>
    <t>Attach seat to the frame</t>
  </si>
  <si>
    <t>MS 05003</t>
  </si>
  <si>
    <t>Back Seat Tabs</t>
  </si>
  <si>
    <t>Rectangular Area (plate) 20 x 2 mm</t>
  </si>
  <si>
    <t>MS 05002</t>
  </si>
  <si>
    <t>Lower Seat Tabs</t>
  </si>
  <si>
    <t>Lamination</t>
  </si>
  <si>
    <t>Lamination – Composite Tool</t>
  </si>
  <si>
    <t>Cutout fixation holes</t>
  </si>
  <si>
    <t>Insert gromets</t>
  </si>
  <si>
    <t>Clean cuts</t>
  </si>
  <si>
    <t>Hand Finish - Material Removal</t>
  </si>
  <si>
    <t>Cutout harness holes</t>
  </si>
  <si>
    <t>Non-metallic cutting &gt; 76.2 mm</t>
  </si>
  <si>
    <t>Cutout seat border</t>
  </si>
  <si>
    <t>Repeat 3 times</t>
  </si>
  <si>
    <t>Resin application</t>
  </si>
  <si>
    <t>Cut ply</t>
  </si>
  <si>
    <t>For harness holes</t>
  </si>
  <si>
    <t>Grommet, Elastomer</t>
  </si>
  <si>
    <t>Seat  itself</t>
  </si>
  <si>
    <t>MS 05001</t>
  </si>
  <si>
    <t>Composite seat structure</t>
  </si>
  <si>
    <t>Glue padding to frame</t>
  </si>
  <si>
    <t>Padding for Roll hoop</t>
  </si>
  <si>
    <t>MS 04001</t>
  </si>
  <si>
    <t>Roll Bar Padding</t>
  </si>
  <si>
    <t>Cutout shape and holes</t>
  </si>
  <si>
    <t>Rectangular Area (plate) 27 x 2mm</t>
  </si>
  <si>
    <t>Attach headrest to the frame</t>
  </si>
  <si>
    <t>MS 03003</t>
  </si>
  <si>
    <t>Headrest Bottom Tabs</t>
  </si>
  <si>
    <t>Rectangular Area (plate) 35 x 2 mm</t>
  </si>
  <si>
    <t>MS 03002</t>
  </si>
  <si>
    <t>Headrest Top Tabs</t>
  </si>
  <si>
    <t>Central bend</t>
  </si>
  <si>
    <t>Rectangular Area (plate) 262 x 2mm</t>
  </si>
  <si>
    <t>Main headrest plate</t>
  </si>
  <si>
    <t>MS 03001</t>
  </si>
  <si>
    <t>Headrest Plate</t>
  </si>
  <si>
    <t>Rectangular Area (plate) 36 x 4 mm</t>
  </si>
  <si>
    <t>Attach harness to the frame</t>
  </si>
  <si>
    <t>MS 02001</t>
  </si>
  <si>
    <t>Harness Tab</t>
  </si>
  <si>
    <t>4 parts cut from a single machine setup</t>
  </si>
  <si>
    <t>Rectangular Area (plate) 12 x 2 mm</t>
  </si>
  <si>
    <t>Attach firewall to the frame</t>
  </si>
  <si>
    <t>MS 01007</t>
  </si>
  <si>
    <t>Firewall Tab</t>
  </si>
  <si>
    <t>Rectangular Area (plate) 141 x 1 mm</t>
  </si>
  <si>
    <t>Plate behind the driver's neck</t>
  </si>
  <si>
    <t>MS 01006</t>
  </si>
  <si>
    <t>Firewall Head Side Plate</t>
  </si>
  <si>
    <t>Rectangular Area (plate) 206 x 1 mm</t>
  </si>
  <si>
    <t>MS 01005</t>
  </si>
  <si>
    <t>Firewall Top Plate</t>
  </si>
  <si>
    <t>Rectangular Area (plate) 115 x 1 mm</t>
  </si>
  <si>
    <t>Plate covering the hole</t>
  </si>
  <si>
    <t>MS 01004</t>
  </si>
  <si>
    <t>Firewall Hole Plate</t>
  </si>
  <si>
    <t>Rectangular Area (plate) 144 x 1 mm</t>
  </si>
  <si>
    <t>Side plates of the firewall</t>
  </si>
  <si>
    <t>MS 01003</t>
  </si>
  <si>
    <t>Firewall Top Side Plate</t>
  </si>
  <si>
    <t>Rectangular Area (plate) 146 x 1 mm</t>
  </si>
  <si>
    <t>MS 01002</t>
  </si>
  <si>
    <t>Firewall Bottom Side Plate</t>
  </si>
  <si>
    <t>Rectangular Area (plate) 727 x 1 mm</t>
  </si>
  <si>
    <t>Central plate of the firewall</t>
  </si>
  <si>
    <t>MS 01001</t>
  </si>
  <si>
    <t>Firewall Main Plate</t>
  </si>
  <si>
    <t>Upright and A arms washers</t>
  </si>
  <si>
    <t>Upper tab washers</t>
  </si>
  <si>
    <t>Upright and A arms nuts</t>
  </si>
  <si>
    <t>Upper tab nuts</t>
  </si>
  <si>
    <t>Upright and  A arms fixing bolts</t>
  </si>
  <si>
    <t>Upper tab fixing bolts</t>
  </si>
  <si>
    <t>Bolt upright with Front A arms</t>
  </si>
  <si>
    <t>Assembe with the frame</t>
  </si>
  <si>
    <t>Upper and Lower spacers assemble</t>
  </si>
  <si>
    <t>Bolt upper tab and upright</t>
  </si>
  <si>
    <t>Upper Tab assemble</t>
  </si>
  <si>
    <t>Camber adjustment shims assemble</t>
  </si>
  <si>
    <t>Assemble with front hub</t>
  </si>
  <si>
    <t>SU A0012</t>
  </si>
  <si>
    <t>Rear upright assembly</t>
  </si>
  <si>
    <t>Upper tab and steering tab washers</t>
  </si>
  <si>
    <t>Upper tab and steering tab nuts</t>
  </si>
  <si>
    <t>Steering tab fixing bolts</t>
  </si>
  <si>
    <t>Bolt steering tab and upright</t>
  </si>
  <si>
    <t xml:space="preserve">Steering tab assemble </t>
  </si>
  <si>
    <t>SU A0011</t>
  </si>
  <si>
    <t>Front upright assembly</t>
  </si>
  <si>
    <t>Welding of the lever on the sway bar</t>
  </si>
  <si>
    <t>Welding of the mounts the frame</t>
  </si>
  <si>
    <t>Rod end, industrial</t>
  </si>
  <si>
    <t>Washer, Grade 12.9 (SAE 5)</t>
  </si>
  <si>
    <t>Tighten the M6 nuts</t>
  </si>
  <si>
    <t>Bolt mount sup on mount inf</t>
  </si>
  <si>
    <t>Washers installation</t>
  </si>
  <si>
    <t>Assemble, 1kg, Line on line</t>
  </si>
  <si>
    <t>Rod Positionning</t>
  </si>
  <si>
    <t>Nuts on the rod end</t>
  </si>
  <si>
    <t>Rod end installation</t>
  </si>
  <si>
    <t>Hand, Loose &lt;= 6.35 mm</t>
  </si>
  <si>
    <t xml:space="preserve">Welding the 4 lever on the roll bar </t>
  </si>
  <si>
    <t>Assemble sway bar and the 2 mounts sup</t>
  </si>
  <si>
    <t>Insert 2 bronze bushings into the rocker</t>
  </si>
  <si>
    <t>Painting of suspension mount in red</t>
  </si>
  <si>
    <t>Welding the roll bar mounts on the frame</t>
  </si>
  <si>
    <t>Glue insert to rod tube</t>
  </si>
  <si>
    <t>Brush apply</t>
  </si>
  <si>
    <t>Solvent degreasing  on carbon tube</t>
  </si>
  <si>
    <t>Front Roll bar mount sup red paint</t>
  </si>
  <si>
    <t>Glue</t>
  </si>
  <si>
    <t xml:space="preserve">Adhesive </t>
  </si>
  <si>
    <t>Front Anti Roll System</t>
  </si>
  <si>
    <t>SU A0010</t>
  </si>
  <si>
    <t>M8 whasher for Tie Rod fitting</t>
  </si>
  <si>
    <t>M8 bolt for Tie Rod fitting</t>
  </si>
  <si>
    <t>Bolt,Grade 12,9 (SAE)</t>
  </si>
  <si>
    <t>M8 nut blocking</t>
  </si>
  <si>
    <t>Reaction tool &lt;=25,4mm</t>
  </si>
  <si>
    <t>M8 bolts installation</t>
  </si>
  <si>
    <t>Tie Rod Positionning</t>
  </si>
  <si>
    <t>Steel mounts painting</t>
  </si>
  <si>
    <t>Steel mounts welding</t>
  </si>
  <si>
    <t>Hand, Loose &lt;= 25,4 mm</t>
  </si>
  <si>
    <t>Glue insert to pushrod tube</t>
  </si>
  <si>
    <t>Mounts Painting</t>
  </si>
  <si>
    <t>Glue for bearings and tube</t>
  </si>
  <si>
    <t>SU A0009</t>
  </si>
  <si>
    <t>Rear Tie Rod</t>
  </si>
  <si>
    <t>Thigten M8 nuts</t>
  </si>
  <si>
    <t>Bolts between rod and rocker/whishbone</t>
  </si>
  <si>
    <t>Push Rod Positionning</t>
  </si>
  <si>
    <t>Tighten M8 nut</t>
  </si>
  <si>
    <t>Bolt rocker to rocker mount</t>
  </si>
  <si>
    <t>Rocker on mount</t>
  </si>
  <si>
    <t>Insert bronze bushings in rocker</t>
  </si>
  <si>
    <t>Rocker paint</t>
  </si>
  <si>
    <t>Rocker mount paint</t>
  </si>
  <si>
    <t>Weld rocker mount to frame</t>
  </si>
  <si>
    <t>Rocker black paint</t>
  </si>
  <si>
    <t>SU A0008</t>
  </si>
  <si>
    <t>Rear rocker</t>
  </si>
  <si>
    <t>Bolt to attach the damper on the rocker</t>
  </si>
  <si>
    <t>Bolt,Grade 12.9 (SAE)</t>
  </si>
  <si>
    <t>Bolt to attach the damper on the mount</t>
  </si>
  <si>
    <t>Thigten the M8 nuts</t>
  </si>
  <si>
    <t>Bolt damper to rocker</t>
  </si>
  <si>
    <t>Assemble the damper to the rocket</t>
  </si>
  <si>
    <t>Bolt damper to suspension mount</t>
  </si>
  <si>
    <t>Put the damper in place</t>
  </si>
  <si>
    <t>Attaching springs to dampers</t>
  </si>
  <si>
    <t>Welding the suspension mounts on the frame</t>
  </si>
  <si>
    <t>Assemble Mount on frame tube</t>
  </si>
  <si>
    <t>Front suspension mount red paint</t>
  </si>
  <si>
    <t>Right and left suspension are symetric</t>
  </si>
  <si>
    <t>SU A0007</t>
  </si>
  <si>
    <t>Rear suspension</t>
  </si>
  <si>
    <t>Welding process for rocker mount</t>
  </si>
  <si>
    <t>SU A0006</t>
  </si>
  <si>
    <t>Front rocker</t>
  </si>
  <si>
    <t>Front suspension, same at right and left</t>
  </si>
  <si>
    <t>SU A0005</t>
  </si>
  <si>
    <t>Front suspension</t>
  </si>
  <si>
    <t>Welding processes</t>
  </si>
  <si>
    <t>M8 A-Arm Fixing Washers</t>
  </si>
  <si>
    <t>M8 A-Arm Fixing Nuts</t>
  </si>
  <si>
    <t>M8 A-Arm Fixing Bolts</t>
  </si>
  <si>
    <t>LM8 nut blocking</t>
  </si>
  <si>
    <t>Spacers installation</t>
  </si>
  <si>
    <t>A-Arm Positionning</t>
  </si>
  <si>
    <t>Bearing in Insert Bores</t>
  </si>
  <si>
    <t>Glue applying on bearing bores</t>
  </si>
  <si>
    <t>Solvent degreasing  on bearing bores</t>
  </si>
  <si>
    <t>Cylinder in Carbon Tube with Simple Insert</t>
  </si>
  <si>
    <t>Glue applying on cylinders</t>
  </si>
  <si>
    <t>Solvent degreasing  on Cylinder</t>
  </si>
  <si>
    <t>Simple Insert in Carbon Tube</t>
  </si>
  <si>
    <t>Solvent degreasing  on simple insert</t>
  </si>
  <si>
    <t>Cylinder in Double Insert bores</t>
  </si>
  <si>
    <t>Glue applying on Double Insert bores</t>
  </si>
  <si>
    <t>Solvent degreasing  on Double Insert bores</t>
  </si>
  <si>
    <t>Link to uprights</t>
  </si>
  <si>
    <t>Bearing, Spherical</t>
  </si>
  <si>
    <t>Rear Upper Rear A-Arm Mount</t>
  </si>
  <si>
    <t>Front Upper Rear A-Arm Mount</t>
  </si>
  <si>
    <t>Rear Upper Rear A-Arm Carbon Tube</t>
  </si>
  <si>
    <t>Front Upper Rear A-Arm Carbon Tube</t>
  </si>
  <si>
    <t>Cylinder</t>
  </si>
  <si>
    <t>Double Upper Rear Insert</t>
  </si>
  <si>
    <t>Simple Insert</t>
  </si>
  <si>
    <t>SU A0004</t>
  </si>
  <si>
    <t>Upper Rear A-Arm</t>
  </si>
  <si>
    <t>Rear Lower Rear A-Arm Mount</t>
  </si>
  <si>
    <t>Front Lower Rear A-Arm Mount</t>
  </si>
  <si>
    <t>Rear Lower Rear A-Arm Carbon Tube</t>
  </si>
  <si>
    <t>Front Lower Rear A-Arm Carbon Tube</t>
  </si>
  <si>
    <t>Double Lower Rear Insert</t>
  </si>
  <si>
    <t>SU A0003</t>
  </si>
  <si>
    <t>Lower Rear A-Arm</t>
  </si>
  <si>
    <t>Rear Upper Front A-Arm Mount</t>
  </si>
  <si>
    <t>Front Upper Front A-Arm Mount</t>
  </si>
  <si>
    <t>Rear Lower Front A-Arm Carbon Tube</t>
  </si>
  <si>
    <t>Front Lower Front A-Arm Carbon Tube</t>
  </si>
  <si>
    <t>Double Upper Front Insert</t>
  </si>
  <si>
    <t>SU A0002</t>
  </si>
  <si>
    <t>Upper Front A-Arm</t>
  </si>
  <si>
    <t>Glue for bearings and tube -Included in Process</t>
  </si>
  <si>
    <t>Rear Lower Front A-Arm Mount</t>
  </si>
  <si>
    <t>Front Lower Front A-Arm Mount</t>
  </si>
  <si>
    <t>Double Lower Front Insert</t>
  </si>
  <si>
    <t>SU A0001</t>
  </si>
  <si>
    <t>Lower Front A-Arm</t>
  </si>
  <si>
    <t xml:space="preserve">Circular area diam. 18mm </t>
  </si>
  <si>
    <t>spacer material</t>
  </si>
  <si>
    <t>Conical spacer for the A-Arm fitting</t>
  </si>
  <si>
    <t>SU 12005</t>
  </si>
  <si>
    <t>Upper spacer</t>
  </si>
  <si>
    <t>SU 12004</t>
  </si>
  <si>
    <t>Lower spacer</t>
  </si>
  <si>
    <t>Camber adjustment shims</t>
  </si>
  <si>
    <t>Rectangular area 35 x 15 mm</t>
  </si>
  <si>
    <t>Mounted between the Upright and the Upper tab for Camber adjustment</t>
  </si>
  <si>
    <t>SU 12003</t>
  </si>
  <si>
    <t>Material removal - lateral side</t>
  </si>
  <si>
    <t>Material removal - outer profile and slot</t>
  </si>
  <si>
    <t>Rectangular area 35 x 35 mm</t>
  </si>
  <si>
    <t>Upper tab material</t>
  </si>
  <si>
    <t>Upper tab for A-Arm fitting + camber angle modification</t>
  </si>
  <si>
    <t>SU 12002</t>
  </si>
  <si>
    <t>Upper tab</t>
  </si>
  <si>
    <t>Stock removal, front</t>
  </si>
  <si>
    <t>Stock removal, back</t>
  </si>
  <si>
    <t>Waterjet cut</t>
  </si>
  <si>
    <t>Setup for waterjet cut</t>
  </si>
  <si>
    <t>Rectangular area 156x55  mm</t>
  </si>
  <si>
    <t>Rear Upright material, aluminum 7075 T6</t>
  </si>
  <si>
    <t>Aluminum, Premium (per kg)</t>
  </si>
  <si>
    <t>SU 12001</t>
  </si>
  <si>
    <t>Rear upright</t>
  </si>
  <si>
    <t>Conical spacer for the A-Arm fitting on the upper tab</t>
  </si>
  <si>
    <t>SU 11006</t>
  </si>
  <si>
    <t>SU 11005</t>
  </si>
  <si>
    <t>Rectangular area 30 x 15 mm</t>
  </si>
  <si>
    <t>SU 11004</t>
  </si>
  <si>
    <t>Rectangular area 30 x 30 mm</t>
  </si>
  <si>
    <t>SU 11003</t>
  </si>
  <si>
    <t xml:space="preserve">Stock removal </t>
  </si>
  <si>
    <t>Rectangular area 40 x 30 mm</t>
  </si>
  <si>
    <t>Steering tab</t>
  </si>
  <si>
    <t>SU 11002</t>
  </si>
  <si>
    <t>drawing</t>
  </si>
  <si>
    <t>Rectangular area 112x50  mm</t>
  </si>
  <si>
    <t>Front Upright material, aluminum 7075 T6</t>
  </si>
  <si>
    <t>SU 11001</t>
  </si>
  <si>
    <t>Front upright</t>
  </si>
  <si>
    <t>SU 10007</t>
  </si>
  <si>
    <t>Rod insert</t>
  </si>
  <si>
    <t>Tube diam 7x1 mm</t>
  </si>
  <si>
    <t>SU 10006</t>
  </si>
  <si>
    <t>Rod tube</t>
  </si>
  <si>
    <t>Material -Alu</t>
  </si>
  <si>
    <t>Machining setup change</t>
  </si>
  <si>
    <t>Central hole</t>
  </si>
  <si>
    <t>Rectangular area 30mm x 30mm</t>
  </si>
  <si>
    <t xml:space="preserve">Aluminum, Normal </t>
  </si>
  <si>
    <t>SU 10005</t>
  </si>
  <si>
    <t>Material
Bronze</t>
  </si>
  <si>
    <t>Setup machining (turning) and removal</t>
  </si>
  <si>
    <t>Round area diam 10mm</t>
  </si>
  <si>
    <t>Stock material for bushings</t>
  </si>
  <si>
    <t>Bronze (per kg)</t>
  </si>
  <si>
    <t>Bushing</t>
  </si>
  <si>
    <t>SU 10004</t>
  </si>
  <si>
    <t>Rectangle area (plate) 32 x 2mm</t>
  </si>
  <si>
    <t>SU 10003</t>
  </si>
  <si>
    <t>Rectangle area (plate) 30 x 3mm</t>
  </si>
  <si>
    <t>Front Lever</t>
  </si>
  <si>
    <t>SU 10002</t>
  </si>
  <si>
    <t>Round Area diam. 12*1,5mm</t>
  </si>
  <si>
    <t>Stock material for cylinder</t>
  </si>
  <si>
    <t>Front Sway Bar</t>
  </si>
  <si>
    <t>SU 10001</t>
  </si>
  <si>
    <t>Material -Steel</t>
  </si>
  <si>
    <t>Tubing cavity</t>
  </si>
  <si>
    <t>Central groove</t>
  </si>
  <si>
    <t>Rectangular 25*25mm</t>
  </si>
  <si>
    <t>Stock material</t>
  </si>
  <si>
    <t>SU 09003</t>
  </si>
  <si>
    <t>Tie Rod Mount</t>
  </si>
  <si>
    <t>Tube lamination</t>
  </si>
  <si>
    <t>Lamination, Filament Wirring</t>
  </si>
  <si>
    <t>Tube diam. 16 x 2mm</t>
  </si>
  <si>
    <t>SU 09002</t>
  </si>
  <si>
    <t>SU 09001</t>
  </si>
  <si>
    <t>Tie rod insert</t>
  </si>
  <si>
    <t>SU 08006</t>
  </si>
  <si>
    <t>Push rod insert</t>
  </si>
  <si>
    <t>SU 08005</t>
  </si>
  <si>
    <t>Push rod tube</t>
  </si>
  <si>
    <t>Rectangular 31*34mm</t>
  </si>
  <si>
    <t>SU 08004</t>
  </si>
  <si>
    <t>Rocker mount</t>
  </si>
  <si>
    <t>Material bronze</t>
  </si>
  <si>
    <t>Round area diam. 10mm</t>
  </si>
  <si>
    <t>SU 08003</t>
  </si>
  <si>
    <t>Round area diam. 26mm</t>
  </si>
  <si>
    <t>SU 08002</t>
  </si>
  <si>
    <t>Material - Steel &amp; Repeat</t>
  </si>
  <si>
    <t>Rectangular area (plate) 70 x 3mm</t>
  </si>
  <si>
    <t>SU 08001</t>
  </si>
  <si>
    <t>Rocker metal sheets</t>
  </si>
  <si>
    <t>Round area diam. 14mm</t>
  </si>
  <si>
    <t>Conical spacer for Damper mount</t>
  </si>
  <si>
    <t>SU 07004</t>
  </si>
  <si>
    <t>Rectangular area 30*30mm</t>
  </si>
  <si>
    <t>Left and right mounts are symetrical : Same manufacturing procedure</t>
  </si>
  <si>
    <t>SU 07003</t>
  </si>
  <si>
    <t>Rear suspension mount</t>
  </si>
  <si>
    <t>Spring for the dampers</t>
  </si>
  <si>
    <t>Suspension Springs, Coil
Spring, Steel</t>
  </si>
  <si>
    <t>SU 07002</t>
  </si>
  <si>
    <t>Spring</t>
  </si>
  <si>
    <t>Dampers</t>
  </si>
  <si>
    <t>Damper, Ohlins TTX 25</t>
  </si>
  <si>
    <t>Damper Ohlins TTX 25 on each wheel</t>
  </si>
  <si>
    <t>SU 07001</t>
  </si>
  <si>
    <t>Damper</t>
  </si>
  <si>
    <t>SU 06006</t>
  </si>
  <si>
    <t>Tube diam. 16 x2 mm</t>
  </si>
  <si>
    <t>SU 06005</t>
  </si>
  <si>
    <t>SU 06004</t>
  </si>
  <si>
    <t>SU 06003</t>
  </si>
  <si>
    <t>SU 06002</t>
  </si>
  <si>
    <t>Rectangular area (plate) 60 x 3mm</t>
  </si>
  <si>
    <t>SU 06001</t>
  </si>
  <si>
    <t>SU 05004</t>
  </si>
  <si>
    <t>Rectangular area 25*25mm</t>
  </si>
  <si>
    <t>SU 05003</t>
  </si>
  <si>
    <t>Front suspension mount</t>
  </si>
  <si>
    <t>SU 05002</t>
  </si>
  <si>
    <t>SU 05001</t>
  </si>
  <si>
    <t>Angle</t>
  </si>
  <si>
    <t>SU 04008</t>
  </si>
  <si>
    <t>Tube cavity</t>
  </si>
  <si>
    <t>SU 04007</t>
  </si>
  <si>
    <t>Round diam. 14mm</t>
  </si>
  <si>
    <t>SU 04006</t>
  </si>
  <si>
    <t>Tube diam. 16 x2mm</t>
  </si>
  <si>
    <t>SU 04005</t>
  </si>
  <si>
    <t>SU 04004</t>
  </si>
  <si>
    <t>Saw or tubing cut</t>
  </si>
  <si>
    <t>Round area diam. 12mm</t>
  </si>
  <si>
    <t>cylinder</t>
  </si>
  <si>
    <t>Glued inside double lowerFront Insert</t>
  </si>
  <si>
    <t>SU 04003</t>
  </si>
  <si>
    <t>Suspension rod support drilling</t>
  </si>
  <si>
    <t>Drilled holes &lt; 25.4 mm</t>
  </si>
  <si>
    <t>Suspension rod support machining</t>
  </si>
  <si>
    <t>Angle and bottom of the main hole machining</t>
  </si>
  <si>
    <t>Second tube hole machining</t>
  </si>
  <si>
    <t>First tube hole machining</t>
  </si>
  <si>
    <t>Main shape
contouring and top of the main hole machining</t>
  </si>
  <si>
    <t>Rectangular area 60 x 40mm</t>
  </si>
  <si>
    <t>Insert</t>
  </si>
  <si>
    <t>Left and right inserts are symetrical : Same manufacturing procedure</t>
  </si>
  <si>
    <t>SU 04002</t>
  </si>
  <si>
    <t>Hole machining</t>
  </si>
  <si>
    <t>Sides machining</t>
  </si>
  <si>
    <t>Main shape
machining</t>
  </si>
  <si>
    <t>SU 04001</t>
  </si>
  <si>
    <t>SU 03008</t>
  </si>
  <si>
    <t>Rectangular area25*20mm</t>
  </si>
  <si>
    <t>SU 03007</t>
  </si>
  <si>
    <t>SU 03006</t>
  </si>
  <si>
    <t>SU 03005</t>
  </si>
  <si>
    <t>SU 03004</t>
  </si>
  <si>
    <t>Round area diam 12mm</t>
  </si>
  <si>
    <t>SU 03003</t>
  </si>
  <si>
    <t>Bottom side and hole machining</t>
  </si>
  <si>
    <t>Main shape
contouring and top side machining</t>
  </si>
  <si>
    <t>Rectangular area 50 x 16 mm</t>
  </si>
  <si>
    <t>SU 03002</t>
  </si>
  <si>
    <t>SU 03001</t>
  </si>
  <si>
    <t>Rectangular area 25*20mm</t>
  </si>
  <si>
    <t>SU 02008</t>
  </si>
  <si>
    <t>Rectangular area25*18mm</t>
  </si>
  <si>
    <t>SU 02007</t>
  </si>
  <si>
    <t>Round diam 14mm</t>
  </si>
  <si>
    <t>SU 02006</t>
  </si>
  <si>
    <t>SU 02005</t>
  </si>
  <si>
    <t>Rear Upper Front A-Arm Carbon Tube</t>
  </si>
  <si>
    <t>SU 02004</t>
  </si>
  <si>
    <t>Front Upper Front A-Arm Carbon Tube</t>
  </si>
  <si>
    <t>SU 02003</t>
  </si>
  <si>
    <t>Rectangular area 52 x 16mm</t>
  </si>
  <si>
    <t>SU 02002</t>
  </si>
  <si>
    <t>Round area diam 26mm</t>
  </si>
  <si>
    <t>SU 02001</t>
  </si>
  <si>
    <t>SU 01008</t>
  </si>
  <si>
    <t>SU 01007</t>
  </si>
  <si>
    <t>SU 01006</t>
  </si>
  <si>
    <t>Tube diam. 16 x 2 mm</t>
  </si>
  <si>
    <t>SU 01005</t>
  </si>
  <si>
    <t>Tube diam. 16x2 mm</t>
  </si>
  <si>
    <t>SU 01004</t>
  </si>
  <si>
    <t>Round area diam. 24mm</t>
  </si>
  <si>
    <t>SU 01003</t>
  </si>
  <si>
    <t>Rectangular area 50 x 50mm</t>
  </si>
  <si>
    <t>SU 01002</t>
  </si>
  <si>
    <t>SU 01001</t>
  </si>
  <si>
    <t>SU_09001</t>
  </si>
  <si>
    <t>SU_05003</t>
  </si>
  <si>
    <t>Assemble speed sensor disc on hub</t>
  </si>
  <si>
    <t>Brake Bleed - Per Bleeder Valve</t>
  </si>
  <si>
    <t>Bleed all the lines</t>
  </si>
  <si>
    <t>Suspension Setup-Independent Susp. (per corner)</t>
  </si>
  <si>
    <t>Camber and toe adjustment</t>
  </si>
  <si>
    <t>Safety Wire Install</t>
  </si>
  <si>
    <t>For caliper bolts locking device</t>
  </si>
  <si>
    <t>Locknut install</t>
  </si>
  <si>
    <t>Locknut on hub</t>
  </si>
  <si>
    <t>Assemble,1kg, Line-on-Line</t>
  </si>
  <si>
    <t>Nuts for bolts and rod end locking</t>
  </si>
  <si>
    <t>M8 nut for bolt and rod end locking</t>
  </si>
  <si>
    <t>Rod end conections to rocker/lever</t>
  </si>
  <si>
    <t>Upper mount on lower mount</t>
  </si>
  <si>
    <t>For bolts and rod end locking</t>
  </si>
  <si>
    <t xml:space="preserve">Front Roll Bar lower mount </t>
  </si>
  <si>
    <t>Front Roll Bar upper mount</t>
  </si>
  <si>
    <t>Rocker to rocker mount</t>
  </si>
  <si>
    <t>Rocker to push rod</t>
  </si>
  <si>
    <t>Setup for laser cutting 2mm</t>
  </si>
  <si>
    <t xml:space="preserve">Machining Setup, Install and remove </t>
  </si>
  <si>
    <t>Setup for laser cutting 1,5mm</t>
  </si>
  <si>
    <t>Rack gear</t>
  </si>
  <si>
    <t>Assemble the Rack, the gear and the rack housing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</si>
</sst>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3">
    <numFmt numFmtId="7" formatCode="#,##0.00\ &quot;€&quot;;\-#,##0.00\ &quot;€&quot;"/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&quot;$&quot;* #,##0.00_);_(&quot;$&quot;* \(#,##0.00\);_(&quot;$&quot;* &quot;-&quot;??_);_(@_)"/>
    <numFmt numFmtId="165" formatCode="_(* #,##0.00_);_(* \(#,##0.00\);_(* &quot;-&quot;??_);_(@_)"/>
    <numFmt numFmtId="166" formatCode="&quot;$&quot;#,##0.00"/>
    <numFmt numFmtId="167" formatCode="\$#,##0.00_);&quot;($&quot;#,##0.00\)"/>
    <numFmt numFmtId="168" formatCode="_(\$* #,##0.00_);_(\$* \(#,##0.00\);_(\$* \-??_);_(@_)"/>
    <numFmt numFmtId="169" formatCode="_-[$$-409]* #,##0.00_ ;_-[$$-409]* \-#,##0.00\ ;_-[$$-409]* &quot;-&quot;??_ ;_-@_ "/>
    <numFmt numFmtId="170" formatCode="_(* #,##0_);_(* \(#,##0\);_(* &quot;-&quot;??_);_(@_)"/>
    <numFmt numFmtId="171" formatCode="_-* #,##0\ _€_-;\-* #,##0\ _€_-;_-* &quot;-&quot;??\ _€_-;_-@_-"/>
    <numFmt numFmtId="172" formatCode="_(* #,##0.000_);_(* \(#,##0.000\);_(* &quot;-&quot;??_);_(@_)"/>
    <numFmt numFmtId="173" formatCode="#,##0.0000"/>
    <numFmt numFmtId="174" formatCode="_(* #,##0.00000_);_(* \(#,##0.00000\);_(* &quot;-&quot;??_);_(@_)"/>
    <numFmt numFmtId="175" formatCode="_(* #,##0.00_);_(* \(#,##0.00\);_(* \-??_);_(@_)"/>
    <numFmt numFmtId="176" formatCode="_(* #,##0.000000_);_(* \(#,##0.000000\);_(* &quot;-&quot;??_);_(@_)"/>
    <numFmt numFmtId="177" formatCode="_(* #,##0.000_);_(* \(#,##0.000\);_(* \-??_);_(@_)"/>
    <numFmt numFmtId="178" formatCode="_(* #,##0_);_(* \(#,##0\);_(* \-??_);_(@_)"/>
    <numFmt numFmtId="179" formatCode="0.000"/>
    <numFmt numFmtId="180" formatCode="0.0000"/>
    <numFmt numFmtId="181" formatCode="0.00000"/>
    <numFmt numFmtId="182" formatCode="_-* #,##0.000000\ _€_-;\-* #,##0.000000\ _€_-;_-* &quot;-&quot;??\ _€_-;_-@_-"/>
    <numFmt numFmtId="183" formatCode="0.0"/>
    <numFmt numFmtId="184" formatCode="_-* #,##0.0000000\ _€_-;\-* #,##0.0000000\ _€_-;_-* &quot;-&quot;??\ _€_-;_-@_-"/>
    <numFmt numFmtId="185" formatCode="_-* #,##0.00000\ _€_-;\-* #,##0.00000\ _€_-;_-* &quot;-&quot;??\ _€_-;_-@_-"/>
    <numFmt numFmtId="186" formatCode="_(* #,##0.0000_);_(* \(#,##0.0000\);_(* &quot;-&quot;??_);_(@_)"/>
    <numFmt numFmtId="187" formatCode="_-* #,##0.000\ _€_-;\-* #,##0.000\ _€_-;_-* &quot;-&quot;??\ _€_-;_-@_-"/>
    <numFmt numFmtId="188" formatCode="_(&quot;$&quot;* #,##0.0000_);_(&quot;$&quot;* \(#,##0.0000\);_(&quot;$&quot;* &quot;-&quot;??_);_(@_)"/>
    <numFmt numFmtId="189" formatCode="_-* #,##0.0\ _€_-;\-* #,##0.0\ _€_-;_-* &quot;-&quot;??\ _€_-;_-@_-"/>
    <numFmt numFmtId="190" formatCode="_(&quot;$&quot;* #,##0_);_(&quot;$&quot;* \(#,##0\);_(&quot;$&quot;* &quot;-&quot;??_);_(@_)"/>
    <numFmt numFmtId="191" formatCode="_-* #,##0.0000\ _€_-;\-* #,##0.0000\ _€_-;_-* &quot;-&quot;??\ _€_-;_-@_-"/>
    <numFmt numFmtId="192" formatCode="0.E+00"/>
    <numFmt numFmtId="193" formatCode="_(* #,##0.0000000_);_(* \(#,##0.0000000\);_(* &quot;-&quot;??_);_(@_)"/>
    <numFmt numFmtId="194" formatCode="_-[$$-409]* #,##0.00_ ;_-[$$-409]* \-#,##0.00,;_-[$$-409]* \-??_ ;_-@_ "/>
    <numFmt numFmtId="195" formatCode="_(* #,##0.0000_);_(* \(#,##0.0000\);_(* \-??_);_(@_)"/>
    <numFmt numFmtId="196" formatCode="0.000E+00"/>
    <numFmt numFmtId="197" formatCode="0.0000000"/>
    <numFmt numFmtId="198" formatCode="0.00000E+00"/>
    <numFmt numFmtId="199" formatCode="_(&quot;$&quot;* #,##0.000_);_(&quot;$&quot;* \(#,##0.000\);_(&quot;$&quot;* &quot;-&quot;??_);_(@_)"/>
    <numFmt numFmtId="200" formatCode="#,##0.0000_);\(#,##0.0000\)"/>
    <numFmt numFmtId="201" formatCode="&quot;$&quot;#,##0;[Red]\-&quot;$&quot;#,##0"/>
    <numFmt numFmtId="202" formatCode="&quot;$&quot;#,##0;\-&quot;$&quot;#,##0"/>
    <numFmt numFmtId="203" formatCode="#,##0.00\ &quot;€&quot;_);\(#,##0.00\ &quot;€&quot;\)"/>
    <numFmt numFmtId="204" formatCode="&quot;$&quot;#,##0.00_);\(&quot;$&quot;#,##0.00\)"/>
    <numFmt numFmtId="205" formatCode="_-* #,##0.00000\ _€_-;\-* #,##0.00000\ _€_-;_-* &quot;-&quot;?????\ _€_-;_-@_-"/>
    <numFmt numFmtId="206" formatCode="0.0E+00"/>
    <numFmt numFmtId="207" formatCode="#,##0.000_);\(#,##0.000\)"/>
    <numFmt numFmtId="208" formatCode="#,##0.00\ _€"/>
    <numFmt numFmtId="209" formatCode="#,##0.000"/>
    <numFmt numFmtId="210" formatCode="#,##0.0000000"/>
    <numFmt numFmtId="211" formatCode="_(\$* #,##0.0000_);_(\$* \(#,##0.0000\);_(\$* \-??_);_(@_)"/>
    <numFmt numFmtId="212" formatCode="_-* #,##0.000\ _€_-;\-* #,##0.000\ _€_-;_-* &quot;-&quot;???\ _€_-;_-@_-"/>
    <numFmt numFmtId="213" formatCode="_(* #,##0.000000_);_(* \(#,##0.000000\);_(* \-??_);_(@_)"/>
    <numFmt numFmtId="214" formatCode="#,##0.00,&quot;  &quot;;\-#,##0.00,&quot;  &quot;"/>
    <numFmt numFmtId="215" formatCode="\$#,##0.00,;&quot;($&quot;#,##0.00\)"/>
    <numFmt numFmtId="216" formatCode="* #,##0.00,;* \(#,##0.00\);* \-#,;@\ "/>
    <numFmt numFmtId="217" formatCode="* #,##0,;* \(#,##0\);* \-#,;@\ "/>
    <numFmt numFmtId="218" formatCode="* #,##0.000,;* \(#,##0.000\);* \-#,;@\ "/>
    <numFmt numFmtId="219" formatCode="&quot; $&quot;* #,##0.00,;&quot; $&quot;* \(#,##0.00\);&quot; $&quot;* \-#,;@\ "/>
    <numFmt numFmtId="220" formatCode="#,##0.0"/>
    <numFmt numFmtId="221" formatCode="#,##0_);\(#,##0\)"/>
    <numFmt numFmtId="222" formatCode="_(* #,##0.0_);_(* \(#,##0.0\);_(* &quot;-&quot;??_);_(@_)"/>
    <numFmt numFmtId="223" formatCode="0.000000"/>
  </numFmts>
  <fonts count="4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6500"/>
      <name val="Calibri"/>
      <family val="2"/>
      <scheme val="minor"/>
    </font>
    <font>
      <sz val="10"/>
      <name val="Arial"/>
      <family val="2"/>
    </font>
    <font>
      <sz val="10"/>
      <color indexed="9"/>
      <name val="Arial"/>
      <family val="2"/>
    </font>
    <font>
      <sz val="11"/>
      <color indexed="8"/>
      <name val="Calibri"/>
      <family val="2"/>
    </font>
    <font>
      <sz val="9"/>
      <name val="Arial"/>
      <family val="2"/>
    </font>
    <font>
      <b/>
      <sz val="10"/>
      <name val="Arial"/>
      <family val="2"/>
    </font>
    <font>
      <b/>
      <i/>
      <sz val="16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u/>
      <sz val="11"/>
      <color theme="10"/>
      <name val="Calibri"/>
      <family val="2"/>
      <charset val="1"/>
    </font>
    <font>
      <sz val="7"/>
      <name val="Arial"/>
      <family val="2"/>
    </font>
    <font>
      <b/>
      <sz val="11"/>
      <name val="Arial"/>
      <family val="2"/>
    </font>
    <font>
      <b/>
      <sz val="11"/>
      <color indexed="9"/>
      <name val="Calibri"/>
      <family val="2"/>
    </font>
    <font>
      <b/>
      <i/>
      <sz val="10"/>
      <name val="Arial"/>
      <family val="2"/>
    </font>
    <font>
      <b/>
      <sz val="11"/>
      <color theme="0"/>
      <name val="Calibri"/>
      <family val="2"/>
    </font>
    <font>
      <sz val="10"/>
      <name val="MS Sans Serif"/>
      <family val="2"/>
    </font>
    <font>
      <sz val="10"/>
      <color indexed="8"/>
      <name val="Arial"/>
      <family val="2"/>
    </font>
    <font>
      <sz val="11"/>
      <color rgb="FF000000"/>
      <name val="Calibri"/>
      <family val="2"/>
    </font>
    <font>
      <sz val="11"/>
      <color rgb="FF000000"/>
      <name val="Calibri"/>
      <family val="2"/>
      <charset val="1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name val="Calibri"/>
      <family val="2"/>
    </font>
    <font>
      <i/>
      <sz val="11"/>
      <color rgb="FFFF0000"/>
      <name val="Calibri"/>
      <family val="2"/>
    </font>
    <font>
      <sz val="11"/>
      <name val="Calibri"/>
      <family val="2"/>
      <charset val="1"/>
      <scheme val="minor"/>
    </font>
    <font>
      <sz val="11"/>
      <name val="Calibri"/>
      <family val="2"/>
      <scheme val="minor"/>
    </font>
    <font>
      <b/>
      <sz val="11"/>
      <name val="Calibri"/>
      <family val="2"/>
    </font>
    <font>
      <sz val="10"/>
      <name val="MS Sans Serif"/>
      <family val="2"/>
    </font>
    <font>
      <sz val="11"/>
      <color indexed="17"/>
      <name val="Calibri"/>
      <family val="2"/>
    </font>
    <font>
      <u/>
      <sz val="10"/>
      <color theme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  <scheme val="minor"/>
    </font>
    <font>
      <sz val="7"/>
      <name val="Calibri"/>
      <family val="2"/>
      <scheme val="minor"/>
    </font>
    <font>
      <sz val="11"/>
      <color rgb="FF231F20"/>
      <name val="Calibri"/>
      <family val="2"/>
      <scheme val="minor"/>
    </font>
    <font>
      <sz val="11"/>
      <color indexed="8"/>
      <name val="Calibri"/>
      <family val="2"/>
      <charset val="1"/>
    </font>
    <font>
      <u/>
      <sz val="11"/>
      <color indexed="12"/>
      <name val="Calibri"/>
      <family val="2"/>
      <charset val="1"/>
    </font>
    <font>
      <sz val="11"/>
      <name val="Arial"/>
      <family val="2"/>
      <charset val="1"/>
    </font>
    <font>
      <sz val="11"/>
      <color theme="0"/>
      <name val="Calibri"/>
      <family val="2"/>
      <charset val="1"/>
    </font>
  </fonts>
  <fills count="52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indexed="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rgb="FF66CCFF"/>
        <bgColor theme="0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indexed="44"/>
      </patternFill>
    </fill>
    <fill>
      <patternFill patternType="solid">
        <fgColor indexed="62"/>
        <bgColor indexed="62"/>
      </patternFill>
    </fill>
    <fill>
      <patternFill patternType="solid">
        <fgColor theme="6" tint="0.39997558519241921"/>
        <bgColor rgb="FFFCD5B5"/>
      </patternFill>
    </fill>
    <fill>
      <patternFill patternType="solid">
        <fgColor theme="6" tint="0.39997558519241921"/>
        <bgColor rgb="FFFAC090"/>
      </patternFill>
    </fill>
    <fill>
      <patternFill patternType="solid">
        <fgColor theme="0"/>
        <bgColor indexed="64"/>
      </patternFill>
    </fill>
    <fill>
      <patternFill patternType="solid">
        <fgColor rgb="FF99FFCC"/>
        <bgColor rgb="FFFCD5B5"/>
      </patternFill>
    </fill>
    <fill>
      <patternFill patternType="solid">
        <fgColor rgb="FF99FFCC"/>
        <bgColor rgb="FFFAC090"/>
      </patternFill>
    </fill>
    <fill>
      <patternFill patternType="solid">
        <fgColor rgb="FF66CCFF"/>
        <bgColor indexed="64"/>
      </patternFill>
    </fill>
    <fill>
      <patternFill patternType="solid">
        <fgColor rgb="FF99FFCC"/>
        <bgColor indexed="64"/>
      </patternFill>
    </fill>
    <fill>
      <patternFill patternType="solid">
        <fgColor rgb="FFFF9900"/>
        <bgColor rgb="FFFCD5B5"/>
      </patternFill>
    </fill>
    <fill>
      <patternFill patternType="solid">
        <fgColor rgb="FFFF9900"/>
        <bgColor rgb="FFFAC090"/>
      </patternFill>
    </fill>
    <fill>
      <patternFill patternType="solid">
        <fgColor rgb="FF993300"/>
        <bgColor indexed="64"/>
      </patternFill>
    </fill>
    <fill>
      <patternFill patternType="solid">
        <fgColor rgb="FFFF99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FF99FF"/>
        <bgColor rgb="FFFCD5B5"/>
      </patternFill>
    </fill>
    <fill>
      <patternFill patternType="solid">
        <fgColor indexed="42"/>
      </patternFill>
    </fill>
    <fill>
      <patternFill patternType="solid">
        <fgColor rgb="FFFF99FF"/>
        <bgColor rgb="FFFAC090"/>
      </patternFill>
    </fill>
    <fill>
      <patternFill patternType="solid">
        <fgColor rgb="FFFF99CC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3" tint="0.59999389629810485"/>
        <bgColor rgb="FFFCD5B5"/>
      </patternFill>
    </fill>
    <fill>
      <patternFill patternType="solid">
        <fgColor theme="3" tint="0.59999389629810485"/>
        <bgColor rgb="FFFAC090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AC090"/>
        <bgColor rgb="FFFCD5B5"/>
      </patternFill>
    </fill>
    <fill>
      <patternFill patternType="solid">
        <fgColor rgb="FFFCD5B5"/>
        <bgColor rgb="FFFAC090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indexed="44"/>
        <bgColor indexed="31"/>
      </patternFill>
    </fill>
    <fill>
      <patternFill patternType="solid">
        <fgColor indexed="9"/>
        <bgColor indexed="26"/>
      </patternFill>
    </fill>
    <fill>
      <patternFill patternType="solid">
        <fgColor indexed="24"/>
        <bgColor indexed="22"/>
      </patternFill>
    </fill>
    <fill>
      <patternFill patternType="solid">
        <fgColor rgb="FFFFFF99"/>
        <bgColor rgb="FFFCD5B5"/>
      </patternFill>
    </fill>
    <fill>
      <patternFill patternType="solid">
        <fgColor rgb="FFFFFF99"/>
        <bgColor rgb="FFFAC090"/>
      </patternFill>
    </fill>
    <fill>
      <patternFill patternType="solid">
        <fgColor theme="0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99"/>
        <bgColor indexed="64"/>
      </patternFill>
    </fill>
  </fills>
  <borders count="144">
    <border>
      <left/>
      <right/>
      <top/>
      <bottom/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 style="medium">
        <color theme="1"/>
      </right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 style="medium">
        <color theme="1"/>
      </left>
      <right/>
      <top style="medium">
        <color theme="1"/>
      </top>
      <bottom/>
      <diagonal/>
    </border>
    <border>
      <left style="thin">
        <color indexed="22"/>
      </left>
      <right style="thin">
        <color indexed="22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medium">
        <color theme="1"/>
      </right>
      <top/>
      <bottom style="medium">
        <color indexed="64"/>
      </bottom>
      <diagonal/>
    </border>
    <border>
      <left style="medium">
        <color theme="1"/>
      </left>
      <right/>
      <top/>
      <bottom style="medium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C0C0C0"/>
      </left>
      <right style="thin">
        <color rgb="FFC0C0C0"/>
      </right>
      <top style="thin">
        <color rgb="FFC0C0C0"/>
      </top>
      <bottom style="thin">
        <color rgb="FFC0C0C0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 style="thin">
        <color indexed="22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22"/>
      </left>
      <right/>
      <top style="thin">
        <color indexed="22"/>
      </top>
      <bottom style="thin">
        <color indexed="22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/>
      <right/>
      <top style="medium">
        <color theme="1"/>
      </top>
      <bottom style="medium">
        <color indexed="64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 style="medium">
        <color indexed="8"/>
      </right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medium">
        <color indexed="8"/>
      </left>
      <right/>
      <top/>
      <bottom/>
      <diagonal/>
    </border>
    <border>
      <left style="thin">
        <color indexed="31"/>
      </left>
      <right style="thin">
        <color indexed="31"/>
      </right>
      <top style="thin">
        <color indexed="31"/>
      </top>
      <bottom style="thin">
        <color indexed="31"/>
      </bottom>
      <diagonal/>
    </border>
    <border>
      <left/>
      <right style="medium">
        <color indexed="8"/>
      </right>
      <top style="medium">
        <color indexed="8"/>
      </top>
      <bottom/>
      <diagonal/>
    </border>
    <border>
      <left/>
      <right/>
      <top style="medium">
        <color indexed="8"/>
      </top>
      <bottom/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 style="medium">
        <color indexed="8"/>
      </left>
      <right style="thin">
        <color indexed="8"/>
      </right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 style="medium">
        <color indexed="8"/>
      </left>
      <right/>
      <top/>
      <bottom style="thin">
        <color indexed="8"/>
      </bottom>
      <diagonal/>
    </border>
    <border>
      <left/>
      <right/>
      <top style="thin">
        <color indexed="9"/>
      </top>
      <bottom style="thin">
        <color indexed="9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ck">
        <color indexed="8"/>
      </top>
      <bottom style="thick">
        <color indexed="8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D0D7E5"/>
      </left>
      <right style="thin">
        <color rgb="FFD0D7E5"/>
      </right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22"/>
      </left>
      <right style="thin">
        <color indexed="22"/>
      </right>
      <top/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auto="1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</borders>
  <cellStyleXfs count="123">
    <xf numFmtId="0" fontId="0" fillId="0" borderId="0"/>
    <xf numFmtId="0" fontId="3" fillId="3" borderId="0" applyNumberFormat="0" applyBorder="0" applyAlignment="0" applyProtection="0"/>
    <xf numFmtId="0" fontId="4" fillId="0" borderId="0"/>
    <xf numFmtId="164" fontId="4" fillId="0" borderId="0" applyFont="0" applyFill="0" applyBorder="0" applyAlignment="0" applyProtection="0"/>
    <xf numFmtId="164" fontId="6" fillId="0" borderId="0" applyFont="0" applyFill="0" applyBorder="0" applyAlignment="0" applyProtection="0"/>
    <xf numFmtId="165" fontId="4" fillId="0" borderId="0" applyFont="0" applyFill="0" applyBorder="0" applyAlignment="0" applyProtection="0"/>
    <xf numFmtId="164" fontId="2" fillId="2" borderId="2">
      <alignment vertical="center" wrapText="1"/>
    </xf>
    <xf numFmtId="0" fontId="12" fillId="0" borderId="0" applyNumberFormat="0" applyFill="0" applyBorder="0" applyAlignment="0" applyProtection="0"/>
    <xf numFmtId="0" fontId="1" fillId="0" borderId="0"/>
    <xf numFmtId="165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1" fillId="0" borderId="0" applyFont="0" applyFill="0" applyBorder="0" applyAlignment="0" applyProtection="0"/>
    <xf numFmtId="0" fontId="18" fillId="0" borderId="0"/>
    <xf numFmtId="0" fontId="19" fillId="0" borderId="0"/>
    <xf numFmtId="166" fontId="20" fillId="0" borderId="13">
      <alignment vertical="center" wrapText="1"/>
    </xf>
    <xf numFmtId="167" fontId="21" fillId="0" borderId="13">
      <alignment vertical="center" wrapText="1"/>
    </xf>
    <xf numFmtId="0" fontId="21" fillId="0" borderId="0"/>
    <xf numFmtId="44" fontId="21" fillId="0" borderId="0" applyFont="0" applyFill="0" applyBorder="0" applyAlignment="0" applyProtection="0"/>
    <xf numFmtId="43" fontId="21" fillId="0" borderId="0" applyFont="0" applyFill="0" applyBorder="0" applyAlignment="0" applyProtection="0"/>
    <xf numFmtId="0" fontId="1" fillId="0" borderId="0"/>
    <xf numFmtId="0" fontId="1" fillId="0" borderId="0"/>
    <xf numFmtId="0" fontId="29" fillId="0" borderId="0"/>
    <xf numFmtId="164" fontId="18" fillId="0" borderId="0" applyFon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0" fontId="18" fillId="0" borderId="0"/>
    <xf numFmtId="0" fontId="1" fillId="0" borderId="0"/>
    <xf numFmtId="9" fontId="21" fillId="0" borderId="0" applyFont="0" applyFill="0" applyBorder="0" applyAlignment="0" applyProtection="0"/>
    <xf numFmtId="165" fontId="6" fillId="0" borderId="0" applyFont="0" applyFill="0" applyBorder="0" applyAlignment="0" applyProtection="0"/>
    <xf numFmtId="164" fontId="20" fillId="21" borderId="13">
      <alignment vertical="center" wrapText="1"/>
    </xf>
    <xf numFmtId="164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0" fontId="30" fillId="32" borderId="0" applyNumberFormat="0" applyBorder="0" applyAlignment="0" applyProtection="0"/>
    <xf numFmtId="0" fontId="31" fillId="0" borderId="0" applyNumberFormat="0" applyFill="0" applyBorder="0" applyAlignment="0" applyProtection="0">
      <alignment vertical="top"/>
      <protection locked="0"/>
    </xf>
    <xf numFmtId="201" fontId="6" fillId="0" borderId="0" applyFont="0" applyFill="0" applyBorder="0" applyAlignment="0" applyProtection="0"/>
    <xf numFmtId="165" fontId="18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165" fontId="6" fillId="0" borderId="0" applyFont="0" applyFill="0" applyBorder="0" applyAlignment="0" applyProtection="0"/>
    <xf numFmtId="202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1" fillId="0" borderId="0" applyFont="0" applyFill="0" applyBorder="0" applyAlignment="0" applyProtection="0"/>
    <xf numFmtId="7" fontId="6" fillId="0" borderId="0" applyFont="0" applyFill="0" applyBorder="0" applyAlignment="0" applyProtection="0"/>
    <xf numFmtId="202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4" fillId="0" borderId="0" applyFont="0" applyFill="0" applyBorder="0" applyAlignment="0" applyProtection="0"/>
    <xf numFmtId="164" fontId="6" fillId="0" borderId="0" applyFont="0" applyFill="0" applyBorder="0" applyAlignment="0" applyProtection="0"/>
    <xf numFmtId="4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18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18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164" fontId="6" fillId="0" borderId="0" applyFont="0" applyFill="0" applyBorder="0" applyAlignment="0" applyProtection="0"/>
    <xf numFmtId="164" fontId="1" fillId="0" borderId="0" applyFont="0" applyFill="0" applyBorder="0" applyAlignment="0" applyProtection="0"/>
    <xf numFmtId="0" fontId="32" fillId="0" borderId="0"/>
    <xf numFmtId="0" fontId="4" fillId="0" borderId="0"/>
    <xf numFmtId="0" fontId="32" fillId="0" borderId="0"/>
    <xf numFmtId="0" fontId="4" fillId="0" borderId="0"/>
    <xf numFmtId="0" fontId="4" fillId="0" borderId="0"/>
    <xf numFmtId="0" fontId="4" fillId="0" borderId="0"/>
    <xf numFmtId="0" fontId="32" fillId="0" borderId="0"/>
    <xf numFmtId="0" fontId="1" fillId="0" borderId="0"/>
    <xf numFmtId="0" fontId="32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8" fillId="0" borderId="0"/>
    <xf numFmtId="0" fontId="18" fillId="0" borderId="0"/>
    <xf numFmtId="0" fontId="18" fillId="0" borderId="0"/>
    <xf numFmtId="0" fontId="18" fillId="0" borderId="0"/>
    <xf numFmtId="0" fontId="1" fillId="0" borderId="0"/>
    <xf numFmtId="0" fontId="1" fillId="0" borderId="0"/>
    <xf numFmtId="183" fontId="20" fillId="0" borderId="13">
      <alignment vertical="center" wrapText="1"/>
    </xf>
    <xf numFmtId="179" fontId="20" fillId="0" borderId="13">
      <alignment vertical="center" wrapText="1"/>
    </xf>
    <xf numFmtId="203" fontId="20" fillId="0" borderId="13">
      <alignment vertical="center" wrapText="1"/>
    </xf>
    <xf numFmtId="204" fontId="20" fillId="0" borderId="13">
      <alignment vertical="center" wrapText="1"/>
    </xf>
    <xf numFmtId="0" fontId="36" fillId="0" borderId="0"/>
    <xf numFmtId="215" fontId="36" fillId="0" borderId="104">
      <alignment vertical="center" wrapText="1"/>
    </xf>
    <xf numFmtId="43" fontId="36" fillId="0" borderId="0" applyFont="0" applyFill="0" applyBorder="0" applyAlignment="0" applyProtection="0"/>
    <xf numFmtId="0" fontId="37" fillId="0" borderId="0" applyBorder="0" applyProtection="0"/>
    <xf numFmtId="43" fontId="1" fillId="0" borderId="0" applyFont="0" applyFill="0" applyBorder="0" applyAlignment="0" applyProtection="0"/>
    <xf numFmtId="0" fontId="18" fillId="0" borderId="0"/>
    <xf numFmtId="165" fontId="6" fillId="0" borderId="0" applyFont="0" applyFill="0" applyBorder="0" applyAlignment="0" applyProtection="0"/>
    <xf numFmtId="0" fontId="1" fillId="0" borderId="0"/>
    <xf numFmtId="0" fontId="1" fillId="0" borderId="0"/>
  </cellStyleXfs>
  <cellXfs count="1651">
    <xf numFmtId="0" fontId="0" fillId="0" borderId="0" xfId="0"/>
    <xf numFmtId="0" fontId="4" fillId="0" borderId="0" xfId="2"/>
    <xf numFmtId="164" fontId="4" fillId="0" borderId="0" xfId="2" applyNumberFormat="1"/>
    <xf numFmtId="164" fontId="5" fillId="4" borderId="1" xfId="3" applyFont="1" applyFill="1" applyBorder="1"/>
    <xf numFmtId="0" fontId="5" fillId="4" borderId="0" xfId="2" applyFont="1" applyFill="1"/>
    <xf numFmtId="164" fontId="6" fillId="5" borderId="0" xfId="4" applyFont="1" applyFill="1"/>
    <xf numFmtId="0" fontId="4" fillId="5" borderId="0" xfId="2" applyFill="1"/>
    <xf numFmtId="164" fontId="6" fillId="6" borderId="0" xfId="4" applyFont="1" applyFill="1"/>
    <xf numFmtId="0" fontId="4" fillId="6" borderId="0" xfId="2" applyFill="1"/>
    <xf numFmtId="164" fontId="6" fillId="7" borderId="0" xfId="4" applyFont="1" applyFill="1"/>
    <xf numFmtId="0" fontId="4" fillId="7" borderId="0" xfId="2" applyFill="1"/>
    <xf numFmtId="164" fontId="6" fillId="8" borderId="0" xfId="4" applyFont="1" applyFill="1"/>
    <xf numFmtId="0" fontId="4" fillId="8" borderId="0" xfId="2" applyFill="1"/>
    <xf numFmtId="164" fontId="6" fillId="9" borderId="0" xfId="4" applyFont="1" applyFill="1"/>
    <xf numFmtId="0" fontId="4" fillId="9" borderId="0" xfId="2" applyFill="1"/>
    <xf numFmtId="164" fontId="6" fillId="10" borderId="0" xfId="4" applyFont="1" applyFill="1"/>
    <xf numFmtId="0" fontId="4" fillId="10" borderId="0" xfId="2" applyFill="1"/>
    <xf numFmtId="164" fontId="6" fillId="11" borderId="0" xfId="4" applyFont="1" applyFill="1"/>
    <xf numFmtId="0" fontId="4" fillId="11" borderId="0" xfId="2" applyFill="1"/>
    <xf numFmtId="164" fontId="6" fillId="12" borderId="0" xfId="3" applyFont="1" applyFill="1" applyBorder="1"/>
    <xf numFmtId="0" fontId="4" fillId="12" borderId="0" xfId="2" applyFill="1" applyBorder="1"/>
    <xf numFmtId="0" fontId="7" fillId="0" borderId="0" xfId="2" applyFont="1" applyAlignment="1">
      <alignment horizontal="center" wrapText="1"/>
    </xf>
    <xf numFmtId="0" fontId="7" fillId="0" borderId="0" xfId="2" applyFont="1" applyAlignment="1">
      <alignment horizontal="center"/>
    </xf>
    <xf numFmtId="0" fontId="8" fillId="0" borderId="0" xfId="2" applyFont="1" applyAlignment="1">
      <alignment horizontal="right"/>
    </xf>
    <xf numFmtId="0" fontId="4" fillId="0" borderId="0" xfId="2" applyAlignment="1">
      <alignment horizontal="right"/>
    </xf>
    <xf numFmtId="0" fontId="4" fillId="0" borderId="0" xfId="2" applyFont="1"/>
    <xf numFmtId="0" fontId="8" fillId="0" borderId="0" xfId="2" applyFont="1"/>
    <xf numFmtId="165" fontId="8" fillId="0" borderId="0" xfId="5" applyFont="1"/>
    <xf numFmtId="0" fontId="7" fillId="0" borderId="0" xfId="2" applyFont="1"/>
    <xf numFmtId="0" fontId="10" fillId="0" borderId="0" xfId="2" applyFont="1"/>
    <xf numFmtId="0" fontId="4" fillId="0" borderId="0" xfId="2" applyFont="1" applyProtection="1">
      <protection locked="0"/>
    </xf>
    <xf numFmtId="0" fontId="8" fillId="0" borderId="0" xfId="2" applyFont="1" applyProtection="1">
      <protection locked="0"/>
    </xf>
    <xf numFmtId="165" fontId="4" fillId="0" borderId="0" xfId="5" applyFont="1"/>
    <xf numFmtId="0" fontId="4" fillId="0" borderId="0" xfId="2" applyFont="1" applyFill="1"/>
    <xf numFmtId="0" fontId="11" fillId="0" borderId="3" xfId="2" applyFont="1" applyFill="1" applyBorder="1" applyAlignment="1">
      <alignment horizontal="center"/>
    </xf>
    <xf numFmtId="2" fontId="11" fillId="0" borderId="3" xfId="2" applyNumberFormat="1" applyFont="1" applyFill="1" applyBorder="1" applyAlignment="1">
      <alignment horizontal="right"/>
    </xf>
    <xf numFmtId="0" fontId="11" fillId="0" borderId="3" xfId="2" applyFont="1" applyFill="1" applyBorder="1" applyAlignment="1" applyProtection="1">
      <alignment horizontal="center"/>
      <protection locked="0"/>
    </xf>
    <xf numFmtId="165" fontId="11" fillId="0" borderId="3" xfId="5" applyFont="1" applyFill="1" applyBorder="1" applyProtection="1">
      <protection locked="0"/>
    </xf>
    <xf numFmtId="18" fontId="11" fillId="0" borderId="3" xfId="2" applyNumberFormat="1" applyFont="1" applyFill="1" applyBorder="1" applyAlignment="1" applyProtection="1">
      <protection locked="0"/>
    </xf>
    <xf numFmtId="0" fontId="11" fillId="0" borderId="3" xfId="2" applyFont="1" applyFill="1" applyBorder="1" applyAlignment="1">
      <alignment horizontal="left"/>
    </xf>
    <xf numFmtId="0" fontId="11" fillId="0" borderId="3" xfId="2" applyFont="1" applyFill="1" applyBorder="1" applyProtection="1">
      <protection locked="0"/>
    </xf>
    <xf numFmtId="0" fontId="11" fillId="13" borderId="4" xfId="2" applyFont="1" applyFill="1" applyBorder="1" applyAlignment="1">
      <alignment horizontal="center"/>
    </xf>
    <xf numFmtId="2" fontId="11" fillId="13" borderId="4" xfId="2" applyNumberFormat="1" applyFont="1" applyFill="1" applyBorder="1" applyAlignment="1">
      <alignment horizontal="right"/>
    </xf>
    <xf numFmtId="2" fontId="11" fillId="13" borderId="4" xfId="2" applyNumberFormat="1" applyFont="1" applyFill="1" applyBorder="1" applyAlignment="1" applyProtection="1">
      <alignment horizontal="center"/>
      <protection locked="0"/>
    </xf>
    <xf numFmtId="0" fontId="11" fillId="13" borderId="4" xfId="2" applyFont="1" applyFill="1" applyBorder="1" applyAlignment="1" applyProtection="1">
      <alignment horizontal="center"/>
      <protection locked="0"/>
    </xf>
    <xf numFmtId="165" fontId="11" fillId="13" borderId="4" xfId="5" applyFont="1" applyFill="1" applyBorder="1" applyProtection="1">
      <protection locked="0"/>
    </xf>
    <xf numFmtId="18" fontId="11" fillId="13" borderId="4" xfId="2" applyNumberFormat="1" applyFont="1" applyFill="1" applyBorder="1" applyAlignment="1" applyProtection="1">
      <protection locked="0"/>
    </xf>
    <xf numFmtId="0" fontId="12" fillId="13" borderId="4" xfId="7" applyFill="1" applyBorder="1" applyAlignment="1">
      <alignment horizontal="left"/>
    </xf>
    <xf numFmtId="0" fontId="11" fillId="13" borderId="4" xfId="2" applyFont="1" applyFill="1" applyBorder="1" applyAlignment="1">
      <alignment horizontal="left"/>
    </xf>
    <xf numFmtId="18" fontId="11" fillId="13" borderId="4" xfId="2" applyNumberFormat="1" applyFont="1" applyFill="1" applyBorder="1" applyAlignment="1" applyProtection="1">
      <alignment horizontal="right"/>
      <protection locked="0"/>
    </xf>
    <xf numFmtId="0" fontId="11" fillId="13" borderId="4" xfId="2" applyFont="1" applyFill="1" applyBorder="1" applyProtection="1">
      <protection locked="0"/>
    </xf>
    <xf numFmtId="0" fontId="11" fillId="14" borderId="4" xfId="2" applyFont="1" applyFill="1" applyBorder="1" applyAlignment="1">
      <alignment horizontal="center"/>
    </xf>
    <xf numFmtId="2" fontId="11" fillId="14" borderId="4" xfId="2" applyNumberFormat="1" applyFont="1" applyFill="1" applyBorder="1" applyAlignment="1">
      <alignment horizontal="right"/>
    </xf>
    <xf numFmtId="2" fontId="11" fillId="14" borderId="4" xfId="2" applyNumberFormat="1" applyFont="1" applyFill="1" applyBorder="1" applyAlignment="1" applyProtection="1">
      <alignment horizontal="center"/>
      <protection locked="0"/>
    </xf>
    <xf numFmtId="0" fontId="11" fillId="14" borderId="4" xfId="2" applyFont="1" applyFill="1" applyBorder="1" applyAlignment="1" applyProtection="1">
      <alignment horizontal="center"/>
      <protection locked="0"/>
    </xf>
    <xf numFmtId="165" fontId="11" fillId="14" borderId="4" xfId="5" applyFont="1" applyFill="1" applyBorder="1" applyProtection="1">
      <protection locked="0"/>
    </xf>
    <xf numFmtId="18" fontId="11" fillId="14" borderId="4" xfId="2" applyNumberFormat="1" applyFont="1" applyFill="1" applyBorder="1" applyAlignment="1" applyProtection="1">
      <protection locked="0"/>
    </xf>
    <xf numFmtId="0" fontId="12" fillId="14" borderId="4" xfId="7" applyFill="1" applyBorder="1" applyAlignment="1">
      <alignment horizontal="left"/>
    </xf>
    <xf numFmtId="0" fontId="11" fillId="14" borderId="4" xfId="2" applyFont="1" applyFill="1" applyBorder="1" applyAlignment="1">
      <alignment horizontal="left"/>
    </xf>
    <xf numFmtId="18" fontId="11" fillId="14" borderId="4" xfId="2" applyNumberFormat="1" applyFont="1" applyFill="1" applyBorder="1" applyAlignment="1" applyProtection="1">
      <alignment horizontal="left"/>
      <protection locked="0"/>
    </xf>
    <xf numFmtId="0" fontId="11" fillId="14" borderId="4" xfId="2" applyFont="1" applyFill="1" applyBorder="1" applyProtection="1">
      <protection locked="0"/>
    </xf>
    <xf numFmtId="37" fontId="11" fillId="13" borderId="4" xfId="2" applyNumberFormat="1" applyFont="1" applyFill="1" applyBorder="1" applyAlignment="1" applyProtection="1">
      <alignment horizontal="center"/>
      <protection locked="0"/>
    </xf>
    <xf numFmtId="11" fontId="11" fillId="13" borderId="4" xfId="2" applyNumberFormat="1" applyFont="1" applyFill="1" applyBorder="1" applyAlignment="1" applyProtection="1">
      <protection locked="0"/>
    </xf>
    <xf numFmtId="37" fontId="11" fillId="14" borderId="4" xfId="2" applyNumberFormat="1" applyFont="1" applyFill="1" applyBorder="1" applyAlignment="1" applyProtection="1">
      <alignment horizontal="center"/>
      <protection locked="0"/>
    </xf>
    <xf numFmtId="0" fontId="13" fillId="0" borderId="0" xfId="2" applyFont="1"/>
    <xf numFmtId="0" fontId="14" fillId="0" borderId="5" xfId="2" applyFont="1" applyBorder="1" applyAlignment="1">
      <alignment horizontal="center" wrapText="1"/>
    </xf>
    <xf numFmtId="2" fontId="14" fillId="0" borderId="5" xfId="2" applyNumberFormat="1" applyFont="1" applyBorder="1" applyAlignment="1">
      <alignment horizontal="center" wrapText="1"/>
    </xf>
    <xf numFmtId="165" fontId="14" fillId="0" borderId="5" xfId="5" applyFont="1" applyBorder="1" applyAlignment="1">
      <alignment horizontal="center" wrapText="1"/>
    </xf>
    <xf numFmtId="0" fontId="14" fillId="0" borderId="0" xfId="2" applyFont="1" applyAlignment="1">
      <alignment horizontal="center"/>
    </xf>
    <xf numFmtId="0" fontId="1" fillId="0" borderId="0" xfId="8" applyFill="1"/>
    <xf numFmtId="0" fontId="1" fillId="0" borderId="0" xfId="8" applyFont="1" applyFill="1"/>
    <xf numFmtId="0" fontId="1" fillId="0" borderId="0" xfId="8" applyFill="1" applyBorder="1"/>
    <xf numFmtId="0" fontId="1" fillId="0" borderId="0" xfId="8" applyFont="1" applyFill="1" applyBorder="1"/>
    <xf numFmtId="0" fontId="15" fillId="0" borderId="0" xfId="8" applyFont="1" applyFill="1" applyBorder="1"/>
    <xf numFmtId="0" fontId="1" fillId="0" borderId="0" xfId="8"/>
    <xf numFmtId="0" fontId="1" fillId="0" borderId="0" xfId="8" applyFont="1"/>
    <xf numFmtId="0" fontId="16" fillId="0" borderId="0" xfId="2" applyFont="1"/>
    <xf numFmtId="0" fontId="1" fillId="0" borderId="0" xfId="8" applyBorder="1"/>
    <xf numFmtId="0" fontId="1" fillId="15" borderId="6" xfId="8" quotePrefix="1" applyFont="1" applyFill="1" applyBorder="1"/>
    <xf numFmtId="0" fontId="17" fillId="16" borderId="7" xfId="8" applyFont="1" applyFill="1" applyBorder="1"/>
    <xf numFmtId="0" fontId="1" fillId="15" borderId="6" xfId="8" quotePrefix="1" applyFill="1" applyBorder="1" applyAlignment="1">
      <alignment horizontal="left"/>
    </xf>
    <xf numFmtId="0" fontId="17" fillId="16" borderId="8" xfId="8" applyFont="1" applyFill="1" applyBorder="1"/>
    <xf numFmtId="0" fontId="1" fillId="15" borderId="6" xfId="8" applyFill="1" applyBorder="1"/>
    <xf numFmtId="0" fontId="17" fillId="16" borderId="9" xfId="8" applyFont="1" applyFill="1" applyBorder="1"/>
    <xf numFmtId="2" fontId="1" fillId="17" borderId="10" xfId="8" quotePrefix="1" applyNumberFormat="1" applyFill="1" applyBorder="1" applyAlignment="1">
      <alignment horizontal="right"/>
    </xf>
    <xf numFmtId="0" fontId="15" fillId="18" borderId="0" xfId="8" applyFont="1" applyFill="1" applyBorder="1" applyAlignment="1"/>
    <xf numFmtId="0" fontId="17" fillId="18" borderId="0" xfId="8" applyFont="1" applyFill="1" applyBorder="1" applyAlignment="1"/>
    <xf numFmtId="0" fontId="1" fillId="15" borderId="11" xfId="8" applyFill="1" applyBorder="1"/>
    <xf numFmtId="0" fontId="17" fillId="16" borderId="12" xfId="8" applyFont="1" applyFill="1" applyBorder="1"/>
    <xf numFmtId="0" fontId="21" fillId="0" borderId="0" xfId="16"/>
    <xf numFmtId="0" fontId="21" fillId="0" borderId="14" xfId="16" applyBorder="1"/>
    <xf numFmtId="0" fontId="21" fillId="0" borderId="15" xfId="16" applyBorder="1"/>
    <xf numFmtId="0" fontId="21" fillId="0" borderId="16" xfId="16" applyBorder="1"/>
    <xf numFmtId="0" fontId="21" fillId="0" borderId="17" xfId="16" applyBorder="1"/>
    <xf numFmtId="0" fontId="21" fillId="0" borderId="0" xfId="16" applyBorder="1"/>
    <xf numFmtId="0" fontId="22" fillId="0" borderId="0" xfId="16" applyFont="1" applyBorder="1"/>
    <xf numFmtId="168" fontId="22" fillId="19" borderId="18" xfId="16" applyNumberFormat="1" applyFont="1" applyFill="1" applyBorder="1"/>
    <xf numFmtId="0" fontId="22" fillId="19" borderId="18" xfId="16" applyFont="1" applyFill="1" applyBorder="1" applyAlignment="1">
      <alignment horizontal="right"/>
    </xf>
    <xf numFmtId="0" fontId="22" fillId="0" borderId="19" xfId="16" applyFont="1" applyBorder="1"/>
    <xf numFmtId="0" fontId="21" fillId="0" borderId="0" xfId="16" applyFont="1" applyBorder="1"/>
    <xf numFmtId="168" fontId="23" fillId="0" borderId="18" xfId="15" applyNumberFormat="1" applyFont="1" applyBorder="1" applyAlignment="1" applyProtection="1"/>
    <xf numFmtId="0" fontId="24" fillId="0" borderId="20" xfId="16" applyFont="1" applyFill="1" applyBorder="1" applyAlignment="1">
      <alignment horizontal="right" vertical="center" wrapText="1" indent="1"/>
    </xf>
    <xf numFmtId="0" fontId="24" fillId="0" borderId="20" xfId="16" applyFont="1" applyFill="1" applyBorder="1" applyAlignment="1">
      <alignment horizontal="left" vertical="center" wrapText="1" indent="1"/>
    </xf>
    <xf numFmtId="169" fontId="24" fillId="0" borderId="20" xfId="17" applyNumberFormat="1" applyFont="1" applyFill="1" applyBorder="1" applyAlignment="1">
      <alignment horizontal="center" vertical="center" wrapText="1"/>
    </xf>
    <xf numFmtId="0" fontId="24" fillId="0" borderId="20" xfId="16" applyFont="1" applyFill="1" applyBorder="1" applyAlignment="1">
      <alignment horizontal="left" vertical="center" wrapText="1"/>
    </xf>
    <xf numFmtId="0" fontId="24" fillId="0" borderId="20" xfId="16" applyFont="1" applyFill="1" applyBorder="1" applyAlignment="1">
      <alignment vertical="center" wrapText="1"/>
    </xf>
    <xf numFmtId="0" fontId="22" fillId="19" borderId="18" xfId="16" applyFont="1" applyFill="1" applyBorder="1"/>
    <xf numFmtId="0" fontId="21" fillId="0" borderId="19" xfId="16" applyBorder="1"/>
    <xf numFmtId="37" fontId="24" fillId="0" borderId="20" xfId="17" applyNumberFormat="1" applyFont="1" applyFill="1" applyBorder="1" applyAlignment="1">
      <alignment horizontal="right" wrapText="1" indent="1"/>
    </xf>
    <xf numFmtId="0" fontId="24" fillId="0" borderId="20" xfId="16" applyNumberFormat="1" applyFont="1" applyFill="1" applyBorder="1" applyAlignment="1">
      <alignment horizontal="left" wrapText="1" indent="1"/>
    </xf>
    <xf numFmtId="0" fontId="24" fillId="0" borderId="20" xfId="16" applyFont="1" applyFill="1" applyBorder="1" applyAlignment="1">
      <alignment horizontal="right" wrapText="1" indent="1"/>
    </xf>
    <xf numFmtId="39" fontId="24" fillId="0" borderId="20" xfId="17" applyNumberFormat="1" applyFont="1" applyFill="1" applyBorder="1" applyAlignment="1">
      <alignment horizontal="left" wrapText="1" indent="1"/>
    </xf>
    <xf numFmtId="169" fontId="24" fillId="0" borderId="20" xfId="16" applyNumberFormat="1" applyFont="1" applyFill="1" applyBorder="1" applyAlignment="1">
      <alignment horizontal="center" wrapText="1"/>
    </xf>
    <xf numFmtId="0" fontId="24" fillId="0" borderId="20" xfId="16" applyFont="1" applyFill="1" applyBorder="1" applyAlignment="1" applyProtection="1">
      <alignment horizontal="left" wrapText="1"/>
    </xf>
    <xf numFmtId="0" fontId="24" fillId="0" borderId="20" xfId="16" applyFont="1" applyFill="1" applyBorder="1" applyAlignment="1">
      <alignment wrapText="1"/>
    </xf>
    <xf numFmtId="0" fontId="24" fillId="0" borderId="20" xfId="16" applyFont="1" applyFill="1" applyBorder="1"/>
    <xf numFmtId="0" fontId="24" fillId="0" borderId="20" xfId="16" applyFont="1" applyFill="1" applyBorder="1" applyAlignment="1">
      <alignment horizontal="left" wrapText="1" indent="1"/>
    </xf>
    <xf numFmtId="169" fontId="24" fillId="0" borderId="20" xfId="17" applyNumberFormat="1" applyFont="1" applyFill="1" applyBorder="1" applyAlignment="1">
      <alignment horizontal="center" wrapText="1"/>
    </xf>
    <xf numFmtId="0" fontId="24" fillId="0" borderId="20" xfId="16" applyNumberFormat="1" applyFont="1" applyFill="1" applyBorder="1" applyAlignment="1">
      <alignment horizontal="left" wrapText="1"/>
    </xf>
    <xf numFmtId="0" fontId="21" fillId="0" borderId="20" xfId="16" applyBorder="1"/>
    <xf numFmtId="0" fontId="21" fillId="0" borderId="17" xfId="16" applyBorder="1" applyAlignment="1">
      <alignment wrapText="1"/>
    </xf>
    <xf numFmtId="2" fontId="24" fillId="0" borderId="20" xfId="18" applyNumberFormat="1" applyFont="1" applyFill="1" applyBorder="1" applyAlignment="1">
      <alignment horizontal="right" wrapText="1" indent="1"/>
    </xf>
    <xf numFmtId="43" fontId="24" fillId="0" borderId="20" xfId="18" applyFont="1" applyFill="1" applyBorder="1" applyAlignment="1">
      <alignment horizontal="center" wrapText="1"/>
    </xf>
    <xf numFmtId="170" fontId="24" fillId="0" borderId="20" xfId="18" applyNumberFormat="1" applyFont="1" applyFill="1" applyBorder="1" applyAlignment="1">
      <alignment horizontal="center" wrapText="1"/>
    </xf>
    <xf numFmtId="11" fontId="24" fillId="0" borderId="20" xfId="16" applyNumberFormat="1" applyFont="1" applyFill="1" applyBorder="1" applyAlignment="1">
      <alignment horizontal="center" wrapText="1"/>
    </xf>
    <xf numFmtId="43" fontId="24" fillId="0" borderId="20" xfId="18" applyFont="1" applyFill="1" applyBorder="1" applyAlignment="1">
      <alignment horizontal="left" wrapText="1" indent="1"/>
    </xf>
    <xf numFmtId="0" fontId="24" fillId="0" borderId="20" xfId="16" applyFont="1" applyFill="1" applyBorder="1" applyAlignment="1">
      <alignment horizontal="left" wrapText="1"/>
    </xf>
    <xf numFmtId="37" fontId="23" fillId="0" borderId="18" xfId="16" applyNumberFormat="1" applyFont="1" applyBorder="1"/>
    <xf numFmtId="0" fontId="12" fillId="0" borderId="18" xfId="7" applyBorder="1"/>
    <xf numFmtId="0" fontId="23" fillId="0" borderId="18" xfId="16" applyFont="1" applyBorder="1"/>
    <xf numFmtId="0" fontId="21" fillId="0" borderId="17" xfId="16" applyFont="1" applyBorder="1"/>
    <xf numFmtId="0" fontId="23" fillId="0" borderId="17" xfId="15" applyNumberFormat="1" applyFont="1" applyBorder="1" applyAlignment="1"/>
    <xf numFmtId="0" fontId="12" fillId="0" borderId="18" xfId="7" applyNumberFormat="1" applyBorder="1" applyAlignment="1" applyProtection="1"/>
    <xf numFmtId="0" fontId="23" fillId="0" borderId="0" xfId="16" applyFont="1" applyBorder="1"/>
    <xf numFmtId="0" fontId="22" fillId="19" borderId="0" xfId="16" applyFont="1" applyFill="1" applyBorder="1"/>
    <xf numFmtId="0" fontId="23" fillId="0" borderId="0" xfId="16" applyFont="1" applyBorder="1" applyAlignment="1">
      <alignment horizontal="left"/>
    </xf>
    <xf numFmtId="37" fontId="23" fillId="0" borderId="18" xfId="15" applyNumberFormat="1" applyFont="1" applyBorder="1" applyAlignment="1" applyProtection="1"/>
    <xf numFmtId="43" fontId="23" fillId="0" borderId="18" xfId="15" applyNumberFormat="1" applyFont="1" applyBorder="1" applyAlignment="1" applyProtection="1"/>
    <xf numFmtId="0" fontId="23" fillId="0" borderId="18" xfId="16" applyFont="1" applyBorder="1" applyAlignment="1">
      <alignment horizontal="right"/>
    </xf>
    <xf numFmtId="0" fontId="21" fillId="0" borderId="21" xfId="16" applyBorder="1"/>
    <xf numFmtId="0" fontId="21" fillId="0" borderId="22" xfId="16" applyBorder="1"/>
    <xf numFmtId="0" fontId="21" fillId="0" borderId="23" xfId="16" applyBorder="1"/>
    <xf numFmtId="0" fontId="21" fillId="0" borderId="0" xfId="16" applyBorder="1" applyAlignment="1">
      <alignment wrapText="1"/>
    </xf>
    <xf numFmtId="0" fontId="21" fillId="0" borderId="17" xfId="16" applyBorder="1" applyAlignment="1"/>
    <xf numFmtId="171" fontId="24" fillId="0" borderId="20" xfId="18" applyNumberFormat="1" applyFont="1" applyFill="1" applyBorder="1" applyAlignment="1"/>
    <xf numFmtId="0" fontId="21" fillId="0" borderId="20" xfId="16" applyBorder="1" applyAlignment="1"/>
    <xf numFmtId="172" fontId="24" fillId="0" borderId="20" xfId="9" applyNumberFormat="1" applyFont="1" applyFill="1" applyBorder="1" applyAlignment="1"/>
    <xf numFmtId="11" fontId="24" fillId="0" borderId="20" xfId="9" applyNumberFormat="1" applyFont="1" applyFill="1" applyBorder="1" applyAlignment="1"/>
    <xf numFmtId="11" fontId="24" fillId="0" borderId="20" xfId="16" applyNumberFormat="1" applyFont="1" applyFill="1" applyBorder="1" applyAlignment="1"/>
    <xf numFmtId="165" fontId="24" fillId="0" borderId="20" xfId="9" applyFont="1" applyFill="1" applyBorder="1" applyAlignment="1"/>
    <xf numFmtId="0" fontId="24" fillId="0" borderId="20" xfId="16" applyFont="1" applyFill="1" applyBorder="1" applyAlignment="1"/>
    <xf numFmtId="171" fontId="24" fillId="0" borderId="20" xfId="18" applyNumberFormat="1" applyFont="1" applyFill="1" applyBorder="1"/>
    <xf numFmtId="165" fontId="24" fillId="0" borderId="20" xfId="9" applyFont="1" applyFill="1" applyBorder="1"/>
    <xf numFmtId="173" fontId="24" fillId="0" borderId="20" xfId="9" applyNumberFormat="1" applyFont="1" applyFill="1" applyBorder="1"/>
    <xf numFmtId="11" fontId="24" fillId="0" borderId="20" xfId="16" applyNumberFormat="1" applyFont="1" applyFill="1" applyBorder="1"/>
    <xf numFmtId="164" fontId="24" fillId="0" borderId="20" xfId="10" applyFont="1" applyFill="1" applyBorder="1"/>
    <xf numFmtId="37" fontId="24" fillId="0" borderId="20" xfId="4" applyNumberFormat="1" applyFont="1" applyFill="1" applyBorder="1" applyAlignment="1"/>
    <xf numFmtId="0" fontId="24" fillId="0" borderId="20" xfId="16" applyFont="1" applyFill="1" applyBorder="1" applyAlignment="1">
      <alignment horizontal="right" wrapText="1"/>
    </xf>
    <xf numFmtId="39" fontId="24" fillId="0" borderId="20" xfId="4" applyNumberFormat="1" applyFont="1" applyFill="1" applyBorder="1" applyAlignment="1">
      <alignment wrapText="1"/>
    </xf>
    <xf numFmtId="166" fontId="24" fillId="0" borderId="20" xfId="14" applyFont="1" applyBorder="1" applyAlignment="1">
      <alignment horizontal="left" wrapText="1"/>
    </xf>
    <xf numFmtId="39" fontId="24" fillId="0" borderId="20" xfId="4" applyNumberFormat="1" applyFont="1" applyFill="1" applyBorder="1" applyAlignment="1"/>
    <xf numFmtId="0" fontId="24" fillId="0" borderId="20" xfId="16" applyNumberFormat="1" applyFont="1" applyFill="1" applyBorder="1" applyAlignment="1">
      <alignment horizontal="left" vertical="center" wrapText="1"/>
    </xf>
    <xf numFmtId="0" fontId="24" fillId="0" borderId="20" xfId="13" applyFont="1" applyFill="1" applyBorder="1" applyAlignment="1">
      <alignment horizontal="left" wrapText="1"/>
    </xf>
    <xf numFmtId="0" fontId="24" fillId="0" borderId="20" xfId="16" applyFont="1" applyBorder="1"/>
    <xf numFmtId="0" fontId="24" fillId="0" borderId="24" xfId="13" applyFont="1" applyFill="1" applyBorder="1" applyAlignment="1">
      <alignment horizontal="left" wrapText="1"/>
    </xf>
    <xf numFmtId="165" fontId="24" fillId="0" borderId="20" xfId="9" applyNumberFormat="1" applyFont="1" applyFill="1" applyBorder="1"/>
    <xf numFmtId="11" fontId="24" fillId="0" borderId="20" xfId="9" applyNumberFormat="1" applyFont="1" applyFill="1" applyBorder="1"/>
    <xf numFmtId="170" fontId="24" fillId="0" borderId="20" xfId="9" applyNumberFormat="1" applyFont="1" applyFill="1" applyBorder="1"/>
    <xf numFmtId="2" fontId="24" fillId="0" borderId="20" xfId="10" applyNumberFormat="1" applyFont="1" applyFill="1" applyBorder="1"/>
    <xf numFmtId="2" fontId="24" fillId="0" borderId="20" xfId="9" applyNumberFormat="1" applyFont="1" applyFill="1" applyBorder="1" applyAlignment="1"/>
    <xf numFmtId="0" fontId="24" fillId="0" borderId="0" xfId="16" applyFont="1" applyFill="1" applyBorder="1" applyAlignment="1" applyProtection="1">
      <alignment horizontal="left" wrapText="1"/>
    </xf>
    <xf numFmtId="0" fontId="12" fillId="0" borderId="18" xfId="7" applyNumberFormat="1" applyBorder="1" applyAlignment="1" applyProtection="1">
      <alignment wrapText="1"/>
    </xf>
    <xf numFmtId="37" fontId="24" fillId="0" borderId="20" xfId="4" applyNumberFormat="1" applyFont="1" applyFill="1" applyBorder="1"/>
    <xf numFmtId="0" fontId="24" fillId="0" borderId="20" xfId="16" applyNumberFormat="1" applyFont="1" applyFill="1" applyBorder="1"/>
    <xf numFmtId="39" fontId="24" fillId="0" borderId="20" xfId="4" applyNumberFormat="1" applyFont="1" applyFill="1" applyBorder="1"/>
    <xf numFmtId="169" fontId="24" fillId="0" borderId="20" xfId="16" applyNumberFormat="1" applyFont="1" applyFill="1" applyBorder="1"/>
    <xf numFmtId="37" fontId="24" fillId="0" borderId="20" xfId="4" applyNumberFormat="1" applyFont="1" applyFill="1" applyBorder="1" applyAlignment="1">
      <alignment wrapText="1"/>
    </xf>
    <xf numFmtId="0" fontId="24" fillId="0" borderId="20" xfId="16" applyNumberFormat="1" applyFont="1" applyFill="1" applyBorder="1" applyAlignment="1">
      <alignment wrapText="1"/>
    </xf>
    <xf numFmtId="169" fontId="24" fillId="0" borderId="20" xfId="16" applyNumberFormat="1" applyFont="1" applyFill="1" applyBorder="1" applyAlignment="1">
      <alignment wrapText="1"/>
    </xf>
    <xf numFmtId="0" fontId="24" fillId="0" borderId="20" xfId="16" applyFont="1" applyFill="1" applyBorder="1" applyAlignment="1" applyProtection="1">
      <alignment wrapText="1"/>
    </xf>
    <xf numFmtId="0" fontId="24" fillId="0" borderId="20" xfId="12" applyFont="1" applyFill="1" applyBorder="1" applyAlignment="1" applyProtection="1">
      <alignment vertical="center" wrapText="1"/>
    </xf>
    <xf numFmtId="0" fontId="22" fillId="19" borderId="25" xfId="16" applyFont="1" applyFill="1" applyBorder="1"/>
    <xf numFmtId="168" fontId="23" fillId="0" borderId="26" xfId="15" applyNumberFormat="1" applyFont="1" applyBorder="1" applyAlignment="1" applyProtection="1"/>
    <xf numFmtId="1" fontId="24" fillId="0" borderId="20" xfId="9" applyNumberFormat="1" applyFont="1" applyFill="1" applyBorder="1" applyAlignment="1"/>
    <xf numFmtId="3" fontId="21" fillId="0" borderId="20" xfId="16" applyNumberFormat="1" applyBorder="1" applyAlignment="1"/>
    <xf numFmtId="164" fontId="24" fillId="0" borderId="20" xfId="4" applyFont="1" applyFill="1" applyBorder="1" applyAlignment="1"/>
    <xf numFmtId="1" fontId="24" fillId="0" borderId="20" xfId="9" applyNumberFormat="1" applyFont="1" applyFill="1" applyBorder="1" applyAlignment="1">
      <alignment wrapText="1"/>
    </xf>
    <xf numFmtId="3" fontId="21" fillId="0" borderId="20" xfId="16" applyNumberFormat="1" applyBorder="1" applyAlignment="1">
      <alignment wrapText="1"/>
    </xf>
    <xf numFmtId="172" fontId="24" fillId="0" borderId="20" xfId="9" applyNumberFormat="1" applyFont="1" applyFill="1" applyBorder="1" applyAlignment="1">
      <alignment wrapText="1"/>
    </xf>
    <xf numFmtId="11" fontId="24" fillId="0" borderId="20" xfId="9" applyNumberFormat="1" applyFont="1" applyFill="1" applyBorder="1" applyAlignment="1">
      <alignment wrapText="1"/>
    </xf>
    <xf numFmtId="11" fontId="24" fillId="0" borderId="20" xfId="16" applyNumberFormat="1" applyFont="1" applyFill="1" applyBorder="1" applyAlignment="1">
      <alignment wrapText="1"/>
    </xf>
    <xf numFmtId="165" fontId="24" fillId="0" borderId="20" xfId="9" applyFont="1" applyFill="1" applyBorder="1" applyAlignment="1">
      <alignment wrapText="1"/>
    </xf>
    <xf numFmtId="164" fontId="24" fillId="0" borderId="20" xfId="4" applyFont="1" applyFill="1" applyBorder="1" applyAlignment="1">
      <alignment wrapText="1"/>
    </xf>
    <xf numFmtId="172" fontId="24" fillId="0" borderId="20" xfId="9" applyNumberFormat="1" applyFont="1" applyFill="1" applyBorder="1"/>
    <xf numFmtId="0" fontId="24" fillId="0" borderId="0" xfId="16" applyFont="1" applyFill="1" applyBorder="1"/>
    <xf numFmtId="37" fontId="24" fillId="0" borderId="20" xfId="10" applyNumberFormat="1" applyFont="1" applyFill="1" applyBorder="1"/>
    <xf numFmtId="39" fontId="24" fillId="0" borderId="20" xfId="10" applyNumberFormat="1" applyFont="1" applyFill="1" applyBorder="1"/>
    <xf numFmtId="164" fontId="24" fillId="0" borderId="20" xfId="4" applyFont="1" applyFill="1" applyBorder="1"/>
    <xf numFmtId="0" fontId="24" fillId="0" borderId="20" xfId="13" applyFont="1" applyFill="1" applyBorder="1" applyAlignment="1">
      <alignment wrapText="1"/>
    </xf>
    <xf numFmtId="174" fontId="24" fillId="0" borderId="20" xfId="9" applyNumberFormat="1" applyFont="1" applyFill="1" applyBorder="1"/>
    <xf numFmtId="175" fontId="23" fillId="0" borderId="18" xfId="15" applyNumberFormat="1" applyFont="1" applyBorder="1" applyAlignment="1" applyProtection="1"/>
    <xf numFmtId="173" fontId="23" fillId="0" borderId="18" xfId="15" applyNumberFormat="1" applyFont="1" applyBorder="1" applyAlignment="1" applyProtection="1"/>
    <xf numFmtId="11" fontId="23" fillId="0" borderId="18" xfId="16" applyNumberFormat="1" applyFont="1" applyBorder="1"/>
    <xf numFmtId="0" fontId="24" fillId="0" borderId="0" xfId="16" applyFont="1" applyFill="1" applyBorder="1" applyAlignment="1" applyProtection="1">
      <alignment vertical="center" wrapText="1"/>
    </xf>
    <xf numFmtId="0" fontId="25" fillId="0" borderId="20" xfId="16" applyFont="1" applyFill="1" applyBorder="1"/>
    <xf numFmtId="170" fontId="24" fillId="0" borderId="20" xfId="9" applyNumberFormat="1" applyFont="1" applyFill="1" applyBorder="1" applyAlignment="1"/>
    <xf numFmtId="2" fontId="23" fillId="0" borderId="18" xfId="15" applyNumberFormat="1" applyFont="1" applyBorder="1" applyAlignment="1" applyProtection="1">
      <alignment horizontal="center"/>
    </xf>
    <xf numFmtId="168" fontId="23" fillId="0" borderId="25" xfId="15" applyNumberFormat="1" applyFont="1" applyBorder="1" applyAlignment="1" applyProtection="1"/>
    <xf numFmtId="37" fontId="24" fillId="0" borderId="27" xfId="4" applyNumberFormat="1" applyFont="1" applyFill="1" applyBorder="1"/>
    <xf numFmtId="0" fontId="24" fillId="0" borderId="27" xfId="12" applyFont="1" applyFill="1" applyBorder="1" applyAlignment="1" applyProtection="1">
      <alignment vertical="center" wrapText="1"/>
    </xf>
    <xf numFmtId="169" fontId="24" fillId="0" borderId="27" xfId="16" applyNumberFormat="1" applyFont="1" applyFill="1" applyBorder="1"/>
    <xf numFmtId="0" fontId="24" fillId="0" borderId="27" xfId="16" applyFont="1" applyFill="1" applyBorder="1"/>
    <xf numFmtId="168" fontId="23" fillId="0" borderId="20" xfId="15" applyNumberFormat="1" applyFont="1" applyBorder="1" applyAlignment="1" applyProtection="1"/>
    <xf numFmtId="0" fontId="22" fillId="19" borderId="28" xfId="16" applyFont="1" applyFill="1" applyBorder="1"/>
    <xf numFmtId="0" fontId="21" fillId="0" borderId="0" xfId="16" applyFill="1"/>
    <xf numFmtId="0" fontId="21" fillId="0" borderId="17" xfId="16" applyFill="1" applyBorder="1" applyAlignment="1">
      <alignment wrapText="1"/>
    </xf>
    <xf numFmtId="0" fontId="22" fillId="0" borderId="0" xfId="16" applyFont="1" applyFill="1" applyBorder="1"/>
    <xf numFmtId="0" fontId="22" fillId="0" borderId="20" xfId="16" applyFont="1" applyFill="1" applyBorder="1"/>
    <xf numFmtId="0" fontId="23" fillId="0" borderId="26" xfId="16" applyFont="1" applyBorder="1"/>
    <xf numFmtId="0" fontId="12" fillId="0" borderId="20" xfId="7" applyNumberFormat="1" applyBorder="1" applyAlignment="1" applyProtection="1"/>
    <xf numFmtId="168" fontId="23" fillId="0" borderId="28" xfId="15" applyNumberFormat="1" applyFont="1" applyBorder="1" applyAlignment="1" applyProtection="1"/>
    <xf numFmtId="0" fontId="12" fillId="0" borderId="28" xfId="7" applyNumberFormat="1" applyBorder="1" applyAlignment="1" applyProtection="1"/>
    <xf numFmtId="0" fontId="23" fillId="0" borderId="28" xfId="16" applyFont="1" applyBorder="1"/>
    <xf numFmtId="164" fontId="24" fillId="0" borderId="20" xfId="10" applyNumberFormat="1" applyFont="1" applyFill="1" applyBorder="1"/>
    <xf numFmtId="0" fontId="22" fillId="19" borderId="25" xfId="16" applyFont="1" applyFill="1" applyBorder="1" applyAlignment="1">
      <alignment horizontal="right"/>
    </xf>
    <xf numFmtId="166" fontId="20" fillId="0" borderId="20" xfId="14" applyBorder="1">
      <alignment vertical="center" wrapText="1"/>
    </xf>
    <xf numFmtId="168" fontId="22" fillId="19" borderId="25" xfId="16" applyNumberFormat="1" applyFont="1" applyFill="1" applyBorder="1"/>
    <xf numFmtId="0" fontId="23" fillId="0" borderId="29" xfId="16" applyFont="1" applyBorder="1"/>
    <xf numFmtId="0" fontId="24" fillId="0" borderId="30" xfId="16" applyFont="1" applyFill="1" applyBorder="1"/>
    <xf numFmtId="0" fontId="23" fillId="0" borderId="31" xfId="16" applyFont="1" applyBorder="1"/>
    <xf numFmtId="0" fontId="24" fillId="0" borderId="30" xfId="16" applyFont="1" applyBorder="1"/>
    <xf numFmtId="164" fontId="24" fillId="0" borderId="30" xfId="4" applyFont="1" applyFill="1" applyBorder="1"/>
    <xf numFmtId="0" fontId="24" fillId="0" borderId="30" xfId="13" applyFont="1" applyFill="1" applyBorder="1" applyAlignment="1">
      <alignment wrapText="1"/>
    </xf>
    <xf numFmtId="168" fontId="23" fillId="0" borderId="32" xfId="15" applyNumberFormat="1" applyFont="1" applyBorder="1" applyAlignment="1" applyProtection="1"/>
    <xf numFmtId="0" fontId="23" fillId="0" borderId="33" xfId="16" applyFont="1" applyBorder="1"/>
    <xf numFmtId="0" fontId="24" fillId="0" borderId="20" xfId="16" applyFont="1" applyFill="1" applyBorder="1" applyAlignment="1">
      <alignment wrapText="1" shrinkToFit="1"/>
    </xf>
    <xf numFmtId="2" fontId="23" fillId="0" borderId="20" xfId="15" applyNumberFormat="1" applyFont="1" applyBorder="1" applyAlignment="1" applyProtection="1"/>
    <xf numFmtId="176" fontId="24" fillId="0" borderId="20" xfId="9" applyNumberFormat="1" applyFont="1" applyFill="1" applyBorder="1"/>
    <xf numFmtId="0" fontId="23" fillId="0" borderId="20" xfId="16" applyFont="1" applyBorder="1"/>
    <xf numFmtId="0" fontId="24" fillId="0" borderId="20" xfId="16" applyFont="1" applyBorder="1" applyAlignment="1"/>
    <xf numFmtId="171" fontId="23" fillId="0" borderId="18" xfId="18" applyNumberFormat="1" applyFont="1" applyBorder="1" applyAlignment="1" applyProtection="1">
      <alignment horizontal="right"/>
    </xf>
    <xf numFmtId="37" fontId="23" fillId="0" borderId="18" xfId="16" applyNumberFormat="1" applyFont="1" applyBorder="1" applyAlignment="1">
      <alignment horizontal="right"/>
    </xf>
    <xf numFmtId="0" fontId="24" fillId="0" borderId="20" xfId="16" applyFont="1" applyFill="1" applyBorder="1" applyAlignment="1" applyProtection="1">
      <alignment vertical="center" wrapText="1"/>
    </xf>
    <xf numFmtId="0" fontId="24" fillId="0" borderId="0" xfId="16" applyNumberFormat="1" applyFont="1" applyFill="1" applyBorder="1"/>
    <xf numFmtId="0" fontId="21" fillId="0" borderId="18" xfId="16" applyBorder="1"/>
    <xf numFmtId="0" fontId="21" fillId="0" borderId="0" xfId="16" applyAlignment="1">
      <alignment wrapText="1"/>
    </xf>
    <xf numFmtId="177" fontId="23" fillId="0" borderId="18" xfId="15" applyNumberFormat="1" applyFont="1" applyBorder="1" applyAlignment="1" applyProtection="1"/>
    <xf numFmtId="178" fontId="23" fillId="0" borderId="18" xfId="15" applyNumberFormat="1" applyFont="1" applyBorder="1" applyAlignment="1" applyProtection="1"/>
    <xf numFmtId="2" fontId="23" fillId="0" borderId="18" xfId="15" applyNumberFormat="1" applyFont="1" applyBorder="1" applyAlignment="1" applyProtection="1"/>
    <xf numFmtId="11" fontId="23" fillId="0" borderId="18" xfId="15" applyNumberFormat="1" applyFont="1" applyBorder="1" applyAlignment="1" applyProtection="1"/>
    <xf numFmtId="0" fontId="21" fillId="0" borderId="0" xfId="16" applyAlignment="1"/>
    <xf numFmtId="0" fontId="21" fillId="0" borderId="18" xfId="16" applyBorder="1" applyAlignment="1"/>
    <xf numFmtId="11" fontId="23" fillId="0" borderId="18" xfId="16" applyNumberFormat="1" applyFont="1" applyBorder="1" applyAlignment="1"/>
    <xf numFmtId="0" fontId="23" fillId="0" borderId="18" xfId="16" applyFont="1" applyBorder="1" applyAlignment="1"/>
    <xf numFmtId="0" fontId="21" fillId="0" borderId="0" xfId="16" applyFont="1"/>
    <xf numFmtId="168" fontId="22" fillId="20" borderId="27" xfId="16" applyNumberFormat="1" applyFont="1" applyFill="1" applyBorder="1"/>
    <xf numFmtId="0" fontId="22" fillId="20" borderId="27" xfId="16" applyFont="1" applyFill="1" applyBorder="1" applyAlignment="1">
      <alignment horizontal="right"/>
    </xf>
    <xf numFmtId="168" fontId="23" fillId="0" borderId="20" xfId="15" applyNumberFormat="1" applyFont="1" applyBorder="1" applyAlignment="1" applyProtection="1">
      <alignment wrapText="1"/>
    </xf>
    <xf numFmtId="0" fontId="24" fillId="0" borderId="20" xfId="16" applyFont="1" applyFill="1" applyBorder="1" applyAlignment="1">
      <alignment horizontal="center" wrapText="1"/>
    </xf>
    <xf numFmtId="179" fontId="24" fillId="0" borderId="20" xfId="16" applyNumberFormat="1" applyFont="1" applyFill="1" applyBorder="1" applyAlignment="1">
      <alignment horizontal="right" wrapText="1" indent="1"/>
    </xf>
    <xf numFmtId="0" fontId="22" fillId="20" borderId="20" xfId="16" applyFont="1" applyFill="1" applyBorder="1"/>
    <xf numFmtId="0" fontId="22" fillId="20" borderId="34" xfId="16" applyFont="1" applyFill="1" applyBorder="1"/>
    <xf numFmtId="1" fontId="24" fillId="0" borderId="20" xfId="9" applyNumberFormat="1" applyFont="1" applyFill="1" applyBorder="1"/>
    <xf numFmtId="0" fontId="22" fillId="20" borderId="27" xfId="16" applyFont="1" applyFill="1" applyBorder="1"/>
    <xf numFmtId="0" fontId="22" fillId="20" borderId="35" xfId="16" applyFont="1" applyFill="1" applyBorder="1"/>
    <xf numFmtId="0" fontId="22" fillId="0" borderId="36" xfId="16" applyFont="1" applyBorder="1"/>
    <xf numFmtId="0" fontId="22" fillId="0" borderId="37" xfId="16" applyFont="1" applyBorder="1"/>
    <xf numFmtId="0" fontId="22" fillId="20" borderId="18" xfId="16" applyFont="1" applyFill="1" applyBorder="1"/>
    <xf numFmtId="0" fontId="22" fillId="20" borderId="38" xfId="16" applyFont="1" applyFill="1" applyBorder="1"/>
    <xf numFmtId="49" fontId="23" fillId="0" borderId="0" xfId="16" applyNumberFormat="1" applyFont="1" applyBorder="1" applyAlignment="1">
      <alignment horizontal="left"/>
    </xf>
    <xf numFmtId="0" fontId="12" fillId="0" borderId="0" xfId="7" applyBorder="1"/>
    <xf numFmtId="0" fontId="22" fillId="20" borderId="18" xfId="16" applyFont="1" applyFill="1" applyBorder="1" applyAlignment="1">
      <alignment horizontal="left"/>
    </xf>
    <xf numFmtId="0" fontId="21" fillId="21" borderId="22" xfId="16" applyFill="1" applyBorder="1"/>
    <xf numFmtId="0" fontId="24" fillId="0" borderId="2" xfId="13" applyFont="1" applyFill="1" applyBorder="1" applyAlignment="1">
      <alignment wrapText="1"/>
    </xf>
    <xf numFmtId="0" fontId="22" fillId="20" borderId="4" xfId="16" applyFont="1" applyFill="1" applyBorder="1"/>
    <xf numFmtId="0" fontId="22" fillId="20" borderId="39" xfId="16" applyFont="1" applyFill="1" applyBorder="1"/>
    <xf numFmtId="168" fontId="23" fillId="0" borderId="4" xfId="15" applyNumberFormat="1" applyFont="1" applyBorder="1" applyAlignment="1" applyProtection="1"/>
    <xf numFmtId="180" fontId="24" fillId="0" borderId="4" xfId="9" applyNumberFormat="1" applyFont="1" applyFill="1" applyBorder="1"/>
    <xf numFmtId="165" fontId="24" fillId="0" borderId="4" xfId="9" applyFont="1" applyFill="1" applyBorder="1"/>
    <xf numFmtId="172" fontId="24" fillId="0" borderId="4" xfId="9" applyNumberFormat="1" applyFont="1" applyFill="1" applyBorder="1"/>
    <xf numFmtId="174" fontId="24" fillId="0" borderId="4" xfId="9" applyNumberFormat="1" applyFont="1" applyFill="1" applyBorder="1"/>
    <xf numFmtId="11" fontId="24" fillId="0" borderId="4" xfId="16" applyNumberFormat="1" applyFont="1" applyFill="1" applyBorder="1" applyAlignment="1">
      <alignment wrapText="1"/>
    </xf>
    <xf numFmtId="0" fontId="24" fillId="0" borderId="4" xfId="16" applyFont="1" applyFill="1" applyBorder="1"/>
    <xf numFmtId="164" fontId="24" fillId="0" borderId="4" xfId="10" applyFont="1" applyFill="1" applyBorder="1"/>
    <xf numFmtId="1" fontId="24" fillId="0" borderId="4" xfId="9" applyNumberFormat="1" applyFont="1" applyFill="1" applyBorder="1"/>
    <xf numFmtId="0" fontId="24" fillId="0" borderId="4" xfId="16" applyNumberFormat="1" applyFont="1" applyFill="1" applyBorder="1"/>
    <xf numFmtId="0" fontId="23" fillId="0" borderId="39" xfId="16" applyFont="1" applyBorder="1"/>
    <xf numFmtId="0" fontId="24" fillId="0" borderId="4" xfId="16" applyFont="1" applyFill="1" applyBorder="1" applyAlignment="1">
      <alignment horizontal="center" wrapText="1"/>
    </xf>
    <xf numFmtId="0" fontId="24" fillId="0" borderId="4" xfId="16" applyFont="1" applyFill="1" applyBorder="1" applyAlignment="1">
      <alignment horizontal="right" wrapText="1" indent="1"/>
    </xf>
    <xf numFmtId="0" fontId="24" fillId="0" borderId="4" xfId="16" applyFont="1" applyFill="1" applyBorder="1" applyAlignment="1">
      <alignment horizontal="left" wrapText="1" indent="1"/>
    </xf>
    <xf numFmtId="169" fontId="24" fillId="0" borderId="4" xfId="17" applyNumberFormat="1" applyFont="1" applyFill="1" applyBorder="1" applyAlignment="1">
      <alignment horizontal="center" wrapText="1"/>
    </xf>
    <xf numFmtId="0" fontId="24" fillId="0" borderId="4" xfId="16" applyNumberFormat="1" applyFont="1" applyFill="1" applyBorder="1" applyAlignment="1">
      <alignment horizontal="left" wrapText="1"/>
    </xf>
    <xf numFmtId="0" fontId="24" fillId="0" borderId="4" xfId="16" applyFont="1" applyFill="1" applyBorder="1" applyAlignment="1">
      <alignment wrapText="1"/>
    </xf>
    <xf numFmtId="168" fontId="23" fillId="0" borderId="4" xfId="15" applyNumberFormat="1" applyFont="1" applyBorder="1" applyAlignment="1" applyProtection="1">
      <alignment wrapText="1"/>
    </xf>
    <xf numFmtId="181" fontId="24" fillId="0" borderId="4" xfId="9" applyNumberFormat="1" applyFont="1" applyFill="1" applyBorder="1"/>
    <xf numFmtId="182" fontId="24" fillId="0" borderId="4" xfId="18" applyNumberFormat="1" applyFont="1" applyFill="1" applyBorder="1"/>
    <xf numFmtId="0" fontId="23" fillId="0" borderId="4" xfId="16" applyFont="1" applyBorder="1" applyAlignment="1"/>
    <xf numFmtId="0" fontId="24" fillId="0" borderId="4" xfId="16" applyFont="1" applyFill="1" applyBorder="1" applyAlignment="1">
      <alignment horizontal="left" wrapText="1"/>
    </xf>
    <xf numFmtId="0" fontId="24" fillId="0" borderId="4" xfId="16" applyFont="1" applyFill="1" applyBorder="1" applyAlignment="1" applyProtection="1">
      <alignment horizontal="left" wrapText="1"/>
    </xf>
    <xf numFmtId="0" fontId="21" fillId="0" borderId="4" xfId="16" applyBorder="1"/>
    <xf numFmtId="0" fontId="6" fillId="0" borderId="4" xfId="13" applyFont="1" applyFill="1" applyBorder="1" applyAlignment="1">
      <alignment wrapText="1"/>
    </xf>
    <xf numFmtId="1" fontId="24" fillId="0" borderId="4" xfId="16" applyNumberFormat="1" applyFont="1" applyFill="1" applyBorder="1" applyAlignment="1">
      <alignment horizontal="right" wrapText="1" indent="1"/>
    </xf>
    <xf numFmtId="0" fontId="24" fillId="0" borderId="4" xfId="9" applyNumberFormat="1" applyFont="1" applyFill="1" applyBorder="1"/>
    <xf numFmtId="11" fontId="24" fillId="0" borderId="4" xfId="16" applyNumberFormat="1" applyFont="1" applyFill="1" applyBorder="1"/>
    <xf numFmtId="0" fontId="21" fillId="0" borderId="40" xfId="16" applyBorder="1"/>
    <xf numFmtId="0" fontId="24" fillId="0" borderId="4" xfId="16" applyFont="1" applyFill="1" applyBorder="1" applyAlignment="1">
      <alignment horizontal="right" wrapText="1"/>
    </xf>
    <xf numFmtId="183" fontId="24" fillId="0" borderId="4" xfId="16" applyNumberFormat="1" applyFont="1" applyFill="1" applyBorder="1" applyAlignment="1">
      <alignment horizontal="right" wrapText="1" indent="1"/>
    </xf>
    <xf numFmtId="0" fontId="24" fillId="0" borderId="41" xfId="16" applyFont="1" applyFill="1" applyBorder="1" applyAlignment="1">
      <alignment wrapText="1"/>
    </xf>
    <xf numFmtId="0" fontId="24" fillId="0" borderId="4" xfId="16" applyFont="1" applyBorder="1"/>
    <xf numFmtId="0" fontId="24" fillId="0" borderId="4" xfId="13" applyFont="1" applyFill="1" applyBorder="1" applyAlignment="1">
      <alignment wrapText="1"/>
    </xf>
    <xf numFmtId="2" fontId="24" fillId="0" borderId="4" xfId="16" applyNumberFormat="1" applyFont="1" applyFill="1" applyBorder="1"/>
    <xf numFmtId="43" fontId="24" fillId="0" borderId="4" xfId="18" applyFont="1" applyFill="1" applyBorder="1" applyAlignment="1">
      <alignment horizontal="center" wrapText="1"/>
    </xf>
    <xf numFmtId="174" fontId="24" fillId="0" borderId="4" xfId="18" applyNumberFormat="1" applyFont="1" applyFill="1" applyBorder="1" applyAlignment="1">
      <alignment horizontal="center" wrapText="1"/>
    </xf>
    <xf numFmtId="11" fontId="24" fillId="0" borderId="4" xfId="16" applyNumberFormat="1" applyFont="1" applyFill="1" applyBorder="1" applyAlignment="1">
      <alignment horizontal="center" wrapText="1"/>
    </xf>
    <xf numFmtId="165" fontId="24" fillId="0" borderId="4" xfId="9" applyFont="1" applyFill="1" applyBorder="1" applyAlignment="1"/>
    <xf numFmtId="0" fontId="24" fillId="0" borderId="4" xfId="16" applyFont="1" applyFill="1" applyBorder="1" applyAlignment="1"/>
    <xf numFmtId="2" fontId="24" fillId="0" borderId="20" xfId="16" applyNumberFormat="1" applyFont="1" applyFill="1" applyBorder="1"/>
    <xf numFmtId="0" fontId="24" fillId="0" borderId="20" xfId="16" applyFont="1" applyBorder="1" applyAlignment="1">
      <alignment wrapText="1"/>
    </xf>
    <xf numFmtId="2" fontId="24" fillId="0" borderId="4" xfId="9" applyNumberFormat="1" applyFont="1" applyFill="1" applyBorder="1" applyAlignment="1"/>
    <xf numFmtId="3" fontId="21" fillId="0" borderId="4" xfId="16" applyNumberFormat="1" applyBorder="1" applyAlignment="1"/>
    <xf numFmtId="172" fontId="24" fillId="0" borderId="4" xfId="9" applyNumberFormat="1" applyFont="1" applyFill="1" applyBorder="1" applyAlignment="1"/>
    <xf numFmtId="182" fontId="24" fillId="0" borderId="4" xfId="18" applyNumberFormat="1" applyFont="1" applyFill="1" applyBorder="1" applyAlignment="1"/>
    <xf numFmtId="183" fontId="24" fillId="0" borderId="4" xfId="16" applyNumberFormat="1" applyFont="1" applyFill="1" applyBorder="1" applyAlignment="1">
      <alignment horizontal="center" wrapText="1"/>
    </xf>
    <xf numFmtId="0" fontId="23" fillId="0" borderId="0" xfId="7" applyFont="1" applyBorder="1"/>
    <xf numFmtId="164" fontId="24" fillId="0" borderId="4" xfId="4" applyFont="1" applyFill="1" applyBorder="1" applyAlignment="1"/>
    <xf numFmtId="0" fontId="23" fillId="0" borderId="4" xfId="16" applyFont="1" applyBorder="1"/>
    <xf numFmtId="0" fontId="23" fillId="0" borderId="4" xfId="13" applyFont="1" applyFill="1" applyBorder="1" applyAlignment="1">
      <alignment wrapText="1"/>
    </xf>
    <xf numFmtId="2" fontId="23" fillId="0" borderId="4" xfId="16" applyNumberFormat="1" applyFont="1" applyFill="1" applyBorder="1"/>
    <xf numFmtId="0" fontId="23" fillId="0" borderId="4" xfId="16" applyFont="1" applyFill="1" applyBorder="1"/>
    <xf numFmtId="164" fontId="23" fillId="0" borderId="4" xfId="4" applyFont="1" applyFill="1" applyBorder="1"/>
    <xf numFmtId="0" fontId="23" fillId="0" borderId="4" xfId="16" applyNumberFormat="1" applyFont="1" applyFill="1" applyBorder="1" applyAlignment="1">
      <alignment horizontal="left" wrapText="1"/>
    </xf>
    <xf numFmtId="0" fontId="23" fillId="0" borderId="4" xfId="16" applyFont="1" applyBorder="1" applyAlignment="1">
      <alignment wrapText="1"/>
    </xf>
    <xf numFmtId="0" fontId="23" fillId="0" borderId="4" xfId="16" applyFont="1" applyFill="1" applyBorder="1" applyAlignment="1">
      <alignment horizontal="center" wrapText="1"/>
    </xf>
    <xf numFmtId="1" fontId="23" fillId="0" borderId="4" xfId="16" applyNumberFormat="1" applyFont="1" applyFill="1" applyBorder="1"/>
    <xf numFmtId="164" fontId="23" fillId="0" borderId="4" xfId="4" applyFont="1" applyFill="1" applyBorder="1" applyAlignment="1">
      <alignment wrapText="1"/>
    </xf>
    <xf numFmtId="171" fontId="24" fillId="0" borderId="4" xfId="18" applyNumberFormat="1" applyFont="1" applyFill="1" applyBorder="1" applyAlignment="1"/>
    <xf numFmtId="1" fontId="24" fillId="0" borderId="4" xfId="16" applyNumberFormat="1" applyFont="1" applyFill="1" applyBorder="1"/>
    <xf numFmtId="164" fontId="24" fillId="0" borderId="4" xfId="4" applyFont="1" applyFill="1" applyBorder="1"/>
    <xf numFmtId="0" fontId="24" fillId="0" borderId="4" xfId="16" applyFont="1" applyFill="1" applyBorder="1" applyAlignment="1" applyProtection="1">
      <alignment vertical="center" wrapText="1"/>
    </xf>
    <xf numFmtId="0" fontId="24" fillId="0" borderId="42" xfId="13" applyFont="1" applyFill="1" applyBorder="1" applyAlignment="1">
      <alignment wrapText="1"/>
    </xf>
    <xf numFmtId="0" fontId="24" fillId="0" borderId="43" xfId="16" applyFont="1" applyFill="1" applyBorder="1"/>
    <xf numFmtId="0" fontId="22" fillId="20" borderId="43" xfId="16" applyFont="1" applyFill="1" applyBorder="1"/>
    <xf numFmtId="0" fontId="22" fillId="20" borderId="44" xfId="16" applyFont="1" applyFill="1" applyBorder="1"/>
    <xf numFmtId="168" fontId="23" fillId="0" borderId="43" xfId="15" applyNumberFormat="1" applyFont="1" applyBorder="1" applyAlignment="1" applyProtection="1"/>
    <xf numFmtId="181" fontId="24" fillId="0" borderId="43" xfId="9" applyNumberFormat="1" applyFont="1" applyFill="1" applyBorder="1"/>
    <xf numFmtId="165" fontId="24" fillId="0" borderId="43" xfId="9" applyFont="1" applyFill="1" applyBorder="1"/>
    <xf numFmtId="172" fontId="24" fillId="0" borderId="43" xfId="9" applyNumberFormat="1" applyFont="1" applyFill="1" applyBorder="1"/>
    <xf numFmtId="182" fontId="24" fillId="0" borderId="43" xfId="18" applyNumberFormat="1" applyFont="1" applyFill="1" applyBorder="1"/>
    <xf numFmtId="11" fontId="24" fillId="0" borderId="43" xfId="16" applyNumberFormat="1" applyFont="1" applyFill="1" applyBorder="1" applyAlignment="1">
      <alignment wrapText="1"/>
    </xf>
    <xf numFmtId="164" fontId="24" fillId="0" borderId="43" xfId="10" applyFont="1" applyFill="1" applyBorder="1"/>
    <xf numFmtId="1" fontId="24" fillId="0" borderId="43" xfId="9" applyNumberFormat="1" applyFont="1" applyFill="1" applyBorder="1"/>
    <xf numFmtId="3" fontId="21" fillId="0" borderId="43" xfId="16" applyNumberFormat="1" applyBorder="1" applyAlignment="1"/>
    <xf numFmtId="0" fontId="23" fillId="0" borderId="4" xfId="16" applyFont="1" applyFill="1" applyBorder="1" applyAlignment="1">
      <alignment horizontal="left" wrapText="1" indent="1"/>
    </xf>
    <xf numFmtId="169" fontId="23" fillId="0" borderId="4" xfId="17" applyNumberFormat="1" applyFont="1" applyFill="1" applyBorder="1" applyAlignment="1">
      <alignment horizontal="center" wrapText="1"/>
    </xf>
    <xf numFmtId="0" fontId="24" fillId="0" borderId="4" xfId="16" applyFont="1" applyFill="1" applyBorder="1" applyAlignment="1" applyProtection="1">
      <alignment wrapText="1"/>
    </xf>
    <xf numFmtId="0" fontId="21" fillId="0" borderId="4" xfId="16" applyBorder="1" applyAlignment="1"/>
    <xf numFmtId="11" fontId="24" fillId="0" borderId="4" xfId="9" applyNumberFormat="1" applyFont="1" applyFill="1" applyBorder="1" applyAlignment="1"/>
    <xf numFmtId="11" fontId="24" fillId="0" borderId="4" xfId="16" applyNumberFormat="1" applyFont="1" applyFill="1" applyBorder="1" applyAlignment="1"/>
    <xf numFmtId="168" fontId="23" fillId="0" borderId="0" xfId="16" applyNumberFormat="1" applyFont="1" applyBorder="1"/>
    <xf numFmtId="0" fontId="23" fillId="0" borderId="0" xfId="16" applyFont="1" applyBorder="1" applyAlignment="1">
      <alignment horizontal="right"/>
    </xf>
    <xf numFmtId="0" fontId="21" fillId="0" borderId="19" xfId="16" applyFont="1" applyBorder="1"/>
    <xf numFmtId="37" fontId="24" fillId="0" borderId="4" xfId="17" applyNumberFormat="1" applyFont="1" applyFill="1" applyBorder="1" applyAlignment="1">
      <alignment horizontal="right" wrapText="1" indent="1"/>
    </xf>
    <xf numFmtId="0" fontId="24" fillId="0" borderId="4" xfId="16" applyNumberFormat="1" applyFont="1" applyFill="1" applyBorder="1" applyAlignment="1">
      <alignment horizontal="left" wrapText="1" indent="1"/>
    </xf>
    <xf numFmtId="39" fontId="24" fillId="0" borderId="4" xfId="17" applyNumberFormat="1" applyFont="1" applyFill="1" applyBorder="1" applyAlignment="1">
      <alignment horizontal="left" wrapText="1" indent="1"/>
    </xf>
    <xf numFmtId="169" fontId="24" fillId="0" borderId="4" xfId="16" applyNumberFormat="1" applyFont="1" applyFill="1" applyBorder="1" applyAlignment="1">
      <alignment horizontal="center" wrapText="1"/>
    </xf>
    <xf numFmtId="0" fontId="24" fillId="0" borderId="4" xfId="16" applyFont="1" applyFill="1" applyBorder="1" applyAlignment="1">
      <alignment horizontal="left" vertical="center" wrapText="1"/>
    </xf>
    <xf numFmtId="0" fontId="24" fillId="0" borderId="4" xfId="16" applyFont="1" applyFill="1" applyBorder="1" applyAlignment="1">
      <alignment vertical="center" wrapText="1"/>
    </xf>
    <xf numFmtId="0" fontId="21" fillId="0" borderId="4" xfId="16" applyBorder="1" applyAlignment="1">
      <alignment wrapText="1"/>
    </xf>
    <xf numFmtId="164" fontId="24" fillId="0" borderId="4" xfId="4" applyFont="1" applyFill="1" applyBorder="1" applyAlignment="1">
      <alignment wrapText="1"/>
    </xf>
    <xf numFmtId="1" fontId="24" fillId="0" borderId="4" xfId="9" applyNumberFormat="1" applyFont="1" applyFill="1" applyBorder="1" applyAlignment="1"/>
    <xf numFmtId="0" fontId="24" fillId="0" borderId="4" xfId="16" applyFont="1" applyFill="1" applyBorder="1" applyAlignment="1" applyProtection="1"/>
    <xf numFmtId="184" fontId="24" fillId="0" borderId="4" xfId="18" applyNumberFormat="1" applyFont="1" applyFill="1" applyBorder="1" applyAlignment="1">
      <alignment horizontal="center" wrapText="1"/>
    </xf>
    <xf numFmtId="0" fontId="24" fillId="0" borderId="0" xfId="16" applyFont="1" applyFill="1" applyBorder="1" applyAlignment="1">
      <alignment horizontal="left"/>
    </xf>
    <xf numFmtId="37" fontId="24" fillId="0" borderId="4" xfId="10" applyNumberFormat="1" applyFont="1" applyFill="1" applyBorder="1"/>
    <xf numFmtId="39" fontId="24" fillId="0" borderId="4" xfId="10" applyNumberFormat="1" applyFont="1" applyFill="1" applyBorder="1"/>
    <xf numFmtId="184" fontId="24" fillId="0" borderId="4" xfId="18" applyNumberFormat="1" applyFont="1" applyFill="1" applyBorder="1" applyAlignment="1"/>
    <xf numFmtId="0" fontId="24" fillId="0" borderId="4" xfId="16" applyNumberFormat="1" applyFont="1" applyFill="1" applyBorder="1" applyAlignment="1">
      <alignment wrapText="1"/>
    </xf>
    <xf numFmtId="176" fontId="24" fillId="0" borderId="4" xfId="9" applyNumberFormat="1" applyFont="1" applyFill="1" applyBorder="1"/>
    <xf numFmtId="0" fontId="24" fillId="0" borderId="4" xfId="16" applyFont="1" applyFill="1" applyBorder="1" applyAlignment="1">
      <alignment horizontal="left"/>
    </xf>
    <xf numFmtId="185" fontId="24" fillId="0" borderId="4" xfId="18" applyNumberFormat="1" applyFont="1" applyFill="1" applyBorder="1" applyAlignment="1"/>
    <xf numFmtId="171" fontId="24" fillId="0" borderId="4" xfId="18" applyNumberFormat="1" applyFont="1" applyFill="1" applyBorder="1"/>
    <xf numFmtId="170" fontId="24" fillId="0" borderId="4" xfId="9" applyNumberFormat="1" applyFont="1" applyFill="1" applyBorder="1"/>
    <xf numFmtId="186" fontId="24" fillId="0" borderId="4" xfId="9" applyNumberFormat="1" applyFont="1" applyFill="1" applyBorder="1"/>
    <xf numFmtId="187" fontId="24" fillId="0" borderId="4" xfId="18" applyNumberFormat="1" applyFont="1" applyFill="1" applyBorder="1"/>
    <xf numFmtId="187" fontId="24" fillId="0" borderId="4" xfId="16" applyNumberFormat="1" applyFont="1" applyFill="1" applyBorder="1"/>
    <xf numFmtId="171" fontId="24" fillId="0" borderId="4" xfId="16" applyNumberFormat="1" applyFont="1" applyFill="1" applyBorder="1" applyAlignment="1">
      <alignment horizontal="right"/>
    </xf>
    <xf numFmtId="188" fontId="24" fillId="0" borderId="4" xfId="10" applyNumberFormat="1" applyFont="1" applyFill="1" applyBorder="1"/>
    <xf numFmtId="164" fontId="24" fillId="0" borderId="4" xfId="10" applyNumberFormat="1" applyFont="1" applyFill="1" applyBorder="1"/>
    <xf numFmtId="189" fontId="24" fillId="0" borderId="4" xfId="18" applyNumberFormat="1" applyFont="1" applyFill="1" applyBorder="1"/>
    <xf numFmtId="0" fontId="23" fillId="0" borderId="44" xfId="16" applyFont="1" applyBorder="1" applyAlignment="1"/>
    <xf numFmtId="190" fontId="24" fillId="0" borderId="4" xfId="17" applyNumberFormat="1" applyFont="1" applyFill="1" applyBorder="1" applyAlignment="1">
      <alignment horizontal="right" wrapText="1"/>
    </xf>
    <xf numFmtId="0" fontId="21" fillId="0" borderId="45" xfId="16" applyBorder="1"/>
    <xf numFmtId="0" fontId="23" fillId="0" borderId="44" xfId="16" applyFont="1" applyBorder="1"/>
    <xf numFmtId="0" fontId="23" fillId="0" borderId="4" xfId="15" applyNumberFormat="1" applyFont="1" applyBorder="1" applyAlignment="1">
      <alignment wrapText="1"/>
    </xf>
    <xf numFmtId="0" fontId="24" fillId="0" borderId="27" xfId="13" applyFont="1" applyFill="1" applyBorder="1" applyAlignment="1">
      <alignment wrapText="1"/>
    </xf>
    <xf numFmtId="0" fontId="23" fillId="0" borderId="44" xfId="16" applyFont="1" applyBorder="1" applyAlignment="1">
      <alignment wrapText="1"/>
    </xf>
    <xf numFmtId="180" fontId="23" fillId="0" borderId="4" xfId="16" applyNumberFormat="1" applyFont="1" applyBorder="1"/>
    <xf numFmtId="2" fontId="23" fillId="0" borderId="4" xfId="15" applyNumberFormat="1" applyFont="1" applyBorder="1" applyAlignment="1" applyProtection="1"/>
    <xf numFmtId="177" fontId="23" fillId="0" borderId="4" xfId="15" applyNumberFormat="1" applyFont="1" applyBorder="1" applyAlignment="1" applyProtection="1"/>
    <xf numFmtId="11" fontId="23" fillId="0" borderId="4" xfId="15" applyNumberFormat="1" applyFont="1" applyBorder="1" applyAlignment="1" applyProtection="1"/>
    <xf numFmtId="11" fontId="23" fillId="0" borderId="4" xfId="16" applyNumberFormat="1" applyFont="1" applyBorder="1" applyAlignment="1"/>
    <xf numFmtId="175" fontId="23" fillId="0" borderId="4" xfId="15" applyNumberFormat="1" applyFont="1" applyBorder="1" applyAlignment="1" applyProtection="1"/>
    <xf numFmtId="0" fontId="23" fillId="0" borderId="4" xfId="16" applyFont="1" applyBorder="1" applyAlignment="1" applyProtection="1"/>
    <xf numFmtId="185" fontId="24" fillId="0" borderId="4" xfId="18" applyNumberFormat="1" applyFont="1" applyFill="1" applyBorder="1"/>
    <xf numFmtId="0" fontId="24" fillId="0" borderId="46" xfId="13" applyFont="1" applyFill="1" applyBorder="1" applyAlignment="1">
      <alignment wrapText="1"/>
    </xf>
    <xf numFmtId="0" fontId="24" fillId="0" borderId="47" xfId="16" applyFont="1" applyFill="1" applyBorder="1"/>
    <xf numFmtId="0" fontId="22" fillId="20" borderId="47" xfId="16" applyFont="1" applyFill="1" applyBorder="1"/>
    <xf numFmtId="0" fontId="22" fillId="20" borderId="48" xfId="16" applyFont="1" applyFill="1" applyBorder="1"/>
    <xf numFmtId="168" fontId="23" fillId="0" borderId="47" xfId="15" applyNumberFormat="1" applyFont="1" applyBorder="1" applyAlignment="1" applyProtection="1"/>
    <xf numFmtId="1" fontId="24" fillId="0" borderId="47" xfId="9" applyNumberFormat="1" applyFont="1" applyFill="1" applyBorder="1"/>
    <xf numFmtId="165" fontId="24" fillId="0" borderId="47" xfId="9" applyFont="1" applyFill="1" applyBorder="1"/>
    <xf numFmtId="172" fontId="24" fillId="0" borderId="47" xfId="9" applyNumberFormat="1" applyFont="1" applyFill="1" applyBorder="1"/>
    <xf numFmtId="185" fontId="24" fillId="0" borderId="47" xfId="18" applyNumberFormat="1" applyFont="1" applyFill="1" applyBorder="1"/>
    <xf numFmtId="11" fontId="24" fillId="0" borderId="47" xfId="16" applyNumberFormat="1" applyFont="1" applyFill="1" applyBorder="1" applyAlignment="1">
      <alignment wrapText="1"/>
    </xf>
    <xf numFmtId="164" fontId="24" fillId="0" borderId="47" xfId="10" applyFont="1" applyFill="1" applyBorder="1"/>
    <xf numFmtId="0" fontId="24" fillId="0" borderId="49" xfId="13" applyFont="1" applyFill="1" applyBorder="1" applyAlignment="1">
      <alignment wrapText="1"/>
    </xf>
    <xf numFmtId="0" fontId="24" fillId="0" borderId="50" xfId="16" applyFont="1" applyFill="1" applyBorder="1"/>
    <xf numFmtId="0" fontId="22" fillId="20" borderId="50" xfId="16" applyFont="1" applyFill="1" applyBorder="1"/>
    <xf numFmtId="0" fontId="22" fillId="20" borderId="51" xfId="16" applyFont="1" applyFill="1" applyBorder="1"/>
    <xf numFmtId="168" fontId="23" fillId="0" borderId="50" xfId="15" applyNumberFormat="1" applyFont="1" applyBorder="1" applyAlignment="1" applyProtection="1"/>
    <xf numFmtId="1" fontId="24" fillId="0" borderId="50" xfId="9" applyNumberFormat="1" applyFont="1" applyFill="1" applyBorder="1"/>
    <xf numFmtId="165" fontId="24" fillId="0" borderId="50" xfId="9" applyFont="1" applyFill="1" applyBorder="1"/>
    <xf numFmtId="172" fontId="24" fillId="0" borderId="50" xfId="9" applyNumberFormat="1" applyFont="1" applyFill="1" applyBorder="1"/>
    <xf numFmtId="182" fontId="24" fillId="0" borderId="50" xfId="18" applyNumberFormat="1" applyFont="1" applyFill="1" applyBorder="1"/>
    <xf numFmtId="11" fontId="24" fillId="0" borderId="50" xfId="16" applyNumberFormat="1" applyFont="1" applyFill="1" applyBorder="1" applyAlignment="1">
      <alignment wrapText="1"/>
    </xf>
    <xf numFmtId="164" fontId="24" fillId="0" borderId="50" xfId="10" applyFont="1" applyFill="1" applyBorder="1"/>
    <xf numFmtId="168" fontId="23" fillId="0" borderId="50" xfId="15" applyNumberFormat="1" applyFont="1" applyBorder="1" applyAlignment="1" applyProtection="1">
      <alignment wrapText="1"/>
    </xf>
    <xf numFmtId="0" fontId="24" fillId="0" borderId="50" xfId="16" applyNumberFormat="1" applyFont="1" applyFill="1" applyBorder="1"/>
    <xf numFmtId="184" fontId="24" fillId="0" borderId="50" xfId="18" applyNumberFormat="1" applyFont="1" applyFill="1" applyBorder="1"/>
    <xf numFmtId="0" fontId="24" fillId="0" borderId="50" xfId="16" applyNumberFormat="1" applyFont="1" applyFill="1" applyBorder="1" applyAlignment="1">
      <alignment wrapText="1"/>
    </xf>
    <xf numFmtId="11" fontId="24" fillId="0" borderId="50" xfId="9" applyNumberFormat="1" applyFont="1" applyFill="1" applyBorder="1"/>
    <xf numFmtId="164" fontId="24" fillId="0" borderId="4" xfId="4" applyNumberFormat="1" applyFont="1" applyFill="1" applyBorder="1" applyAlignment="1"/>
    <xf numFmtId="191" fontId="24" fillId="0" borderId="4" xfId="18" applyNumberFormat="1" applyFont="1" applyFill="1" applyBorder="1" applyAlignment="1"/>
    <xf numFmtId="0" fontId="23" fillId="0" borderId="27" xfId="16" applyFont="1" applyBorder="1"/>
    <xf numFmtId="0" fontId="23" fillId="0" borderId="4" xfId="16" applyFont="1" applyFill="1" applyBorder="1" applyAlignment="1">
      <alignment wrapText="1"/>
    </xf>
    <xf numFmtId="173" fontId="24" fillId="0" borderId="4" xfId="9" applyNumberFormat="1" applyFont="1" applyFill="1" applyBorder="1"/>
    <xf numFmtId="165" fontId="24" fillId="0" borderId="4" xfId="9" applyNumberFormat="1" applyFont="1" applyFill="1" applyBorder="1"/>
    <xf numFmtId="164" fontId="26" fillId="0" borderId="4" xfId="11" applyFont="1" applyBorder="1"/>
    <xf numFmtId="164" fontId="26" fillId="0" borderId="52" xfId="11" applyFont="1" applyBorder="1"/>
    <xf numFmtId="0" fontId="23" fillId="0" borderId="53" xfId="16" applyFont="1" applyBorder="1" applyAlignment="1">
      <alignment wrapText="1"/>
    </xf>
    <xf numFmtId="0" fontId="23" fillId="0" borderId="53" xfId="13" applyFont="1" applyFill="1" applyBorder="1" applyAlignment="1">
      <alignment wrapText="1"/>
    </xf>
    <xf numFmtId="164" fontId="24" fillId="0" borderId="4" xfId="4" applyNumberFormat="1" applyFont="1" applyFill="1" applyBorder="1" applyAlignment="1">
      <alignment wrapText="1"/>
    </xf>
    <xf numFmtId="164" fontId="1" fillId="0" borderId="52" xfId="11" applyFont="1" applyBorder="1"/>
    <xf numFmtId="0" fontId="21" fillId="0" borderId="53" xfId="16" applyBorder="1" applyAlignment="1">
      <alignment wrapText="1"/>
    </xf>
    <xf numFmtId="0" fontId="24" fillId="0" borderId="53" xfId="13" applyFont="1" applyFill="1" applyBorder="1" applyAlignment="1">
      <alignment wrapText="1"/>
    </xf>
    <xf numFmtId="0" fontId="22" fillId="20" borderId="53" xfId="16" applyFont="1" applyFill="1" applyBorder="1"/>
    <xf numFmtId="0" fontId="22" fillId="20" borderId="54" xfId="16" applyFont="1" applyFill="1" applyBorder="1"/>
    <xf numFmtId="168" fontId="23" fillId="0" borderId="53" xfId="15" applyNumberFormat="1" applyFont="1" applyBorder="1" applyAlignment="1" applyProtection="1"/>
    <xf numFmtId="43" fontId="24" fillId="0" borderId="53" xfId="18" applyNumberFormat="1" applyFont="1" applyFill="1" applyBorder="1" applyAlignment="1"/>
    <xf numFmtId="3" fontId="21" fillId="0" borderId="53" xfId="16" applyNumberFormat="1" applyBorder="1" applyAlignment="1"/>
    <xf numFmtId="172" fontId="24" fillId="0" borderId="53" xfId="9" applyNumberFormat="1" applyFont="1" applyFill="1" applyBorder="1" applyAlignment="1"/>
    <xf numFmtId="11" fontId="24" fillId="0" borderId="53" xfId="9" applyNumberFormat="1" applyFont="1" applyFill="1" applyBorder="1" applyAlignment="1"/>
    <xf numFmtId="11" fontId="24" fillId="0" borderId="53" xfId="16" applyNumberFormat="1" applyFont="1" applyFill="1" applyBorder="1" applyAlignment="1"/>
    <xf numFmtId="165" fontId="24" fillId="0" borderId="53" xfId="9" applyFont="1" applyFill="1" applyBorder="1" applyAlignment="1"/>
    <xf numFmtId="0" fontId="24" fillId="0" borderId="53" xfId="16" applyFont="1" applyFill="1" applyBorder="1" applyAlignment="1"/>
    <xf numFmtId="164" fontId="24" fillId="0" borderId="53" xfId="4" applyFont="1" applyFill="1" applyBorder="1" applyAlignment="1"/>
    <xf numFmtId="0" fontId="24" fillId="0" borderId="53" xfId="16" applyFont="1" applyFill="1" applyBorder="1" applyAlignment="1" applyProtection="1">
      <alignment vertical="center" wrapText="1"/>
    </xf>
    <xf numFmtId="0" fontId="24" fillId="0" borderId="53" xfId="16" applyFont="1" applyFill="1" applyBorder="1"/>
    <xf numFmtId="164" fontId="24" fillId="0" borderId="53" xfId="10" applyFont="1" applyFill="1" applyBorder="1"/>
    <xf numFmtId="0" fontId="24" fillId="0" borderId="53" xfId="16" applyNumberFormat="1" applyFont="1" applyFill="1" applyBorder="1" applyAlignment="1">
      <alignment wrapText="1"/>
    </xf>
    <xf numFmtId="168" fontId="23" fillId="0" borderId="53" xfId="15" applyNumberFormat="1" applyFont="1" applyBorder="1" applyAlignment="1" applyProtection="1">
      <alignment wrapText="1"/>
    </xf>
    <xf numFmtId="0" fontId="24" fillId="0" borderId="53" xfId="16" applyNumberFormat="1" applyFont="1" applyFill="1" applyBorder="1"/>
    <xf numFmtId="0" fontId="23" fillId="0" borderId="53" xfId="15" applyNumberFormat="1" applyFont="1" applyBorder="1" applyAlignment="1">
      <alignment wrapText="1"/>
    </xf>
    <xf numFmtId="0" fontId="23" fillId="0" borderId="54" xfId="16" applyFont="1" applyBorder="1" applyAlignment="1">
      <alignment wrapText="1"/>
    </xf>
    <xf numFmtId="1" fontId="24" fillId="0" borderId="53" xfId="9" applyNumberFormat="1" applyFont="1" applyFill="1" applyBorder="1"/>
    <xf numFmtId="165" fontId="24" fillId="0" borderId="53" xfId="9" applyFont="1" applyFill="1" applyBorder="1"/>
    <xf numFmtId="172" fontId="24" fillId="0" borderId="53" xfId="9" applyNumberFormat="1" applyFont="1" applyFill="1" applyBorder="1"/>
    <xf numFmtId="174" fontId="24" fillId="0" borderId="53" xfId="9" applyNumberFormat="1" applyFont="1" applyFill="1" applyBorder="1"/>
    <xf numFmtId="11" fontId="24" fillId="0" borderId="53" xfId="16" applyNumberFormat="1" applyFont="1" applyFill="1" applyBorder="1" applyAlignment="1">
      <alignment wrapText="1"/>
    </xf>
    <xf numFmtId="0" fontId="23" fillId="0" borderId="54" xfId="16" applyFont="1" applyBorder="1" applyAlignment="1"/>
    <xf numFmtId="0" fontId="24" fillId="0" borderId="52" xfId="13" applyFont="1" applyFill="1" applyBorder="1" applyAlignment="1">
      <alignment wrapText="1"/>
    </xf>
    <xf numFmtId="0" fontId="24" fillId="0" borderId="53" xfId="9" applyNumberFormat="1" applyFont="1" applyFill="1" applyBorder="1"/>
    <xf numFmtId="164" fontId="24" fillId="0" borderId="53" xfId="4" applyFont="1" applyFill="1" applyBorder="1"/>
    <xf numFmtId="0" fontId="24" fillId="0" borderId="53" xfId="16" applyFont="1" applyFill="1" applyBorder="1" applyAlignment="1">
      <alignment horizontal="left"/>
    </xf>
    <xf numFmtId="0" fontId="24" fillId="0" borderId="53" xfId="16" applyFont="1" applyFill="1" applyBorder="1" applyAlignment="1" applyProtection="1">
      <alignment wrapText="1"/>
    </xf>
    <xf numFmtId="187" fontId="24" fillId="0" borderId="4" xfId="18" applyNumberFormat="1" applyFont="1" applyFill="1" applyBorder="1" applyAlignment="1"/>
    <xf numFmtId="0" fontId="24" fillId="0" borderId="27" xfId="16" applyFont="1" applyFill="1" applyBorder="1" applyAlignment="1">
      <alignment wrapText="1"/>
    </xf>
    <xf numFmtId="0" fontId="24" fillId="0" borderId="55" xfId="13" applyFont="1" applyFill="1" applyBorder="1" applyAlignment="1">
      <alignment wrapText="1"/>
    </xf>
    <xf numFmtId="0" fontId="24" fillId="0" borderId="56" xfId="16" applyFont="1" applyFill="1" applyBorder="1"/>
    <xf numFmtId="0" fontId="22" fillId="20" borderId="4" xfId="16" applyFont="1" applyFill="1" applyBorder="1" applyAlignment="1">
      <alignment horizontal="right"/>
    </xf>
    <xf numFmtId="0" fontId="22" fillId="20" borderId="56" xfId="16" applyFont="1" applyFill="1" applyBorder="1"/>
    <xf numFmtId="0" fontId="22" fillId="20" borderId="57" xfId="16" applyFont="1" applyFill="1" applyBorder="1"/>
    <xf numFmtId="0" fontId="22" fillId="20" borderId="56" xfId="16" applyFont="1" applyFill="1" applyBorder="1" applyAlignment="1">
      <alignment horizontal="right"/>
    </xf>
    <xf numFmtId="168" fontId="23" fillId="0" borderId="56" xfId="15" applyNumberFormat="1" applyFont="1" applyBorder="1" applyAlignment="1" applyProtection="1"/>
    <xf numFmtId="1" fontId="24" fillId="0" borderId="56" xfId="9" applyNumberFormat="1" applyFont="1" applyFill="1" applyBorder="1"/>
    <xf numFmtId="165" fontId="24" fillId="0" borderId="56" xfId="9" applyFont="1" applyFill="1" applyBorder="1"/>
    <xf numFmtId="172" fontId="24" fillId="0" borderId="56" xfId="9" applyNumberFormat="1" applyFont="1" applyFill="1" applyBorder="1"/>
    <xf numFmtId="174" fontId="24" fillId="0" borderId="56" xfId="9" applyNumberFormat="1" applyFont="1" applyFill="1" applyBorder="1"/>
    <xf numFmtId="11" fontId="24" fillId="0" borderId="56" xfId="16" applyNumberFormat="1" applyFont="1" applyFill="1" applyBorder="1" applyAlignment="1">
      <alignment wrapText="1"/>
    </xf>
    <xf numFmtId="164" fontId="24" fillId="0" borderId="56" xfId="10" applyFont="1" applyFill="1" applyBorder="1"/>
    <xf numFmtId="0" fontId="24" fillId="0" borderId="56" xfId="16" applyNumberFormat="1" applyFont="1" applyFill="1" applyBorder="1" applyAlignment="1">
      <alignment wrapText="1"/>
    </xf>
    <xf numFmtId="0" fontId="24" fillId="0" borderId="56" xfId="13" applyFont="1" applyFill="1" applyBorder="1" applyAlignment="1">
      <alignment wrapText="1"/>
    </xf>
    <xf numFmtId="168" fontId="23" fillId="0" borderId="56" xfId="15" applyNumberFormat="1" applyFont="1" applyBorder="1" applyAlignment="1" applyProtection="1">
      <alignment wrapText="1"/>
    </xf>
    <xf numFmtId="0" fontId="24" fillId="0" borderId="56" xfId="16" applyNumberFormat="1" applyFont="1" applyFill="1" applyBorder="1"/>
    <xf numFmtId="1" fontId="23" fillId="0" borderId="4" xfId="15" applyNumberFormat="1" applyFont="1" applyBorder="1" applyAlignment="1" applyProtection="1"/>
    <xf numFmtId="164" fontId="23" fillId="0" borderId="4" xfId="4" applyNumberFormat="1" applyFont="1" applyFill="1" applyBorder="1" applyAlignment="1"/>
    <xf numFmtId="192" fontId="24" fillId="0" borderId="4" xfId="9" applyNumberFormat="1" applyFont="1" applyFill="1" applyBorder="1"/>
    <xf numFmtId="164" fontId="27" fillId="0" borderId="4" xfId="1" applyNumberFormat="1" applyFont="1" applyFill="1" applyBorder="1"/>
    <xf numFmtId="0" fontId="21" fillId="0" borderId="17" xfId="16" applyFill="1" applyBorder="1"/>
    <xf numFmtId="0" fontId="24" fillId="0" borderId="5" xfId="9" applyNumberFormat="1" applyFont="1" applyFill="1" applyBorder="1"/>
    <xf numFmtId="165" fontId="24" fillId="0" borderId="5" xfId="9" applyFont="1" applyFill="1" applyBorder="1"/>
    <xf numFmtId="172" fontId="24" fillId="0" borderId="5" xfId="9" applyNumberFormat="1" applyFont="1" applyFill="1" applyBorder="1"/>
    <xf numFmtId="43" fontId="24" fillId="0" borderId="5" xfId="18" applyNumberFormat="1" applyFont="1" applyFill="1" applyBorder="1"/>
    <xf numFmtId="11" fontId="24" fillId="0" borderId="5" xfId="16" applyNumberFormat="1" applyFont="1" applyFill="1" applyBorder="1" applyAlignment="1">
      <alignment wrapText="1"/>
    </xf>
    <xf numFmtId="0" fontId="24" fillId="0" borderId="5" xfId="16" applyFont="1" applyFill="1" applyBorder="1"/>
    <xf numFmtId="164" fontId="27" fillId="0" borderId="0" xfId="1" applyNumberFormat="1" applyFont="1" applyFill="1" applyBorder="1"/>
    <xf numFmtId="0" fontId="24" fillId="0" borderId="5" xfId="16" applyFont="1" applyFill="1" applyBorder="1" applyAlignment="1">
      <alignment horizontal="left"/>
    </xf>
    <xf numFmtId="0" fontId="24" fillId="0" borderId="5" xfId="16" applyFont="1" applyFill="1" applyBorder="1" applyAlignment="1" applyProtection="1">
      <alignment wrapText="1"/>
    </xf>
    <xf numFmtId="190" fontId="6" fillId="0" borderId="58" xfId="11" applyNumberFormat="1" applyFont="1" applyFill="1" applyBorder="1" applyAlignment="1">
      <alignment horizontal="right" wrapText="1"/>
    </xf>
    <xf numFmtId="0" fontId="24" fillId="0" borderId="59" xfId="16" applyFont="1" applyFill="1" applyBorder="1"/>
    <xf numFmtId="0" fontId="21" fillId="0" borderId="59" xfId="16" applyBorder="1"/>
    <xf numFmtId="0" fontId="24" fillId="0" borderId="4" xfId="9" applyNumberFormat="1" applyFont="1" applyFill="1" applyBorder="1" applyAlignment="1">
      <alignment horizontal="right"/>
    </xf>
    <xf numFmtId="165" fontId="24" fillId="0" borderId="4" xfId="9" applyFont="1" applyFill="1" applyBorder="1" applyAlignment="1">
      <alignment horizontal="right"/>
    </xf>
    <xf numFmtId="182" fontId="24" fillId="0" borderId="4" xfId="18" applyNumberFormat="1" applyFont="1" applyFill="1" applyBorder="1" applyAlignment="1">
      <alignment horizontal="right"/>
    </xf>
    <xf numFmtId="11" fontId="24" fillId="0" borderId="4" xfId="16" applyNumberFormat="1" applyFont="1" applyFill="1" applyBorder="1" applyAlignment="1">
      <alignment horizontal="right" wrapText="1"/>
    </xf>
    <xf numFmtId="0" fontId="24" fillId="0" borderId="4" xfId="16" applyFont="1" applyFill="1" applyBorder="1" applyAlignment="1">
      <alignment horizontal="right"/>
    </xf>
    <xf numFmtId="164" fontId="27" fillId="0" borderId="4" xfId="1" applyNumberFormat="1" applyFont="1" applyFill="1" applyBorder="1" applyAlignment="1">
      <alignment horizontal="right"/>
    </xf>
    <xf numFmtId="190" fontId="6" fillId="0" borderId="4" xfId="11" applyNumberFormat="1" applyFont="1" applyFill="1" applyBorder="1" applyAlignment="1">
      <alignment horizontal="right" wrapText="1"/>
    </xf>
    <xf numFmtId="187" fontId="24" fillId="0" borderId="4" xfId="18" applyNumberFormat="1" applyFont="1" applyFill="1" applyBorder="1" applyAlignment="1">
      <alignment horizontal="right"/>
    </xf>
    <xf numFmtId="184" fontId="24" fillId="0" borderId="4" xfId="18" applyNumberFormat="1" applyFont="1" applyFill="1" applyBorder="1"/>
    <xf numFmtId="190" fontId="24" fillId="0" borderId="4" xfId="11" applyNumberFormat="1" applyFont="1" applyFill="1" applyBorder="1" applyAlignment="1">
      <alignment horizontal="right" wrapText="1"/>
    </xf>
    <xf numFmtId="184" fontId="23" fillId="0" borderId="4" xfId="18" applyNumberFormat="1" applyFont="1" applyBorder="1" applyAlignment="1" applyProtection="1"/>
    <xf numFmtId="168" fontId="22" fillId="0" borderId="0" xfId="16" applyNumberFormat="1" applyFont="1" applyFill="1" applyBorder="1"/>
    <xf numFmtId="0" fontId="22" fillId="0" borderId="0" xfId="16" applyFont="1" applyFill="1" applyBorder="1" applyAlignment="1">
      <alignment horizontal="right"/>
    </xf>
    <xf numFmtId="0" fontId="24" fillId="0" borderId="4" xfId="9" applyNumberFormat="1" applyFont="1" applyFill="1" applyBorder="1" applyAlignment="1"/>
    <xf numFmtId="164" fontId="27" fillId="0" borderId="4" xfId="1" applyNumberFormat="1" applyFont="1" applyFill="1" applyBorder="1" applyAlignment="1"/>
    <xf numFmtId="0" fontId="23" fillId="0" borderId="57" xfId="16" applyFont="1" applyBorder="1"/>
    <xf numFmtId="0" fontId="21" fillId="0" borderId="57" xfId="16" applyBorder="1" applyAlignment="1">
      <alignment wrapText="1"/>
    </xf>
    <xf numFmtId="182" fontId="23" fillId="0" borderId="4" xfId="18" applyNumberFormat="1" applyFont="1" applyBorder="1" applyAlignment="1" applyProtection="1"/>
    <xf numFmtId="0" fontId="23" fillId="0" borderId="57" xfId="16" applyFont="1" applyBorder="1" applyAlignment="1"/>
    <xf numFmtId="0" fontId="21" fillId="0" borderId="60" xfId="16" applyBorder="1"/>
    <xf numFmtId="168" fontId="22" fillId="0" borderId="40" xfId="16" applyNumberFormat="1" applyFont="1" applyFill="1" applyBorder="1"/>
    <xf numFmtId="0" fontId="22" fillId="0" borderId="40" xfId="16" applyFont="1" applyFill="1" applyBorder="1" applyAlignment="1">
      <alignment horizontal="right"/>
    </xf>
    <xf numFmtId="0" fontId="22" fillId="0" borderId="40" xfId="16" applyFont="1" applyBorder="1"/>
    <xf numFmtId="37" fontId="24" fillId="0" borderId="4" xfId="4" applyNumberFormat="1" applyFont="1" applyFill="1" applyBorder="1"/>
    <xf numFmtId="39" fontId="24" fillId="0" borderId="4" xfId="4" applyNumberFormat="1" applyFont="1" applyFill="1" applyBorder="1"/>
    <xf numFmtId="0" fontId="21" fillId="0" borderId="57" xfId="16" applyBorder="1"/>
    <xf numFmtId="11" fontId="24" fillId="0" borderId="4" xfId="9" applyNumberFormat="1" applyFont="1" applyFill="1" applyBorder="1"/>
    <xf numFmtId="2" fontId="24" fillId="0" borderId="4" xfId="4" applyNumberFormat="1" applyFont="1" applyFill="1" applyBorder="1" applyAlignment="1">
      <alignment wrapText="1"/>
    </xf>
    <xf numFmtId="0" fontId="22" fillId="0" borderId="4" xfId="16" applyFont="1" applyFill="1" applyBorder="1"/>
    <xf numFmtId="0" fontId="21" fillId="0" borderId="61" xfId="16" applyBorder="1"/>
    <xf numFmtId="0" fontId="22" fillId="0" borderId="62" xfId="16" applyFont="1" applyBorder="1"/>
    <xf numFmtId="43" fontId="24" fillId="0" borderId="4" xfId="18" applyFont="1" applyFill="1" applyBorder="1"/>
    <xf numFmtId="193" fontId="24" fillId="0" borderId="4" xfId="18" applyNumberFormat="1" applyFont="1" applyFill="1" applyBorder="1"/>
    <xf numFmtId="0" fontId="21" fillId="21" borderId="15" xfId="16" applyFill="1" applyBorder="1"/>
    <xf numFmtId="170" fontId="24" fillId="0" borderId="4" xfId="18" applyNumberFormat="1" applyFont="1" applyFill="1" applyBorder="1"/>
    <xf numFmtId="169" fontId="24" fillId="0" borderId="4" xfId="4" applyNumberFormat="1" applyFont="1" applyFill="1" applyBorder="1"/>
    <xf numFmtId="0" fontId="12" fillId="0" borderId="0" xfId="7"/>
    <xf numFmtId="14" fontId="0" fillId="0" borderId="0" xfId="0" applyNumberFormat="1"/>
    <xf numFmtId="0" fontId="21" fillId="0" borderId="0" xfId="16" applyFill="1" applyBorder="1"/>
    <xf numFmtId="168" fontId="22" fillId="22" borderId="18" xfId="16" applyNumberFormat="1" applyFont="1" applyFill="1" applyBorder="1"/>
    <xf numFmtId="0" fontId="22" fillId="22" borderId="18" xfId="16" applyFont="1" applyFill="1" applyBorder="1" applyAlignment="1">
      <alignment horizontal="right"/>
    </xf>
    <xf numFmtId="0" fontId="23" fillId="0" borderId="18" xfId="15" applyNumberFormat="1" applyFont="1" applyBorder="1" applyAlignment="1" applyProtection="1">
      <alignment vertical="center" wrapText="1"/>
    </xf>
    <xf numFmtId="194" fontId="23" fillId="0" borderId="18" xfId="16" applyNumberFormat="1" applyFont="1" applyBorder="1"/>
    <xf numFmtId="0" fontId="22" fillId="22" borderId="18" xfId="16" applyFont="1" applyFill="1" applyBorder="1"/>
    <xf numFmtId="0" fontId="0" fillId="0" borderId="18" xfId="15" applyNumberFormat="1" applyFont="1" applyBorder="1" applyAlignment="1">
      <alignment wrapText="1"/>
    </xf>
    <xf numFmtId="0" fontId="24" fillId="0" borderId="63" xfId="13" applyFont="1" applyFill="1" applyBorder="1" applyAlignment="1">
      <alignment wrapText="1"/>
    </xf>
    <xf numFmtId="0" fontId="22" fillId="22" borderId="0" xfId="16" applyFont="1" applyFill="1" applyBorder="1"/>
    <xf numFmtId="168" fontId="22" fillId="22" borderId="25" xfId="16" applyNumberFormat="1" applyFont="1" applyFill="1" applyBorder="1"/>
    <xf numFmtId="0" fontId="22" fillId="22" borderId="25" xfId="16" applyFont="1" applyFill="1" applyBorder="1" applyAlignment="1">
      <alignment horizontal="right"/>
    </xf>
    <xf numFmtId="20" fontId="21" fillId="0" borderId="0" xfId="16" applyNumberFormat="1"/>
    <xf numFmtId="168" fontId="21" fillId="0" borderId="0" xfId="16" applyNumberFormat="1"/>
    <xf numFmtId="168" fontId="22" fillId="23" borderId="27" xfId="16" applyNumberFormat="1" applyFont="1" applyFill="1" applyBorder="1"/>
    <xf numFmtId="0" fontId="22" fillId="23" borderId="27" xfId="16" applyFont="1" applyFill="1" applyBorder="1" applyAlignment="1">
      <alignment horizontal="right"/>
    </xf>
    <xf numFmtId="0" fontId="0" fillId="0" borderId="4" xfId="15" applyNumberFormat="1" applyFont="1" applyBorder="1" applyAlignment="1">
      <alignment wrapText="1"/>
    </xf>
    <xf numFmtId="1" fontId="23" fillId="0" borderId="4" xfId="16" applyNumberFormat="1" applyFont="1" applyBorder="1"/>
    <xf numFmtId="0" fontId="22" fillId="23" borderId="4" xfId="16" applyFont="1" applyFill="1" applyBorder="1"/>
    <xf numFmtId="0" fontId="22" fillId="23" borderId="57" xfId="16" applyFont="1" applyFill="1" applyBorder="1"/>
    <xf numFmtId="0" fontId="22" fillId="23" borderId="4" xfId="16" applyFont="1" applyFill="1" applyBorder="1" applyAlignment="1">
      <alignment horizontal="right"/>
    </xf>
    <xf numFmtId="168" fontId="23" fillId="21" borderId="4" xfId="15" applyNumberFormat="1" applyFont="1" applyFill="1" applyBorder="1" applyAlignment="1" applyProtection="1"/>
    <xf numFmtId="2" fontId="23" fillId="21" borderId="4" xfId="15" applyNumberFormat="1" applyFont="1" applyFill="1" applyBorder="1" applyAlignment="1" applyProtection="1"/>
    <xf numFmtId="3" fontId="21" fillId="21" borderId="4" xfId="16" applyNumberFormat="1" applyFill="1" applyBorder="1" applyAlignment="1"/>
    <xf numFmtId="177" fontId="23" fillId="21" borderId="4" xfId="15" applyNumberFormat="1" applyFont="1" applyFill="1" applyBorder="1" applyAlignment="1" applyProtection="1"/>
    <xf numFmtId="185" fontId="23" fillId="21" borderId="4" xfId="18" applyNumberFormat="1" applyFont="1" applyFill="1" applyBorder="1" applyAlignment="1" applyProtection="1"/>
    <xf numFmtId="11" fontId="23" fillId="21" borderId="4" xfId="16" applyNumberFormat="1" applyFont="1" applyFill="1" applyBorder="1" applyAlignment="1">
      <alignment wrapText="1"/>
    </xf>
    <xf numFmtId="175" fontId="23" fillId="21" borderId="4" xfId="15" applyNumberFormat="1" applyFont="1" applyFill="1" applyBorder="1" applyAlignment="1" applyProtection="1"/>
    <xf numFmtId="0" fontId="23" fillId="21" borderId="4" xfId="16" applyFont="1" applyFill="1" applyBorder="1" applyAlignment="1"/>
    <xf numFmtId="0" fontId="22" fillId="23" borderId="27" xfId="16" applyFont="1" applyFill="1" applyBorder="1"/>
    <xf numFmtId="0" fontId="22" fillId="23" borderId="35" xfId="16" applyFont="1" applyFill="1" applyBorder="1"/>
    <xf numFmtId="0" fontId="22" fillId="23" borderId="18" xfId="16" applyFont="1" applyFill="1" applyBorder="1"/>
    <xf numFmtId="0" fontId="22" fillId="23" borderId="38" xfId="16" applyFont="1" applyFill="1" applyBorder="1"/>
    <xf numFmtId="0" fontId="22" fillId="23" borderId="18" xfId="16" applyFont="1" applyFill="1" applyBorder="1" applyAlignment="1">
      <alignment horizontal="left"/>
    </xf>
    <xf numFmtId="183" fontId="23" fillId="0" borderId="4" xfId="16" applyNumberFormat="1" applyFont="1" applyBorder="1"/>
    <xf numFmtId="183" fontId="21" fillId="0" borderId="4" xfId="16" applyNumberFormat="1" applyBorder="1"/>
    <xf numFmtId="1" fontId="21" fillId="0" borderId="4" xfId="16" applyNumberFormat="1" applyBorder="1"/>
    <xf numFmtId="1" fontId="21" fillId="0" borderId="4" xfId="16" applyNumberFormat="1" applyBorder="1" applyAlignment="1">
      <alignment wrapText="1"/>
    </xf>
    <xf numFmtId="195" fontId="23" fillId="21" borderId="4" xfId="15" applyNumberFormat="1" applyFont="1" applyFill="1" applyBorder="1" applyAlignment="1" applyProtection="1"/>
    <xf numFmtId="191" fontId="23" fillId="21" borderId="4" xfId="18" applyNumberFormat="1" applyFont="1" applyFill="1" applyBorder="1" applyAlignment="1" applyProtection="1"/>
    <xf numFmtId="0" fontId="21" fillId="0" borderId="64" xfId="16" applyBorder="1"/>
    <xf numFmtId="168" fontId="22" fillId="23" borderId="65" xfId="16" applyNumberFormat="1" applyFont="1" applyFill="1" applyBorder="1"/>
    <xf numFmtId="0" fontId="22" fillId="23" borderId="66" xfId="16" applyFont="1" applyFill="1" applyBorder="1" applyAlignment="1">
      <alignment horizontal="right"/>
    </xf>
    <xf numFmtId="0" fontId="22" fillId="0" borderId="67" xfId="16" applyFont="1" applyBorder="1"/>
    <xf numFmtId="0" fontId="21" fillId="0" borderId="68" xfId="16" applyBorder="1" applyAlignment="1"/>
    <xf numFmtId="0" fontId="23" fillId="0" borderId="69" xfId="16" applyFont="1" applyBorder="1" applyAlignment="1"/>
    <xf numFmtId="0" fontId="21" fillId="0" borderId="68" xfId="16" applyBorder="1"/>
    <xf numFmtId="0" fontId="22" fillId="23" borderId="70" xfId="16" applyFont="1" applyFill="1" applyBorder="1"/>
    <xf numFmtId="0" fontId="22" fillId="0" borderId="71" xfId="16" applyFont="1" applyBorder="1"/>
    <xf numFmtId="0" fontId="22" fillId="23" borderId="72" xfId="16" applyFont="1" applyFill="1" applyBorder="1"/>
    <xf numFmtId="0" fontId="21" fillId="0" borderId="73" xfId="16" applyBorder="1"/>
    <xf numFmtId="0" fontId="21" fillId="0" borderId="74" xfId="16" applyBorder="1"/>
    <xf numFmtId="0" fontId="21" fillId="0" borderId="75" xfId="16" applyBorder="1"/>
    <xf numFmtId="0" fontId="23" fillId="0" borderId="18" xfId="16" applyFont="1" applyBorder="1" applyAlignment="1">
      <alignment wrapText="1"/>
    </xf>
    <xf numFmtId="0" fontId="11" fillId="24" borderId="4" xfId="2" applyFont="1" applyFill="1" applyBorder="1" applyProtection="1">
      <protection locked="0"/>
    </xf>
    <xf numFmtId="0" fontId="11" fillId="24" borderId="4" xfId="2" applyFont="1" applyFill="1" applyBorder="1" applyAlignment="1">
      <alignment horizontal="left"/>
    </xf>
    <xf numFmtId="18" fontId="11" fillId="24" borderId="4" xfId="2" applyNumberFormat="1" applyFont="1" applyFill="1" applyBorder="1" applyAlignment="1" applyProtection="1">
      <alignment horizontal="left"/>
      <protection locked="0"/>
    </xf>
    <xf numFmtId="18" fontId="11" fillId="24" borderId="4" xfId="2" applyNumberFormat="1" applyFont="1" applyFill="1" applyBorder="1" applyAlignment="1" applyProtection="1">
      <protection locked="0"/>
    </xf>
    <xf numFmtId="0" fontId="12" fillId="24" borderId="4" xfId="7" applyFill="1" applyBorder="1" applyAlignment="1">
      <alignment horizontal="left"/>
    </xf>
    <xf numFmtId="165" fontId="11" fillId="24" borderId="4" xfId="5" applyFont="1" applyFill="1" applyBorder="1" applyProtection="1">
      <protection locked="0"/>
    </xf>
    <xf numFmtId="37" fontId="11" fillId="24" borderId="4" xfId="2" applyNumberFormat="1" applyFont="1" applyFill="1" applyBorder="1" applyAlignment="1" applyProtection="1">
      <alignment horizontal="center"/>
      <protection locked="0"/>
    </xf>
    <xf numFmtId="2" fontId="11" fillId="24" borderId="4" xfId="2" applyNumberFormat="1" applyFont="1" applyFill="1" applyBorder="1" applyAlignment="1" applyProtection="1">
      <alignment horizontal="center"/>
      <protection locked="0"/>
    </xf>
    <xf numFmtId="2" fontId="11" fillId="24" borderId="4" xfId="2" applyNumberFormat="1" applyFont="1" applyFill="1" applyBorder="1" applyAlignment="1">
      <alignment horizontal="right"/>
    </xf>
    <xf numFmtId="0" fontId="11" fillId="24" borderId="4" xfId="2" applyFont="1" applyFill="1" applyBorder="1" applyAlignment="1">
      <alignment horizontal="center"/>
    </xf>
    <xf numFmtId="0" fontId="11" fillId="25" borderId="4" xfId="2" applyFont="1" applyFill="1" applyBorder="1" applyProtection="1">
      <protection locked="0"/>
    </xf>
    <xf numFmtId="0" fontId="11" fillId="25" borderId="4" xfId="2" applyFont="1" applyFill="1" applyBorder="1" applyAlignment="1">
      <alignment horizontal="left"/>
    </xf>
    <xf numFmtId="18" fontId="11" fillId="25" borderId="4" xfId="2" applyNumberFormat="1" applyFont="1" applyFill="1" applyBorder="1" applyAlignment="1" applyProtection="1">
      <protection locked="0"/>
    </xf>
    <xf numFmtId="0" fontId="12" fillId="25" borderId="4" xfId="7" applyFill="1" applyBorder="1" applyAlignment="1">
      <alignment horizontal="left"/>
    </xf>
    <xf numFmtId="165" fontId="11" fillId="25" borderId="4" xfId="5" applyFont="1" applyFill="1" applyBorder="1" applyProtection="1">
      <protection locked="0"/>
    </xf>
    <xf numFmtId="37" fontId="11" fillId="25" borderId="4" xfId="2" applyNumberFormat="1" applyFont="1" applyFill="1" applyBorder="1" applyAlignment="1" applyProtection="1">
      <alignment horizontal="center"/>
      <protection locked="0"/>
    </xf>
    <xf numFmtId="2" fontId="11" fillId="25" borderId="4" xfId="2" applyNumberFormat="1" applyFont="1" applyFill="1" applyBorder="1" applyAlignment="1" applyProtection="1">
      <alignment horizontal="center"/>
      <protection locked="0"/>
    </xf>
    <xf numFmtId="2" fontId="11" fillId="25" borderId="4" xfId="2" applyNumberFormat="1" applyFont="1" applyFill="1" applyBorder="1" applyAlignment="1">
      <alignment horizontal="right"/>
    </xf>
    <xf numFmtId="0" fontId="11" fillId="25" borderId="4" xfId="2" applyFont="1" applyFill="1" applyBorder="1" applyAlignment="1">
      <alignment horizontal="center"/>
    </xf>
    <xf numFmtId="11" fontId="11" fillId="24" borderId="4" xfId="2" applyNumberFormat="1" applyFont="1" applyFill="1" applyBorder="1" applyAlignment="1" applyProtection="1">
      <protection locked="0"/>
    </xf>
    <xf numFmtId="0" fontId="11" fillId="25" borderId="4" xfId="2" applyFont="1" applyFill="1" applyBorder="1" applyAlignment="1" applyProtection="1">
      <alignment horizontal="center"/>
      <protection locked="0"/>
    </xf>
    <xf numFmtId="0" fontId="11" fillId="24" borderId="4" xfId="2" applyFont="1" applyFill="1" applyBorder="1" applyAlignment="1" applyProtection="1">
      <alignment horizontal="center"/>
      <protection locked="0"/>
    </xf>
    <xf numFmtId="11" fontId="11" fillId="25" borderId="4" xfId="2" applyNumberFormat="1" applyFont="1" applyFill="1" applyBorder="1" applyAlignment="1" applyProtection="1">
      <protection locked="0"/>
    </xf>
    <xf numFmtId="179" fontId="23" fillId="0" borderId="4" xfId="16" applyNumberFormat="1" applyFont="1" applyBorder="1" applyAlignment="1"/>
    <xf numFmtId="18" fontId="11" fillId="25" borderId="4" xfId="2" applyNumberFormat="1" applyFont="1" applyFill="1" applyBorder="1" applyAlignment="1" applyProtection="1">
      <alignment horizontal="right"/>
      <protection locked="0"/>
    </xf>
    <xf numFmtId="168" fontId="22" fillId="26" borderId="18" xfId="16" applyNumberFormat="1" applyFont="1" applyFill="1" applyBorder="1"/>
    <xf numFmtId="0" fontId="22" fillId="26" borderId="18" xfId="16" applyFont="1" applyFill="1" applyBorder="1" applyAlignment="1">
      <alignment horizontal="right"/>
    </xf>
    <xf numFmtId="0" fontId="24" fillId="0" borderId="4" xfId="12" applyFont="1" applyFill="1" applyBorder="1" applyAlignment="1" applyProtection="1">
      <alignment vertical="center" wrapText="1"/>
    </xf>
    <xf numFmtId="169" fontId="24" fillId="0" borderId="4" xfId="16" applyNumberFormat="1" applyFont="1" applyFill="1" applyBorder="1"/>
    <xf numFmtId="0" fontId="22" fillId="26" borderId="18" xfId="16" applyFont="1" applyFill="1" applyBorder="1"/>
    <xf numFmtId="168" fontId="22" fillId="26" borderId="25" xfId="16" applyNumberFormat="1" applyFont="1" applyFill="1" applyBorder="1"/>
    <xf numFmtId="0" fontId="22" fillId="26" borderId="25" xfId="16" applyFont="1" applyFill="1" applyBorder="1"/>
    <xf numFmtId="170" fontId="24" fillId="0" borderId="5" xfId="9" applyNumberFormat="1" applyFont="1" applyFill="1" applyBorder="1"/>
    <xf numFmtId="173" fontId="24" fillId="0" borderId="5" xfId="9" applyNumberFormat="1" applyFont="1" applyFill="1" applyBorder="1"/>
    <xf numFmtId="11" fontId="24" fillId="0" borderId="5" xfId="16" applyNumberFormat="1" applyFont="1" applyFill="1" applyBorder="1"/>
    <xf numFmtId="164" fontId="24" fillId="0" borderId="5" xfId="10" applyFont="1" applyFill="1" applyBorder="1"/>
    <xf numFmtId="0" fontId="24" fillId="0" borderId="5" xfId="16" applyFont="1" applyFill="1" applyBorder="1" applyAlignment="1">
      <alignment wrapText="1"/>
    </xf>
    <xf numFmtId="0" fontId="22" fillId="26" borderId="0" xfId="16" applyFont="1" applyFill="1" applyBorder="1"/>
    <xf numFmtId="37" fontId="24" fillId="0" borderId="4" xfId="4" applyNumberFormat="1" applyFont="1" applyFill="1" applyBorder="1" applyAlignment="1">
      <alignment wrapText="1"/>
    </xf>
    <xf numFmtId="39" fontId="24" fillId="0" borderId="4" xfId="4" applyNumberFormat="1" applyFont="1" applyFill="1" applyBorder="1" applyAlignment="1">
      <alignment wrapText="1"/>
    </xf>
    <xf numFmtId="169" fontId="24" fillId="0" borderId="4" xfId="16" applyNumberFormat="1" applyFont="1" applyFill="1" applyBorder="1" applyAlignment="1">
      <alignment wrapText="1"/>
    </xf>
    <xf numFmtId="0" fontId="22" fillId="26" borderId="25" xfId="16" applyFont="1" applyFill="1" applyBorder="1" applyAlignment="1">
      <alignment horizontal="right"/>
    </xf>
    <xf numFmtId="164" fontId="24" fillId="0" borderId="4" xfId="17" applyNumberFormat="1" applyFont="1" applyFill="1" applyBorder="1" applyAlignment="1" applyProtection="1">
      <alignment horizontal="left" vertical="center" wrapText="1"/>
    </xf>
    <xf numFmtId="164" fontId="24" fillId="0" borderId="13" xfId="17" applyNumberFormat="1" applyFont="1" applyFill="1" applyBorder="1" applyAlignment="1" applyProtection="1">
      <alignment horizontal="right" vertical="center" wrapText="1"/>
    </xf>
    <xf numFmtId="0" fontId="24" fillId="0" borderId="13" xfId="16" applyFont="1" applyFill="1" applyBorder="1" applyAlignment="1" applyProtection="1">
      <alignment vertical="center" wrapText="1"/>
    </xf>
    <xf numFmtId="2" fontId="24" fillId="0" borderId="4" xfId="10" applyNumberFormat="1" applyFont="1" applyFill="1" applyBorder="1"/>
    <xf numFmtId="168" fontId="22" fillId="27" borderId="27" xfId="16" applyNumberFormat="1" applyFont="1" applyFill="1" applyBorder="1"/>
    <xf numFmtId="0" fontId="22" fillId="27" borderId="27" xfId="16" applyFont="1" applyFill="1" applyBorder="1" applyAlignment="1">
      <alignment horizontal="right"/>
    </xf>
    <xf numFmtId="0" fontId="21" fillId="0" borderId="59" xfId="16" applyBorder="1" applyAlignment="1">
      <alignment wrapText="1"/>
    </xf>
    <xf numFmtId="0" fontId="24" fillId="0" borderId="59" xfId="13" applyFont="1" applyFill="1" applyBorder="1" applyAlignment="1">
      <alignment wrapText="1"/>
    </xf>
    <xf numFmtId="0" fontId="22" fillId="27" borderId="59" xfId="16" applyFont="1" applyFill="1" applyBorder="1"/>
    <xf numFmtId="0" fontId="22" fillId="27" borderId="76" xfId="16" applyFont="1" applyFill="1" applyBorder="1"/>
    <xf numFmtId="0" fontId="22" fillId="27" borderId="4" xfId="16" applyFont="1" applyFill="1" applyBorder="1" applyAlignment="1">
      <alignment horizontal="right"/>
    </xf>
    <xf numFmtId="196" fontId="24" fillId="0" borderId="4" xfId="9" applyNumberFormat="1" applyFont="1" applyFill="1" applyBorder="1"/>
    <xf numFmtId="0" fontId="22" fillId="27" borderId="4" xfId="16" applyFont="1" applyFill="1" applyBorder="1"/>
    <xf numFmtId="0" fontId="22" fillId="27" borderId="27" xfId="16" applyFont="1" applyFill="1" applyBorder="1"/>
    <xf numFmtId="0" fontId="22" fillId="27" borderId="35" xfId="16" applyFont="1" applyFill="1" applyBorder="1"/>
    <xf numFmtId="0" fontId="22" fillId="27" borderId="18" xfId="16" applyFont="1" applyFill="1" applyBorder="1"/>
    <xf numFmtId="0" fontId="22" fillId="27" borderId="38" xfId="16" applyFont="1" applyFill="1" applyBorder="1"/>
    <xf numFmtId="0" fontId="22" fillId="27" borderId="18" xfId="16" applyFont="1" applyFill="1" applyBorder="1" applyAlignment="1">
      <alignment horizontal="left"/>
    </xf>
    <xf numFmtId="164" fontId="24" fillId="0" borderId="59" xfId="4" applyNumberFormat="1" applyFont="1" applyFill="1" applyBorder="1" applyAlignment="1"/>
    <xf numFmtId="0" fontId="6" fillId="0" borderId="59" xfId="13" applyFont="1" applyFill="1" applyBorder="1" applyAlignment="1">
      <alignment wrapText="1"/>
    </xf>
    <xf numFmtId="1" fontId="24" fillId="0" borderId="59" xfId="16" applyNumberFormat="1" applyFont="1" applyFill="1" applyBorder="1"/>
    <xf numFmtId="164" fontId="24" fillId="0" borderId="59" xfId="4" applyFont="1" applyFill="1" applyBorder="1"/>
    <xf numFmtId="0" fontId="24" fillId="0" borderId="59" xfId="16" applyFont="1" applyFill="1" applyBorder="1" applyAlignment="1">
      <alignment wrapText="1"/>
    </xf>
    <xf numFmtId="0" fontId="22" fillId="27" borderId="59" xfId="16" applyFont="1" applyFill="1" applyBorder="1" applyAlignment="1">
      <alignment horizontal="right"/>
    </xf>
    <xf numFmtId="164" fontId="24" fillId="0" borderId="59" xfId="10" applyNumberFormat="1" applyFont="1" applyFill="1" applyBorder="1"/>
    <xf numFmtId="0" fontId="24" fillId="0" borderId="59" xfId="9" applyNumberFormat="1" applyFont="1" applyFill="1" applyBorder="1"/>
    <xf numFmtId="165" fontId="24" fillId="0" borderId="59" xfId="9" applyFont="1" applyFill="1" applyBorder="1"/>
    <xf numFmtId="11" fontId="24" fillId="0" borderId="59" xfId="16" applyNumberFormat="1" applyFont="1" applyFill="1" applyBorder="1" applyAlignment="1">
      <alignment wrapText="1"/>
    </xf>
    <xf numFmtId="0" fontId="24" fillId="0" borderId="59" xfId="16" applyFont="1" applyFill="1" applyBorder="1" applyAlignment="1">
      <alignment horizontal="left" wrapText="1"/>
    </xf>
    <xf numFmtId="0" fontId="24" fillId="0" borderId="59" xfId="16" applyFont="1" applyFill="1" applyBorder="1" applyAlignment="1" applyProtection="1">
      <alignment wrapText="1"/>
    </xf>
    <xf numFmtId="0" fontId="21" fillId="21" borderId="0" xfId="16" applyFont="1" applyFill="1" applyBorder="1"/>
    <xf numFmtId="0" fontId="21" fillId="21" borderId="0" xfId="16" applyFill="1" applyBorder="1"/>
    <xf numFmtId="183" fontId="24" fillId="0" borderId="59" xfId="16" applyNumberFormat="1" applyFont="1" applyFill="1" applyBorder="1"/>
    <xf numFmtId="0" fontId="24" fillId="0" borderId="59" xfId="16" applyFont="1" applyBorder="1"/>
    <xf numFmtId="0" fontId="21" fillId="0" borderId="19" xfId="16" applyFill="1" applyBorder="1"/>
    <xf numFmtId="172" fontId="24" fillId="0" borderId="59" xfId="9" applyNumberFormat="1" applyFont="1" applyFill="1" applyBorder="1"/>
    <xf numFmtId="185" fontId="24" fillId="0" borderId="59" xfId="18" applyNumberFormat="1" applyFont="1" applyFill="1" applyBorder="1"/>
    <xf numFmtId="0" fontId="24" fillId="0" borderId="59" xfId="16" applyFont="1" applyFill="1" applyBorder="1" applyAlignment="1">
      <alignment horizontal="left"/>
    </xf>
    <xf numFmtId="0" fontId="24" fillId="0" borderId="0" xfId="16" applyFont="1" applyBorder="1" applyAlignment="1">
      <alignment horizontal="left"/>
    </xf>
    <xf numFmtId="184" fontId="24" fillId="0" borderId="59" xfId="18" applyNumberFormat="1" applyFont="1" applyFill="1" applyBorder="1"/>
    <xf numFmtId="170" fontId="24" fillId="0" borderId="59" xfId="9" applyNumberFormat="1" applyFont="1" applyFill="1" applyBorder="1"/>
    <xf numFmtId="11" fontId="24" fillId="0" borderId="59" xfId="9" applyNumberFormat="1" applyFont="1" applyFill="1" applyBorder="1"/>
    <xf numFmtId="197" fontId="24" fillId="0" borderId="59" xfId="9" applyNumberFormat="1" applyFont="1" applyFill="1" applyBorder="1"/>
    <xf numFmtId="2" fontId="24" fillId="0" borderId="59" xfId="16" applyNumberFormat="1" applyFont="1" applyFill="1" applyBorder="1"/>
    <xf numFmtId="186" fontId="24" fillId="0" borderId="59" xfId="9" applyNumberFormat="1" applyFont="1" applyFill="1" applyBorder="1"/>
    <xf numFmtId="182" fontId="24" fillId="0" borderId="59" xfId="18" applyNumberFormat="1" applyFont="1" applyFill="1" applyBorder="1"/>
    <xf numFmtId="164" fontId="24" fillId="0" borderId="59" xfId="10" applyFont="1" applyFill="1" applyBorder="1"/>
    <xf numFmtId="0" fontId="21" fillId="0" borderId="59" xfId="16" applyFont="1" applyBorder="1"/>
    <xf numFmtId="198" fontId="24" fillId="0" borderId="59" xfId="9" applyNumberFormat="1" applyFont="1" applyFill="1" applyBorder="1"/>
    <xf numFmtId="164" fontId="24" fillId="0" borderId="59" xfId="10" applyNumberFormat="1" applyFont="1" applyFill="1" applyBorder="1" applyAlignment="1">
      <alignment wrapText="1"/>
    </xf>
    <xf numFmtId="164" fontId="24" fillId="0" borderId="59" xfId="10" applyFont="1" applyFill="1" applyBorder="1" applyAlignment="1">
      <alignment wrapText="1"/>
    </xf>
    <xf numFmtId="0" fontId="24" fillId="0" borderId="59" xfId="16" applyNumberFormat="1" applyFont="1" applyFill="1" applyBorder="1" applyAlignment="1">
      <alignment wrapText="1"/>
    </xf>
    <xf numFmtId="0" fontId="24" fillId="0" borderId="58" xfId="13" applyFont="1" applyFill="1" applyBorder="1" applyAlignment="1">
      <alignment wrapText="1"/>
    </xf>
    <xf numFmtId="0" fontId="22" fillId="27" borderId="57" xfId="16" applyFont="1" applyFill="1" applyBorder="1"/>
    <xf numFmtId="0" fontId="24" fillId="0" borderId="59" xfId="16" applyNumberFormat="1" applyFont="1" applyFill="1" applyBorder="1"/>
    <xf numFmtId="0" fontId="21" fillId="0" borderId="0" xfId="16" applyFont="1" applyFill="1" applyBorder="1"/>
    <xf numFmtId="11" fontId="23" fillId="0" borderId="4" xfId="16" applyNumberFormat="1" applyFont="1" applyBorder="1" applyAlignment="1">
      <alignment wrapText="1"/>
    </xf>
    <xf numFmtId="0" fontId="22" fillId="27" borderId="4" xfId="16" applyFont="1" applyFill="1" applyBorder="1" applyAlignment="1">
      <alignment wrapText="1"/>
    </xf>
    <xf numFmtId="0" fontId="28" fillId="27" borderId="4" xfId="16" applyFont="1" applyFill="1" applyBorder="1"/>
    <xf numFmtId="0" fontId="24" fillId="0" borderId="0" xfId="16" applyFont="1" applyBorder="1"/>
    <xf numFmtId="0" fontId="22" fillId="0" borderId="0" xfId="16" applyFont="1" applyBorder="1" applyAlignment="1">
      <alignment wrapText="1"/>
    </xf>
    <xf numFmtId="0" fontId="28" fillId="0" borderId="0" xfId="16" applyFont="1" applyBorder="1"/>
    <xf numFmtId="0" fontId="11" fillId="28" borderId="4" xfId="2" applyFont="1" applyFill="1" applyBorder="1" applyProtection="1">
      <protection locked="0"/>
    </xf>
    <xf numFmtId="0" fontId="11" fillId="28" borderId="4" xfId="2" applyFont="1" applyFill="1" applyBorder="1" applyAlignment="1">
      <alignment horizontal="left"/>
    </xf>
    <xf numFmtId="18" fontId="11" fillId="28" borderId="4" xfId="2" applyNumberFormat="1" applyFont="1" applyFill="1" applyBorder="1" applyAlignment="1" applyProtection="1">
      <protection locked="0"/>
    </xf>
    <xf numFmtId="0" fontId="12" fillId="28" borderId="4" xfId="7" applyFill="1" applyBorder="1" applyAlignment="1">
      <alignment horizontal="left"/>
    </xf>
    <xf numFmtId="165" fontId="11" fillId="28" borderId="4" xfId="5" applyFont="1" applyFill="1" applyBorder="1" applyProtection="1">
      <protection locked="0"/>
    </xf>
    <xf numFmtId="37" fontId="11" fillId="28" borderId="4" xfId="2" applyNumberFormat="1" applyFont="1" applyFill="1" applyBorder="1" applyAlignment="1" applyProtection="1">
      <alignment horizontal="center"/>
      <protection locked="0"/>
    </xf>
    <xf numFmtId="2" fontId="11" fillId="28" borderId="4" xfId="2" applyNumberFormat="1" applyFont="1" applyFill="1" applyBorder="1" applyAlignment="1" applyProtection="1">
      <alignment horizontal="center"/>
      <protection locked="0"/>
    </xf>
    <xf numFmtId="2" fontId="11" fillId="28" borderId="4" xfId="2" applyNumberFormat="1" applyFont="1" applyFill="1" applyBorder="1" applyAlignment="1">
      <alignment horizontal="right"/>
    </xf>
    <xf numFmtId="0" fontId="11" fillId="28" borderId="4" xfId="2" applyFont="1" applyFill="1" applyBorder="1" applyAlignment="1">
      <alignment horizontal="center"/>
    </xf>
    <xf numFmtId="0" fontId="11" fillId="29" borderId="4" xfId="2" applyFont="1" applyFill="1" applyBorder="1" applyProtection="1">
      <protection locked="0"/>
    </xf>
    <xf numFmtId="0" fontId="11" fillId="29" borderId="4" xfId="2" applyFont="1" applyFill="1" applyBorder="1" applyAlignment="1">
      <alignment horizontal="left"/>
    </xf>
    <xf numFmtId="18" fontId="11" fillId="29" borderId="4" xfId="2" applyNumberFormat="1" applyFont="1" applyFill="1" applyBorder="1" applyAlignment="1" applyProtection="1">
      <alignment horizontal="right"/>
      <protection locked="0"/>
    </xf>
    <xf numFmtId="18" fontId="11" fillId="29" borderId="4" xfId="2" applyNumberFormat="1" applyFont="1" applyFill="1" applyBorder="1" applyAlignment="1" applyProtection="1">
      <protection locked="0"/>
    </xf>
    <xf numFmtId="0" fontId="12" fillId="29" borderId="4" xfId="7" applyFill="1" applyBorder="1" applyAlignment="1">
      <alignment horizontal="left"/>
    </xf>
    <xf numFmtId="165" fontId="11" fillId="29" borderId="4" xfId="5" applyFont="1" applyFill="1" applyBorder="1" applyProtection="1">
      <protection locked="0"/>
    </xf>
    <xf numFmtId="37" fontId="11" fillId="29" borderId="4" xfId="2" applyNumberFormat="1" applyFont="1" applyFill="1" applyBorder="1" applyAlignment="1" applyProtection="1">
      <alignment horizontal="center"/>
      <protection locked="0"/>
    </xf>
    <xf numFmtId="2" fontId="11" fillId="29" borderId="4" xfId="2" applyNumberFormat="1" applyFont="1" applyFill="1" applyBorder="1" applyAlignment="1" applyProtection="1">
      <alignment horizontal="center"/>
      <protection locked="0"/>
    </xf>
    <xf numFmtId="2" fontId="11" fillId="29" borderId="4" xfId="2" applyNumberFormat="1" applyFont="1" applyFill="1" applyBorder="1" applyAlignment="1">
      <alignment horizontal="right"/>
    </xf>
    <xf numFmtId="0" fontId="11" fillId="29" borderId="4" xfId="2" applyFont="1" applyFill="1" applyBorder="1" applyAlignment="1">
      <alignment horizontal="center"/>
    </xf>
    <xf numFmtId="11" fontId="11" fillId="29" borderId="4" xfId="2" applyNumberFormat="1" applyFont="1" applyFill="1" applyBorder="1" applyAlignment="1" applyProtection="1">
      <protection locked="0"/>
    </xf>
    <xf numFmtId="0" fontId="28" fillId="0" borderId="0" xfId="19" applyFont="1" applyFill="1" applyBorder="1"/>
    <xf numFmtId="168" fontId="22" fillId="31" borderId="18" xfId="16" applyNumberFormat="1" applyFont="1" applyFill="1" applyBorder="1"/>
    <xf numFmtId="0" fontId="22" fillId="31" borderId="25" xfId="16" applyFont="1" applyFill="1" applyBorder="1" applyAlignment="1">
      <alignment horizontal="right"/>
    </xf>
    <xf numFmtId="0" fontId="22" fillId="31" borderId="18" xfId="16" applyFont="1" applyFill="1" applyBorder="1"/>
    <xf numFmtId="0" fontId="22" fillId="31" borderId="28" xfId="16" applyFont="1" applyFill="1" applyBorder="1"/>
    <xf numFmtId="168" fontId="28" fillId="31" borderId="18" xfId="16" applyNumberFormat="1" applyFont="1" applyFill="1" applyBorder="1"/>
    <xf numFmtId="0" fontId="28" fillId="31" borderId="18" xfId="16" applyFont="1" applyFill="1" applyBorder="1" applyAlignment="1">
      <alignment horizontal="right"/>
    </xf>
    <xf numFmtId="0" fontId="28" fillId="0" borderId="19" xfId="16" applyFont="1" applyBorder="1"/>
    <xf numFmtId="0" fontId="21" fillId="0" borderId="68" xfId="16" applyBorder="1" applyAlignment="1">
      <alignment wrapText="1"/>
    </xf>
    <xf numFmtId="0" fontId="24" fillId="0" borderId="0" xfId="20" applyFont="1" applyFill="1" applyBorder="1"/>
    <xf numFmtId="0" fontId="22" fillId="31" borderId="0" xfId="16" applyFont="1" applyFill="1" applyBorder="1"/>
    <xf numFmtId="0" fontId="1" fillId="0" borderId="0" xfId="20"/>
    <xf numFmtId="0" fontId="1" fillId="0" borderId="0" xfId="23"/>
    <xf numFmtId="168" fontId="24" fillId="0" borderId="18" xfId="15" applyNumberFormat="1" applyFont="1" applyBorder="1" applyAlignment="1" applyProtection="1"/>
    <xf numFmtId="0" fontId="1" fillId="0" borderId="0" xfId="19" applyFont="1"/>
    <xf numFmtId="166" fontId="24" fillId="0" borderId="13" xfId="14" applyFont="1" applyAlignment="1">
      <alignment vertical="center" wrapText="1"/>
    </xf>
    <xf numFmtId="200" fontId="24" fillId="0" borderId="13" xfId="22" applyNumberFormat="1" applyFont="1" applyBorder="1" applyAlignment="1">
      <alignment vertical="center" wrapText="1"/>
    </xf>
    <xf numFmtId="39" fontId="24" fillId="0" borderId="13" xfId="22" applyNumberFormat="1" applyFont="1" applyBorder="1" applyAlignment="1">
      <alignment vertical="center" wrapText="1"/>
    </xf>
    <xf numFmtId="0" fontId="24" fillId="0" borderId="0" xfId="19" applyFont="1" applyFill="1" applyBorder="1"/>
    <xf numFmtId="0" fontId="1" fillId="0" borderId="0" xfId="19"/>
    <xf numFmtId="0" fontId="22" fillId="31" borderId="18" xfId="16" applyFont="1" applyFill="1" applyBorder="1" applyAlignment="1">
      <alignment horizontal="right"/>
    </xf>
    <xf numFmtId="37" fontId="23" fillId="0" borderId="26" xfId="16" applyNumberFormat="1" applyFont="1" applyBorder="1"/>
    <xf numFmtId="0" fontId="27" fillId="0" borderId="0" xfId="19" applyFont="1"/>
    <xf numFmtId="168" fontId="22" fillId="31" borderId="25" xfId="16" applyNumberFormat="1" applyFont="1" applyFill="1" applyBorder="1"/>
    <xf numFmtId="168" fontId="22" fillId="33" borderId="27" xfId="16" applyNumberFormat="1" applyFont="1" applyFill="1" applyBorder="1"/>
    <xf numFmtId="0" fontId="22" fillId="33" borderId="27" xfId="16" applyFont="1" applyFill="1" applyBorder="1" applyAlignment="1">
      <alignment horizontal="right"/>
    </xf>
    <xf numFmtId="191" fontId="21" fillId="0" borderId="0" xfId="16" applyNumberFormat="1" applyBorder="1" applyAlignment="1">
      <alignment wrapText="1"/>
    </xf>
    <xf numFmtId="43" fontId="22" fillId="0" borderId="0" xfId="16" applyNumberFormat="1" applyFont="1" applyBorder="1"/>
    <xf numFmtId="0" fontId="22" fillId="0" borderId="0" xfId="16" applyNumberFormat="1" applyFont="1" applyBorder="1"/>
    <xf numFmtId="0" fontId="22" fillId="33" borderId="27" xfId="16" applyFont="1" applyFill="1" applyBorder="1"/>
    <xf numFmtId="0" fontId="22" fillId="33" borderId="35" xfId="16" applyFont="1" applyFill="1" applyBorder="1"/>
    <xf numFmtId="0" fontId="22" fillId="33" borderId="18" xfId="16" applyFont="1" applyFill="1" applyBorder="1"/>
    <xf numFmtId="0" fontId="22" fillId="33" borderId="38" xfId="16" applyFont="1" applyFill="1" applyBorder="1"/>
    <xf numFmtId="0" fontId="24" fillId="0" borderId="0" xfId="20" applyFont="1" applyFill="1" applyBorder="1" applyAlignment="1">
      <alignment horizontal="left"/>
    </xf>
    <xf numFmtId="0" fontId="22" fillId="33" borderId="18" xfId="16" applyFont="1" applyFill="1" applyBorder="1" applyAlignment="1">
      <alignment horizontal="left"/>
    </xf>
    <xf numFmtId="164" fontId="28" fillId="30" borderId="27" xfId="20" applyNumberFormat="1" applyFont="1" applyFill="1" applyBorder="1"/>
    <xf numFmtId="0" fontId="28" fillId="30" borderId="27" xfId="20" applyFont="1" applyFill="1" applyBorder="1" applyAlignment="1">
      <alignment horizontal="right"/>
    </xf>
    <xf numFmtId="0" fontId="28" fillId="0" borderId="0" xfId="20" applyFont="1" applyFill="1" applyBorder="1"/>
    <xf numFmtId="0" fontId="24" fillId="0" borderId="0" xfId="19" applyFont="1" applyFill="1" applyBorder="1" applyAlignment="1">
      <alignment horizontal="left"/>
    </xf>
    <xf numFmtId="164" fontId="28" fillId="34" borderId="27" xfId="19" applyNumberFormat="1" applyFont="1" applyFill="1" applyBorder="1"/>
    <xf numFmtId="0" fontId="28" fillId="34" borderId="27" xfId="19" applyFont="1" applyFill="1" applyBorder="1" applyAlignment="1">
      <alignment horizontal="right"/>
    </xf>
    <xf numFmtId="188" fontId="28" fillId="34" borderId="27" xfId="19" applyNumberFormat="1" applyFont="1" applyFill="1" applyBorder="1"/>
    <xf numFmtId="43" fontId="21" fillId="0" borderId="0" xfId="16" applyNumberFormat="1" applyBorder="1" applyAlignment="1">
      <alignment wrapText="1"/>
    </xf>
    <xf numFmtId="0" fontId="33" fillId="0" borderId="77" xfId="19" applyFont="1" applyBorder="1" applyAlignment="1">
      <alignment wrapText="1"/>
    </xf>
    <xf numFmtId="0" fontId="27" fillId="0" borderId="78" xfId="19" applyFont="1" applyBorder="1" applyAlignment="1">
      <alignment wrapText="1"/>
    </xf>
    <xf numFmtId="164" fontId="27" fillId="0" borderId="78" xfId="19" applyNumberFormat="1" applyFont="1" applyBorder="1" applyAlignment="1">
      <alignment wrapText="1"/>
    </xf>
    <xf numFmtId="0" fontId="27" fillId="0" borderId="27" xfId="19" applyFont="1" applyBorder="1" applyAlignment="1">
      <alignment wrapText="1"/>
    </xf>
    <xf numFmtId="0" fontId="33" fillId="0" borderId="78" xfId="19" applyFont="1" applyBorder="1" applyAlignment="1">
      <alignment wrapText="1"/>
    </xf>
    <xf numFmtId="43" fontId="27" fillId="0" borderId="78" xfId="19" applyNumberFormat="1" applyFont="1" applyBorder="1" applyAlignment="1">
      <alignment wrapText="1"/>
    </xf>
    <xf numFmtId="164" fontId="33" fillId="0" borderId="78" xfId="19" applyNumberFormat="1" applyFont="1" applyBorder="1"/>
    <xf numFmtId="0" fontId="22" fillId="33" borderId="79" xfId="16" applyFont="1" applyFill="1" applyBorder="1"/>
    <xf numFmtId="0" fontId="22" fillId="33" borderId="80" xfId="16" applyFont="1" applyFill="1" applyBorder="1"/>
    <xf numFmtId="0" fontId="27" fillId="0" borderId="77" xfId="19" applyFont="1" applyBorder="1" applyAlignment="1">
      <alignment wrapText="1"/>
    </xf>
    <xf numFmtId="191" fontId="21" fillId="0" borderId="0" xfId="16" applyNumberFormat="1"/>
    <xf numFmtId="0" fontId="28" fillId="0" borderId="0" xfId="19" applyFont="1" applyFill="1" applyBorder="1" applyAlignment="1">
      <alignment wrapText="1"/>
    </xf>
    <xf numFmtId="37" fontId="12" fillId="0" borderId="0" xfId="7" applyNumberFormat="1" applyBorder="1"/>
    <xf numFmtId="0" fontId="35" fillId="0" borderId="0" xfId="19" applyFont="1"/>
    <xf numFmtId="0" fontId="27" fillId="0" borderId="79" xfId="19" applyFont="1" applyBorder="1" applyAlignment="1">
      <alignment wrapText="1"/>
    </xf>
    <xf numFmtId="43" fontId="21" fillId="0" borderId="0" xfId="16" applyNumberFormat="1"/>
    <xf numFmtId="164" fontId="24" fillId="0" borderId="79" xfId="4" applyFont="1" applyFill="1" applyBorder="1"/>
    <xf numFmtId="0" fontId="24" fillId="0" borderId="79" xfId="19" applyNumberFormat="1" applyFont="1" applyFill="1" applyBorder="1"/>
    <xf numFmtId="0" fontId="24" fillId="0" borderId="79" xfId="19" applyFont="1" applyFill="1" applyBorder="1"/>
    <xf numFmtId="43" fontId="21" fillId="0" borderId="0" xfId="16" applyNumberFormat="1" applyBorder="1"/>
    <xf numFmtId="0" fontId="24" fillId="0" borderId="82" xfId="20" applyFont="1" applyFill="1" applyBorder="1"/>
    <xf numFmtId="164" fontId="24" fillId="0" borderId="82" xfId="10" applyFont="1" applyFill="1" applyBorder="1"/>
    <xf numFmtId="0" fontId="24" fillId="0" borderId="82" xfId="13" applyFont="1" applyFill="1" applyBorder="1" applyAlignment="1">
      <alignment wrapText="1"/>
    </xf>
    <xf numFmtId="0" fontId="21" fillId="0" borderId="82" xfId="16" applyBorder="1"/>
    <xf numFmtId="0" fontId="24" fillId="0" borderId="82" xfId="19" applyFont="1" applyFill="1" applyBorder="1"/>
    <xf numFmtId="0" fontId="24" fillId="0" borderId="82" xfId="19" applyFont="1" applyFill="1" applyBorder="1" applyAlignment="1">
      <alignment wrapText="1"/>
    </xf>
    <xf numFmtId="0" fontId="24" fillId="0" borderId="82" xfId="19" applyNumberFormat="1" applyFont="1" applyFill="1" applyBorder="1"/>
    <xf numFmtId="0" fontId="27" fillId="0" borderId="82" xfId="19" applyFont="1" applyBorder="1"/>
    <xf numFmtId="0" fontId="22" fillId="33" borderId="83" xfId="16" applyFont="1" applyFill="1" applyBorder="1"/>
    <xf numFmtId="168" fontId="23" fillId="0" borderId="82" xfId="15" applyNumberFormat="1" applyFont="1" applyBorder="1" applyAlignment="1" applyProtection="1"/>
    <xf numFmtId="0" fontId="24" fillId="0" borderId="82" xfId="19" applyNumberFormat="1" applyFont="1" applyFill="1" applyBorder="1" applyAlignment="1">
      <alignment wrapText="1"/>
    </xf>
    <xf numFmtId="164" fontId="24" fillId="0" borderId="82" xfId="10" applyNumberFormat="1" applyFont="1" applyFill="1" applyBorder="1"/>
    <xf numFmtId="0" fontId="1" fillId="0" borderId="82" xfId="19" applyBorder="1"/>
    <xf numFmtId="164" fontId="24" fillId="0" borderId="82" xfId="4" applyFont="1" applyFill="1" applyBorder="1"/>
    <xf numFmtId="172" fontId="24" fillId="0" borderId="82" xfId="9" applyNumberFormat="1" applyFont="1" applyFill="1" applyBorder="1" applyAlignment="1"/>
    <xf numFmtId="165" fontId="24" fillId="0" borderId="82" xfId="9" applyFont="1" applyFill="1" applyBorder="1" applyAlignment="1"/>
    <xf numFmtId="0" fontId="24" fillId="0" borderId="82" xfId="19" applyFont="1" applyFill="1" applyBorder="1" applyAlignment="1"/>
    <xf numFmtId="164" fontId="24" fillId="0" borderId="82" xfId="4" applyFont="1" applyFill="1" applyBorder="1" applyAlignment="1"/>
    <xf numFmtId="0" fontId="24" fillId="0" borderId="84" xfId="13" applyFont="1" applyFill="1" applyBorder="1" applyAlignment="1">
      <alignment wrapText="1"/>
    </xf>
    <xf numFmtId="0" fontId="22" fillId="33" borderId="85" xfId="16" applyFont="1" applyFill="1" applyBorder="1" applyAlignment="1">
      <alignment horizontal="right"/>
    </xf>
    <xf numFmtId="168" fontId="23" fillId="0" borderId="85" xfId="15" applyNumberFormat="1" applyFont="1" applyBorder="1" applyAlignment="1" applyProtection="1"/>
    <xf numFmtId="0" fontId="24" fillId="0" borderId="85" xfId="9" applyNumberFormat="1" applyFont="1" applyFill="1" applyBorder="1" applyAlignment="1">
      <alignment wrapText="1"/>
    </xf>
    <xf numFmtId="165" fontId="24" fillId="0" borderId="85" xfId="9" applyFont="1" applyFill="1" applyBorder="1" applyAlignment="1">
      <alignment wrapText="1"/>
    </xf>
    <xf numFmtId="182" fontId="24" fillId="0" borderId="85" xfId="18" applyNumberFormat="1" applyFont="1" applyFill="1" applyBorder="1" applyAlignment="1">
      <alignment wrapText="1"/>
    </xf>
    <xf numFmtId="11" fontId="24" fillId="0" borderId="85" xfId="19" applyNumberFormat="1" applyFont="1" applyFill="1" applyBorder="1" applyAlignment="1">
      <alignment wrapText="1"/>
    </xf>
    <xf numFmtId="0" fontId="24" fillId="0" borderId="85" xfId="19" applyFont="1" applyFill="1" applyBorder="1" applyAlignment="1">
      <alignment wrapText="1"/>
    </xf>
    <xf numFmtId="164" fontId="24" fillId="0" borderId="85" xfId="4" applyFont="1" applyFill="1" applyBorder="1" applyAlignment="1">
      <alignment wrapText="1"/>
    </xf>
    <xf numFmtId="0" fontId="22" fillId="33" borderId="85" xfId="16" applyFont="1" applyFill="1" applyBorder="1"/>
    <xf numFmtId="168" fontId="24" fillId="0" borderId="85" xfId="15" applyNumberFormat="1" applyFont="1" applyBorder="1" applyAlignment="1" applyProtection="1">
      <alignment wrapText="1"/>
    </xf>
    <xf numFmtId="0" fontId="24" fillId="0" borderId="85" xfId="13" applyFont="1" applyFill="1" applyBorder="1" applyAlignment="1">
      <alignment wrapText="1"/>
    </xf>
    <xf numFmtId="0" fontId="24" fillId="0" borderId="85" xfId="19" applyNumberFormat="1" applyFont="1" applyFill="1" applyBorder="1" applyAlignment="1">
      <alignment wrapText="1"/>
    </xf>
    <xf numFmtId="164" fontId="27" fillId="0" borderId="85" xfId="10" applyFont="1" applyBorder="1"/>
    <xf numFmtId="0" fontId="24" fillId="0" borderId="85" xfId="13" applyNumberFormat="1" applyFont="1" applyFill="1" applyBorder="1" applyAlignment="1">
      <alignment wrapText="1"/>
    </xf>
    <xf numFmtId="170" fontId="24" fillId="0" borderId="85" xfId="9" applyNumberFormat="1" applyFont="1" applyFill="1" applyBorder="1" applyAlignment="1">
      <alignment wrapText="1"/>
    </xf>
    <xf numFmtId="164" fontId="24" fillId="0" borderId="85" xfId="10" applyNumberFormat="1" applyFont="1" applyFill="1" applyBorder="1" applyAlignment="1">
      <alignment wrapText="1"/>
    </xf>
    <xf numFmtId="0" fontId="24" fillId="0" borderId="86" xfId="19" applyFont="1" applyFill="1" applyBorder="1" applyAlignment="1">
      <alignment wrapText="1"/>
    </xf>
    <xf numFmtId="185" fontId="24" fillId="0" borderId="85" xfId="18" applyNumberFormat="1" applyFont="1" applyFill="1" applyBorder="1" applyAlignment="1">
      <alignment wrapText="1"/>
    </xf>
    <xf numFmtId="0" fontId="1" fillId="0" borderId="85" xfId="19" applyBorder="1"/>
    <xf numFmtId="1" fontId="24" fillId="0" borderId="85" xfId="19" applyNumberFormat="1" applyFont="1" applyFill="1" applyBorder="1"/>
    <xf numFmtId="0" fontId="24" fillId="0" borderId="85" xfId="19" applyFont="1" applyFill="1" applyBorder="1"/>
    <xf numFmtId="164" fontId="24" fillId="0" borderId="85" xfId="4" applyFont="1" applyFill="1" applyBorder="1"/>
    <xf numFmtId="0" fontId="27" fillId="0" borderId="85" xfId="19" applyFont="1" applyBorder="1" applyAlignment="1">
      <alignment wrapText="1"/>
    </xf>
    <xf numFmtId="0" fontId="24" fillId="0" borderId="85" xfId="9" applyNumberFormat="1" applyFont="1" applyFill="1" applyBorder="1" applyAlignment="1"/>
    <xf numFmtId="3" fontId="1" fillId="0" borderId="85" xfId="19" applyNumberFormat="1" applyBorder="1" applyAlignment="1"/>
    <xf numFmtId="172" fontId="24" fillId="0" borderId="85" xfId="9" applyNumberFormat="1" applyFont="1" applyFill="1" applyBorder="1" applyAlignment="1"/>
    <xf numFmtId="185" fontId="24" fillId="0" borderId="85" xfId="18" applyNumberFormat="1" applyFont="1" applyFill="1" applyBorder="1" applyAlignment="1"/>
    <xf numFmtId="165" fontId="24" fillId="0" borderId="85" xfId="9" applyFont="1" applyFill="1" applyBorder="1" applyAlignment="1"/>
    <xf numFmtId="0" fontId="24" fillId="0" borderId="85" xfId="19" applyFont="1" applyFill="1" applyBorder="1" applyAlignment="1"/>
    <xf numFmtId="164" fontId="24" fillId="0" borderId="85" xfId="4" applyFont="1" applyFill="1" applyBorder="1" applyAlignment="1"/>
    <xf numFmtId="0" fontId="24" fillId="0" borderId="85" xfId="19" applyFont="1" applyFill="1" applyBorder="1" applyAlignment="1" applyProtection="1"/>
    <xf numFmtId="0" fontId="27" fillId="0" borderId="85" xfId="19" applyFont="1" applyBorder="1"/>
    <xf numFmtId="164" fontId="24" fillId="0" borderId="85" xfId="10" applyFont="1" applyFill="1" applyBorder="1"/>
    <xf numFmtId="0" fontId="24" fillId="0" borderId="85" xfId="19" applyNumberFormat="1" applyFont="1" applyFill="1" applyBorder="1"/>
    <xf numFmtId="1" fontId="24" fillId="0" borderId="85" xfId="9" applyNumberFormat="1" applyFont="1" applyFill="1" applyBorder="1"/>
    <xf numFmtId="165" fontId="24" fillId="0" borderId="85" xfId="9" applyFont="1" applyFill="1" applyBorder="1"/>
    <xf numFmtId="174" fontId="24" fillId="0" borderId="85" xfId="9" applyNumberFormat="1" applyFont="1" applyFill="1" applyBorder="1"/>
    <xf numFmtId="164" fontId="24" fillId="0" borderId="85" xfId="10" applyNumberFormat="1" applyFont="1" applyFill="1" applyBorder="1"/>
    <xf numFmtId="174" fontId="24" fillId="0" borderId="85" xfId="19" applyNumberFormat="1" applyFont="1" applyFill="1" applyBorder="1"/>
    <xf numFmtId="0" fontId="28" fillId="34" borderId="85" xfId="19" applyFont="1" applyFill="1" applyBorder="1"/>
    <xf numFmtId="0" fontId="21" fillId="0" borderId="85" xfId="16" applyBorder="1"/>
    <xf numFmtId="164" fontId="27" fillId="0" borderId="85" xfId="77" applyFont="1" applyBorder="1"/>
    <xf numFmtId="172" fontId="24" fillId="0" borderId="85" xfId="9" applyNumberFormat="1" applyFont="1" applyFill="1" applyBorder="1"/>
    <xf numFmtId="170" fontId="24" fillId="0" borderId="85" xfId="9" applyNumberFormat="1" applyFont="1" applyFill="1" applyBorder="1"/>
    <xf numFmtId="0" fontId="24" fillId="0" borderId="86" xfId="19" applyNumberFormat="1" applyFont="1" applyFill="1" applyBorder="1"/>
    <xf numFmtId="0" fontId="24" fillId="0" borderId="87" xfId="19" applyFont="1" applyFill="1" applyBorder="1"/>
    <xf numFmtId="2" fontId="24" fillId="0" borderId="85" xfId="19" applyNumberFormat="1" applyFont="1" applyFill="1" applyBorder="1"/>
    <xf numFmtId="164" fontId="1" fillId="0" borderId="85" xfId="4" applyFont="1" applyBorder="1"/>
    <xf numFmtId="164" fontId="28" fillId="30" borderId="85" xfId="19" applyNumberFormat="1" applyFont="1" applyFill="1" applyBorder="1"/>
    <xf numFmtId="0" fontId="28" fillId="30" borderId="85" xfId="19" applyFont="1" applyFill="1" applyBorder="1" applyAlignment="1">
      <alignment horizontal="right"/>
    </xf>
    <xf numFmtId="0" fontId="24" fillId="0" borderId="85" xfId="20" applyFont="1" applyFill="1" applyBorder="1"/>
    <xf numFmtId="0" fontId="28" fillId="30" borderId="85" xfId="19" applyFont="1" applyFill="1" applyBorder="1"/>
    <xf numFmtId="0" fontId="24" fillId="0" borderId="85" xfId="20" applyNumberFormat="1" applyFont="1" applyFill="1" applyBorder="1"/>
    <xf numFmtId="0" fontId="24" fillId="0" borderId="85" xfId="21" applyFont="1" applyFill="1" applyBorder="1" applyAlignment="1" applyProtection="1">
      <alignment vertical="center" wrapText="1"/>
    </xf>
    <xf numFmtId="199" fontId="24" fillId="0" borderId="85" xfId="22" applyNumberFormat="1" applyFont="1" applyFill="1" applyBorder="1" applyAlignment="1" applyProtection="1">
      <alignment vertical="center" wrapText="1"/>
    </xf>
    <xf numFmtId="39" fontId="24" fillId="0" borderId="85" xfId="4" applyNumberFormat="1" applyFont="1" applyFill="1" applyBorder="1" applyAlignment="1">
      <alignment wrapText="1"/>
    </xf>
    <xf numFmtId="0" fontId="24" fillId="0" borderId="85" xfId="20" applyFont="1" applyFill="1" applyBorder="1" applyAlignment="1">
      <alignment wrapText="1"/>
    </xf>
    <xf numFmtId="169" fontId="24" fillId="0" borderId="85" xfId="20" applyNumberFormat="1" applyFont="1" applyFill="1" applyBorder="1" applyAlignment="1">
      <alignment wrapText="1"/>
    </xf>
    <xf numFmtId="0" fontId="24" fillId="0" borderId="85" xfId="20" applyFont="1" applyFill="1" applyBorder="1" applyAlignment="1" applyProtection="1">
      <alignment wrapText="1"/>
    </xf>
    <xf numFmtId="0" fontId="24" fillId="0" borderId="85" xfId="20" applyNumberFormat="1" applyFont="1" applyFill="1" applyBorder="1" applyAlignment="1">
      <alignment wrapText="1"/>
    </xf>
    <xf numFmtId="0" fontId="24" fillId="0" borderId="85" xfId="12" applyFont="1" applyFill="1" applyBorder="1" applyAlignment="1" applyProtection="1">
      <alignment vertical="center" wrapText="1"/>
    </xf>
    <xf numFmtId="169" fontId="24" fillId="0" borderId="85" xfId="20" applyNumberFormat="1" applyFont="1" applyFill="1" applyBorder="1"/>
    <xf numFmtId="0" fontId="1" fillId="0" borderId="85" xfId="20" applyBorder="1"/>
    <xf numFmtId="0" fontId="27" fillId="0" borderId="85" xfId="20" applyFont="1" applyBorder="1"/>
    <xf numFmtId="0" fontId="27" fillId="0" borderId="82" xfId="20" applyFont="1" applyBorder="1"/>
    <xf numFmtId="0" fontId="24" fillId="0" borderId="82" xfId="20" applyFont="1" applyFill="1" applyBorder="1" applyAlignment="1">
      <alignment wrapText="1"/>
    </xf>
    <xf numFmtId="164" fontId="28" fillId="30" borderId="82" xfId="19" applyNumberFormat="1" applyFont="1" applyFill="1" applyBorder="1"/>
    <xf numFmtId="0" fontId="28" fillId="30" borderId="82" xfId="19" applyFont="1" applyFill="1" applyBorder="1"/>
    <xf numFmtId="2" fontId="24" fillId="0" borderId="82" xfId="9" applyNumberFormat="1" applyFont="1" applyFill="1" applyBorder="1" applyAlignment="1"/>
    <xf numFmtId="0" fontId="1" fillId="0" borderId="82" xfId="20" applyBorder="1" applyAlignment="1"/>
    <xf numFmtId="11" fontId="24" fillId="0" borderId="82" xfId="9" applyNumberFormat="1" applyFont="1" applyFill="1" applyBorder="1" applyAlignment="1"/>
    <xf numFmtId="11" fontId="24" fillId="0" borderId="82" xfId="20" applyNumberFormat="1" applyFont="1" applyFill="1" applyBorder="1" applyAlignment="1"/>
    <xf numFmtId="0" fontId="24" fillId="0" borderId="82" xfId="20" applyFont="1" applyFill="1" applyBorder="1" applyAlignment="1"/>
    <xf numFmtId="181" fontId="24" fillId="0" borderId="82" xfId="20" applyNumberFormat="1" applyFont="1" applyFill="1" applyBorder="1" applyAlignment="1"/>
    <xf numFmtId="2" fontId="21" fillId="0" borderId="82" xfId="16" applyNumberFormat="1" applyBorder="1"/>
    <xf numFmtId="0" fontId="12" fillId="0" borderId="82" xfId="7" applyNumberFormat="1" applyBorder="1" applyAlignment="1" applyProtection="1"/>
    <xf numFmtId="0" fontId="23" fillId="0" borderId="82" xfId="16" applyFont="1" applyBorder="1"/>
    <xf numFmtId="0" fontId="28" fillId="30" borderId="82" xfId="19" applyFont="1" applyFill="1" applyBorder="1" applyAlignment="1">
      <alignment horizontal="right"/>
    </xf>
    <xf numFmtId="0" fontId="24" fillId="0" borderId="82" xfId="23" applyNumberFormat="1" applyFont="1" applyFill="1" applyBorder="1"/>
    <xf numFmtId="0" fontId="24" fillId="0" borderId="82" xfId="23" applyFont="1" applyFill="1" applyBorder="1"/>
    <xf numFmtId="39" fontId="24" fillId="0" borderId="82" xfId="4" applyNumberFormat="1" applyFont="1" applyFill="1" applyBorder="1"/>
    <xf numFmtId="169" fontId="24" fillId="0" borderId="82" xfId="23" applyNumberFormat="1" applyFont="1" applyFill="1" applyBorder="1"/>
    <xf numFmtId="0" fontId="24" fillId="0" borderId="82" xfId="23" applyFont="1" applyFill="1" applyBorder="1" applyAlignment="1">
      <alignment wrapText="1"/>
    </xf>
    <xf numFmtId="0" fontId="24" fillId="0" borderId="82" xfId="12" applyFont="1" applyFill="1" applyBorder="1" applyAlignment="1" applyProtection="1">
      <alignment vertical="center" wrapText="1"/>
    </xf>
    <xf numFmtId="164" fontId="27" fillId="0" borderId="82" xfId="24" applyFont="1" applyBorder="1"/>
    <xf numFmtId="0" fontId="24" fillId="0" borderId="82" xfId="16" applyFont="1" applyBorder="1"/>
    <xf numFmtId="164" fontId="1" fillId="0" borderId="84" xfId="24" applyFont="1" applyBorder="1"/>
    <xf numFmtId="0" fontId="24" fillId="0" borderId="82" xfId="25" applyFont="1" applyFill="1" applyBorder="1" applyAlignment="1" applyProtection="1">
      <alignment vertical="center" wrapText="1"/>
    </xf>
    <xf numFmtId="165" fontId="24" fillId="0" borderId="82" xfId="9" applyNumberFormat="1" applyFont="1" applyFill="1" applyBorder="1"/>
    <xf numFmtId="165" fontId="24" fillId="0" borderId="82" xfId="9" applyFont="1" applyFill="1" applyBorder="1"/>
    <xf numFmtId="173" fontId="24" fillId="0" borderId="82" xfId="9" applyNumberFormat="1" applyFont="1" applyFill="1" applyBorder="1"/>
    <xf numFmtId="11" fontId="24" fillId="0" borderId="82" xfId="20" applyNumberFormat="1" applyFont="1" applyFill="1" applyBorder="1"/>
    <xf numFmtId="37" fontId="24" fillId="0" borderId="82" xfId="4" applyNumberFormat="1" applyFont="1" applyFill="1" applyBorder="1"/>
    <xf numFmtId="0" fontId="1" fillId="0" borderId="82" xfId="23" applyBorder="1"/>
    <xf numFmtId="0" fontId="27" fillId="0" borderId="82" xfId="23" applyFont="1" applyBorder="1"/>
    <xf numFmtId="0" fontId="24" fillId="0" borderId="82" xfId="23" applyNumberFormat="1" applyFont="1" applyFill="1" applyBorder="1" applyAlignment="1">
      <alignment wrapText="1"/>
    </xf>
    <xf numFmtId="164" fontId="24" fillId="21" borderId="82" xfId="10" applyNumberFormat="1" applyFont="1" applyFill="1" applyBorder="1"/>
    <xf numFmtId="165" fontId="24" fillId="21" borderId="82" xfId="9" applyNumberFormat="1" applyFont="1" applyFill="1" applyBorder="1"/>
    <xf numFmtId="11" fontId="24" fillId="21" borderId="82" xfId="9" applyNumberFormat="1" applyFont="1" applyFill="1" applyBorder="1"/>
    <xf numFmtId="165" fontId="24" fillId="21" borderId="82" xfId="9" applyFont="1" applyFill="1" applyBorder="1"/>
    <xf numFmtId="170" fontId="24" fillId="21" borderId="82" xfId="9" applyNumberFormat="1" applyFont="1" applyFill="1" applyBorder="1"/>
    <xf numFmtId="2" fontId="24" fillId="21" borderId="82" xfId="10" applyNumberFormat="1" applyFont="1" applyFill="1" applyBorder="1"/>
    <xf numFmtId="0" fontId="24" fillId="21" borderId="82" xfId="26" applyFont="1" applyFill="1" applyBorder="1"/>
    <xf numFmtId="164" fontId="24" fillId="21" borderId="82" xfId="10" applyFont="1" applyFill="1" applyBorder="1"/>
    <xf numFmtId="0" fontId="24" fillId="0" borderId="82" xfId="26" applyFont="1" applyFill="1" applyBorder="1" applyAlignment="1">
      <alignment wrapText="1"/>
    </xf>
    <xf numFmtId="0" fontId="24" fillId="0" borderId="82" xfId="26" applyFont="1" applyFill="1" applyBorder="1"/>
    <xf numFmtId="169" fontId="24" fillId="21" borderId="82" xfId="27" applyNumberFormat="1" applyFont="1" applyFill="1" applyBorder="1"/>
    <xf numFmtId="2" fontId="24" fillId="21" borderId="82" xfId="9" applyNumberFormat="1" applyFont="1" applyFill="1" applyBorder="1" applyAlignment="1"/>
    <xf numFmtId="0" fontId="27" fillId="21" borderId="82" xfId="26" applyFont="1" applyFill="1" applyBorder="1" applyAlignment="1"/>
    <xf numFmtId="172" fontId="24" fillId="21" borderId="82" xfId="9" applyNumberFormat="1" applyFont="1" applyFill="1" applyBorder="1" applyAlignment="1"/>
    <xf numFmtId="11" fontId="24" fillId="21" borderId="82" xfId="9" applyNumberFormat="1" applyFont="1" applyFill="1" applyBorder="1" applyAlignment="1"/>
    <xf numFmtId="11" fontId="24" fillId="21" borderId="82" xfId="26" applyNumberFormat="1" applyFont="1" applyFill="1" applyBorder="1" applyAlignment="1"/>
    <xf numFmtId="165" fontId="24" fillId="21" borderId="82" xfId="9" applyFont="1" applyFill="1" applyBorder="1" applyAlignment="1"/>
    <xf numFmtId="0" fontId="24" fillId="21" borderId="82" xfId="26" applyFont="1" applyFill="1" applyBorder="1" applyAlignment="1"/>
    <xf numFmtId="164" fontId="24" fillId="21" borderId="82" xfId="4" applyFont="1" applyFill="1" applyBorder="1" applyAlignment="1"/>
    <xf numFmtId="173" fontId="24" fillId="21" borderId="82" xfId="9" applyNumberFormat="1" applyFont="1" applyFill="1" applyBorder="1"/>
    <xf numFmtId="11" fontId="24" fillId="21" borderId="82" xfId="26" applyNumberFormat="1" applyFont="1" applyFill="1" applyBorder="1"/>
    <xf numFmtId="0" fontId="12" fillId="0" borderId="79" xfId="7" applyNumberFormat="1" applyBorder="1" applyAlignment="1" applyProtection="1"/>
    <xf numFmtId="39" fontId="24" fillId="0" borderId="82" xfId="4" applyNumberFormat="1" applyFont="1" applyFill="1" applyBorder="1" applyAlignment="1">
      <alignment wrapText="1"/>
    </xf>
    <xf numFmtId="169" fontId="24" fillId="0" borderId="82" xfId="19" applyNumberFormat="1" applyFont="1" applyFill="1" applyBorder="1" applyAlignment="1">
      <alignment wrapText="1"/>
    </xf>
    <xf numFmtId="0" fontId="24" fillId="0" borderId="82" xfId="19" applyFont="1" applyFill="1" applyBorder="1" applyAlignment="1" applyProtection="1">
      <alignment wrapText="1"/>
    </xf>
    <xf numFmtId="169" fontId="24" fillId="0" borderId="82" xfId="19" applyNumberFormat="1" applyFont="1" applyFill="1" applyBorder="1"/>
    <xf numFmtId="0" fontId="1" fillId="0" borderId="82" xfId="19" applyBorder="1" applyAlignment="1"/>
    <xf numFmtId="11" fontId="24" fillId="0" borderId="82" xfId="19" applyNumberFormat="1" applyFont="1" applyFill="1" applyBorder="1" applyAlignment="1"/>
    <xf numFmtId="0" fontId="24" fillId="0" borderId="82" xfId="19" applyFont="1" applyFill="1" applyBorder="1" applyAlignment="1" applyProtection="1">
      <alignment horizontal="left" vertical="center" wrapText="1"/>
    </xf>
    <xf numFmtId="164" fontId="24" fillId="0" borderId="82" xfId="22" applyFont="1" applyFill="1" applyBorder="1" applyAlignment="1" applyProtection="1">
      <alignment vertical="center" wrapText="1"/>
    </xf>
    <xf numFmtId="166" fontId="20" fillId="0" borderId="82" xfId="14" applyBorder="1">
      <alignment vertical="center" wrapText="1"/>
    </xf>
    <xf numFmtId="164" fontId="1" fillId="0" borderId="88" xfId="11" applyFont="1" applyBorder="1"/>
    <xf numFmtId="0" fontId="27" fillId="0" borderId="81" xfId="19" applyFont="1" applyBorder="1"/>
    <xf numFmtId="0" fontId="24" fillId="0" borderId="86" xfId="19" applyFont="1" applyFill="1" applyBorder="1"/>
    <xf numFmtId="164" fontId="1" fillId="0" borderId="89" xfId="4" applyFont="1" applyBorder="1"/>
    <xf numFmtId="2" fontId="24" fillId="0" borderId="85" xfId="9" applyNumberFormat="1" applyFont="1" applyFill="1" applyBorder="1"/>
    <xf numFmtId="11" fontId="24" fillId="0" borderId="85" xfId="19" applyNumberFormat="1" applyFont="1" applyFill="1" applyBorder="1"/>
    <xf numFmtId="176" fontId="24" fillId="0" borderId="85" xfId="9" applyNumberFormat="1" applyFont="1" applyFill="1" applyBorder="1"/>
    <xf numFmtId="11" fontId="24" fillId="0" borderId="85" xfId="20" applyNumberFormat="1" applyFont="1" applyFill="1" applyBorder="1" applyAlignment="1">
      <alignment wrapText="1"/>
    </xf>
    <xf numFmtId="0" fontId="24" fillId="0" borderId="85" xfId="20" applyFont="1" applyFill="1" applyBorder="1" applyAlignment="1" applyProtection="1">
      <alignment vertical="center" wrapText="1"/>
    </xf>
    <xf numFmtId="0" fontId="28" fillId="30" borderId="85" xfId="20" applyFont="1" applyFill="1" applyBorder="1"/>
    <xf numFmtId="0" fontId="24" fillId="0" borderId="90" xfId="13" applyFont="1" applyFill="1" applyBorder="1" applyAlignment="1">
      <alignment wrapText="1"/>
    </xf>
    <xf numFmtId="164" fontId="27" fillId="0" borderId="90" xfId="77" applyFont="1" applyBorder="1"/>
    <xf numFmtId="0" fontId="24" fillId="0" borderId="91" xfId="20" applyNumberFormat="1" applyFont="1" applyFill="1" applyBorder="1"/>
    <xf numFmtId="0" fontId="24" fillId="0" borderId="91" xfId="20" applyFont="1" applyFill="1" applyBorder="1"/>
    <xf numFmtId="168" fontId="24" fillId="0" borderId="91" xfId="15" applyNumberFormat="1" applyFont="1" applyBorder="1" applyAlignment="1" applyProtection="1">
      <alignment wrapText="1"/>
    </xf>
    <xf numFmtId="164" fontId="24" fillId="0" borderId="91" xfId="10" applyFont="1" applyFill="1" applyBorder="1"/>
    <xf numFmtId="0" fontId="24" fillId="0" borderId="91" xfId="13" applyFont="1" applyFill="1" applyBorder="1" applyAlignment="1">
      <alignment wrapText="1"/>
    </xf>
    <xf numFmtId="172" fontId="24" fillId="0" borderId="91" xfId="20" applyNumberFormat="1" applyFont="1" applyFill="1" applyBorder="1"/>
    <xf numFmtId="0" fontId="21" fillId="0" borderId="91" xfId="16" applyBorder="1"/>
    <xf numFmtId="0" fontId="24" fillId="0" borderId="92" xfId="13" applyFont="1" applyFill="1" applyBorder="1" applyAlignment="1">
      <alignment wrapText="1"/>
    </xf>
    <xf numFmtId="179" fontId="24" fillId="0" borderId="85" xfId="20" applyNumberFormat="1" applyFont="1" applyFill="1" applyBorder="1"/>
    <xf numFmtId="174" fontId="24" fillId="0" borderId="85" xfId="20" applyNumberFormat="1" applyFont="1" applyFill="1" applyBorder="1"/>
    <xf numFmtId="174" fontId="24" fillId="0" borderId="91" xfId="20" applyNumberFormat="1" applyFont="1" applyFill="1" applyBorder="1"/>
    <xf numFmtId="43" fontId="24" fillId="0" borderId="85" xfId="20" applyNumberFormat="1" applyFont="1" applyFill="1" applyBorder="1"/>
    <xf numFmtId="179" fontId="24" fillId="0" borderId="91" xfId="20" applyNumberFormat="1" applyFont="1" applyFill="1" applyBorder="1"/>
    <xf numFmtId="179" fontId="21" fillId="0" borderId="85" xfId="16" applyNumberFormat="1" applyBorder="1"/>
    <xf numFmtId="172" fontId="24" fillId="0" borderId="85" xfId="20" applyNumberFormat="1" applyFont="1" applyFill="1" applyBorder="1"/>
    <xf numFmtId="205" fontId="24" fillId="0" borderId="85" xfId="20" applyNumberFormat="1" applyFont="1" applyFill="1" applyBorder="1"/>
    <xf numFmtId="0" fontId="27" fillId="0" borderId="85" xfId="20" applyFont="1" applyBorder="1" applyAlignment="1">
      <alignment wrapText="1"/>
    </xf>
    <xf numFmtId="1" fontId="27" fillId="0" borderId="85" xfId="20" applyNumberFormat="1" applyFont="1" applyBorder="1" applyAlignment="1">
      <alignment wrapText="1"/>
    </xf>
    <xf numFmtId="1" fontId="24" fillId="0" borderId="85" xfId="20" applyNumberFormat="1" applyFont="1" applyFill="1" applyBorder="1"/>
    <xf numFmtId="2" fontId="24" fillId="0" borderId="85" xfId="9" applyNumberFormat="1" applyFont="1" applyFill="1" applyBorder="1" applyAlignment="1"/>
    <xf numFmtId="3" fontId="1" fillId="0" borderId="85" xfId="108" applyNumberFormat="1" applyBorder="1" applyAlignment="1"/>
    <xf numFmtId="182" fontId="24" fillId="0" borderId="85" xfId="18" applyNumberFormat="1" applyFont="1" applyFill="1" applyBorder="1" applyAlignment="1"/>
    <xf numFmtId="11" fontId="24" fillId="0" borderId="85" xfId="108" applyNumberFormat="1" applyFont="1" applyFill="1" applyBorder="1" applyAlignment="1"/>
    <xf numFmtId="0" fontId="24" fillId="0" borderId="85" xfId="108" applyFont="1" applyFill="1" applyBorder="1" applyAlignment="1"/>
    <xf numFmtId="0" fontId="24" fillId="0" borderId="85" xfId="25" applyFont="1" applyFill="1" applyBorder="1" applyAlignment="1" applyProtection="1">
      <alignment vertical="center" wrapText="1"/>
    </xf>
    <xf numFmtId="170" fontId="24" fillId="0" borderId="85" xfId="19" applyNumberFormat="1" applyFont="1" applyFill="1" applyBorder="1"/>
    <xf numFmtId="183" fontId="27" fillId="0" borderId="85" xfId="20" applyNumberFormat="1" applyFont="1" applyBorder="1" applyAlignment="1">
      <alignment wrapText="1"/>
    </xf>
    <xf numFmtId="206" fontId="24" fillId="0" borderId="85" xfId="9" applyNumberFormat="1" applyFont="1" applyFill="1" applyBorder="1" applyAlignment="1"/>
    <xf numFmtId="183" fontId="24" fillId="0" borderId="85" xfId="20" applyNumberFormat="1" applyFont="1" applyFill="1" applyBorder="1"/>
    <xf numFmtId="2" fontId="27" fillId="0" borderId="85" xfId="20" applyNumberFormat="1" applyFont="1" applyBorder="1" applyAlignment="1">
      <alignment wrapText="1"/>
    </xf>
    <xf numFmtId="188" fontId="24" fillId="0" borderId="85" xfId="10" applyNumberFormat="1" applyFont="1" applyFill="1" applyBorder="1"/>
    <xf numFmtId="169" fontId="21" fillId="0" borderId="85" xfId="16" applyNumberFormat="1" applyBorder="1"/>
    <xf numFmtId="164" fontId="27" fillId="0" borderId="85" xfId="24" applyFont="1" applyBorder="1"/>
    <xf numFmtId="0" fontId="24" fillId="0" borderId="85" xfId="108" applyFont="1" applyFill="1" applyBorder="1" applyAlignment="1" applyProtection="1"/>
    <xf numFmtId="164" fontId="1" fillId="0" borderId="85" xfId="10" applyFont="1" applyBorder="1"/>
    <xf numFmtId="0" fontId="33" fillId="0" borderId="85" xfId="19" applyFont="1" applyBorder="1" applyAlignment="1">
      <alignment wrapText="1"/>
    </xf>
    <xf numFmtId="0" fontId="27" fillId="0" borderId="86" xfId="19" applyFont="1" applyBorder="1" applyAlignment="1">
      <alignment wrapText="1"/>
    </xf>
    <xf numFmtId="164" fontId="33" fillId="0" borderId="86" xfId="19" applyNumberFormat="1" applyFont="1" applyBorder="1"/>
    <xf numFmtId="164" fontId="1" fillId="0" borderId="90" xfId="77" applyFont="1" applyBorder="1"/>
    <xf numFmtId="0" fontId="24" fillId="0" borderId="91" xfId="19" applyFont="1" applyFill="1" applyBorder="1"/>
    <xf numFmtId="0" fontId="24" fillId="0" borderId="91" xfId="19" applyFont="1" applyFill="1" applyBorder="1" applyAlignment="1">
      <alignment wrapText="1"/>
    </xf>
    <xf numFmtId="164" fontId="24" fillId="0" borderId="91" xfId="4" applyFont="1" applyFill="1" applyBorder="1" applyAlignment="1">
      <alignment wrapText="1"/>
    </xf>
    <xf numFmtId="0" fontId="24" fillId="0" borderId="91" xfId="19" applyNumberFormat="1" applyFont="1" applyFill="1" applyBorder="1"/>
    <xf numFmtId="0" fontId="22" fillId="33" borderId="91" xfId="16" applyFont="1" applyFill="1" applyBorder="1" applyAlignment="1">
      <alignment horizontal="right"/>
    </xf>
    <xf numFmtId="168" fontId="23" fillId="0" borderId="91" xfId="15" applyNumberFormat="1" applyFont="1" applyBorder="1" applyAlignment="1" applyProtection="1"/>
    <xf numFmtId="1" fontId="24" fillId="0" borderId="91" xfId="9" applyNumberFormat="1" applyFont="1" applyFill="1" applyBorder="1"/>
    <xf numFmtId="165" fontId="24" fillId="0" borderId="91" xfId="9" applyFont="1" applyFill="1" applyBorder="1"/>
    <xf numFmtId="172" fontId="24" fillId="0" borderId="91" xfId="9" applyNumberFormat="1" applyFont="1" applyFill="1" applyBorder="1"/>
    <xf numFmtId="174" fontId="24" fillId="0" borderId="91" xfId="9" applyNumberFormat="1" applyFont="1" applyFill="1" applyBorder="1"/>
    <xf numFmtId="11" fontId="24" fillId="0" borderId="91" xfId="19" applyNumberFormat="1" applyFont="1" applyFill="1" applyBorder="1" applyAlignment="1">
      <alignment wrapText="1"/>
    </xf>
    <xf numFmtId="43" fontId="24" fillId="0" borderId="91" xfId="25" applyNumberFormat="1" applyFont="1" applyFill="1" applyBorder="1" applyAlignment="1" applyProtection="1">
      <alignment vertical="center" wrapText="1"/>
    </xf>
    <xf numFmtId="164" fontId="27" fillId="0" borderId="91" xfId="1" applyNumberFormat="1" applyFont="1" applyFill="1" applyBorder="1"/>
    <xf numFmtId="0" fontId="24" fillId="0" borderId="91" xfId="19" applyFont="1" applyFill="1" applyBorder="1" applyAlignment="1" applyProtection="1">
      <alignment vertical="center" wrapText="1"/>
    </xf>
    <xf numFmtId="0" fontId="24" fillId="0" borderId="91" xfId="25" applyFont="1" applyFill="1" applyBorder="1" applyAlignment="1" applyProtection="1">
      <alignment vertical="center" wrapText="1"/>
    </xf>
    <xf numFmtId="0" fontId="22" fillId="33" borderId="91" xfId="16" applyFont="1" applyFill="1" applyBorder="1"/>
    <xf numFmtId="0" fontId="27" fillId="0" borderId="91" xfId="19" applyFont="1" applyBorder="1"/>
    <xf numFmtId="164" fontId="24" fillId="0" borderId="91" xfId="10" applyFont="1" applyBorder="1"/>
    <xf numFmtId="0" fontId="27" fillId="0" borderId="91" xfId="19" applyFont="1" applyBorder="1" applyAlignment="1">
      <alignment wrapText="1"/>
    </xf>
    <xf numFmtId="0" fontId="22" fillId="33" borderId="93" xfId="16" applyFont="1" applyFill="1" applyBorder="1"/>
    <xf numFmtId="0" fontId="24" fillId="0" borderId="91" xfId="9" applyNumberFormat="1" applyFont="1" applyFill="1" applyBorder="1" applyAlignment="1">
      <alignment wrapText="1"/>
    </xf>
    <xf numFmtId="170" fontId="24" fillId="0" borderId="91" xfId="9" applyNumberFormat="1" applyFont="1" applyFill="1" applyBorder="1" applyAlignment="1">
      <alignment wrapText="1"/>
    </xf>
    <xf numFmtId="172" fontId="24" fillId="0" borderId="91" xfId="9" applyNumberFormat="1" applyFont="1" applyFill="1" applyBorder="1" applyAlignment="1">
      <alignment wrapText="1"/>
    </xf>
    <xf numFmtId="182" fontId="24" fillId="0" borderId="91" xfId="18" applyNumberFormat="1" applyFont="1" applyFill="1" applyBorder="1" applyAlignment="1">
      <alignment wrapText="1"/>
    </xf>
    <xf numFmtId="165" fontId="24" fillId="0" borderId="91" xfId="9" applyFont="1" applyFill="1" applyBorder="1" applyAlignment="1">
      <alignment wrapText="1"/>
    </xf>
    <xf numFmtId="0" fontId="24" fillId="0" borderId="91" xfId="19" applyNumberFormat="1" applyFont="1" applyFill="1" applyBorder="1" applyAlignment="1">
      <alignment wrapText="1"/>
    </xf>
    <xf numFmtId="164" fontId="27" fillId="0" borderId="91" xfId="10" applyFont="1" applyBorder="1"/>
    <xf numFmtId="0" fontId="27" fillId="0" borderId="86" xfId="19" applyNumberFormat="1" applyFont="1" applyBorder="1" applyAlignment="1">
      <alignment wrapText="1"/>
    </xf>
    <xf numFmtId="165" fontId="27" fillId="0" borderId="86" xfId="19" applyNumberFormat="1" applyFont="1" applyBorder="1" applyAlignment="1">
      <alignment wrapText="1"/>
    </xf>
    <xf numFmtId="207" fontId="27" fillId="0" borderId="86" xfId="19" applyNumberFormat="1" applyFont="1" applyBorder="1" applyAlignment="1">
      <alignment wrapText="1"/>
    </xf>
    <xf numFmtId="182" fontId="27" fillId="0" borderId="86" xfId="18" applyNumberFormat="1" applyFont="1" applyBorder="1" applyAlignment="1">
      <alignment wrapText="1"/>
    </xf>
    <xf numFmtId="11" fontId="27" fillId="0" borderId="86" xfId="19" applyNumberFormat="1" applyFont="1" applyBorder="1" applyAlignment="1">
      <alignment wrapText="1"/>
    </xf>
    <xf numFmtId="164" fontId="27" fillId="0" borderId="86" xfId="19" applyNumberFormat="1" applyFont="1" applyBorder="1" applyAlignment="1">
      <alignment wrapText="1"/>
    </xf>
    <xf numFmtId="164" fontId="28" fillId="34" borderId="91" xfId="19" applyNumberFormat="1" applyFont="1" applyFill="1" applyBorder="1"/>
    <xf numFmtId="0" fontId="28" fillId="34" borderId="91" xfId="19" applyFont="1" applyFill="1" applyBorder="1" applyAlignment="1">
      <alignment horizontal="right"/>
    </xf>
    <xf numFmtId="164" fontId="24" fillId="0" borderId="91" xfId="10" applyNumberFormat="1" applyFont="1" applyFill="1" applyBorder="1"/>
    <xf numFmtId="0" fontId="28" fillId="34" borderId="91" xfId="19" applyFont="1" applyFill="1" applyBorder="1"/>
    <xf numFmtId="0" fontId="1" fillId="0" borderId="91" xfId="19" applyBorder="1"/>
    <xf numFmtId="164" fontId="24" fillId="0" borderId="91" xfId="4" applyFont="1" applyFill="1" applyBorder="1"/>
    <xf numFmtId="1" fontId="24" fillId="0" borderId="91" xfId="19" applyNumberFormat="1" applyFont="1" applyFill="1" applyBorder="1"/>
    <xf numFmtId="0" fontId="24" fillId="0" borderId="91" xfId="9" applyNumberFormat="1" applyFont="1" applyFill="1" applyBorder="1" applyAlignment="1"/>
    <xf numFmtId="3" fontId="1" fillId="0" borderId="91" xfId="19" applyNumberFormat="1" applyBorder="1" applyAlignment="1"/>
    <xf numFmtId="172" fontId="24" fillId="0" borderId="91" xfId="9" applyNumberFormat="1" applyFont="1" applyFill="1" applyBorder="1" applyAlignment="1"/>
    <xf numFmtId="185" fontId="24" fillId="0" borderId="91" xfId="18" applyNumberFormat="1" applyFont="1" applyFill="1" applyBorder="1" applyAlignment="1"/>
    <xf numFmtId="165" fontId="24" fillId="0" borderId="91" xfId="9" applyFont="1" applyFill="1" applyBorder="1" applyAlignment="1"/>
    <xf numFmtId="0" fontId="24" fillId="0" borderId="91" xfId="19" applyFont="1" applyFill="1" applyBorder="1" applyAlignment="1"/>
    <xf numFmtId="164" fontId="24" fillId="0" borderId="91" xfId="4" applyFont="1" applyFill="1" applyBorder="1" applyAlignment="1"/>
    <xf numFmtId="0" fontId="24" fillId="0" borderId="91" xfId="19" applyFont="1" applyFill="1" applyBorder="1" applyAlignment="1" applyProtection="1"/>
    <xf numFmtId="183" fontId="24" fillId="0" borderId="91" xfId="19" applyNumberFormat="1" applyFont="1" applyFill="1" applyBorder="1" applyAlignment="1">
      <alignment wrapText="1"/>
    </xf>
    <xf numFmtId="164" fontId="1" fillId="0" borderId="91" xfId="10" applyFont="1" applyBorder="1"/>
    <xf numFmtId="0" fontId="24" fillId="0" borderId="94" xfId="13" applyFont="1" applyFill="1" applyBorder="1" applyAlignment="1">
      <alignment wrapText="1"/>
    </xf>
    <xf numFmtId="0" fontId="24" fillId="0" borderId="91" xfId="13" applyNumberFormat="1" applyFont="1" applyFill="1" applyBorder="1" applyAlignment="1">
      <alignment wrapText="1"/>
    </xf>
    <xf numFmtId="164" fontId="24" fillId="0" borderId="91" xfId="10" applyNumberFormat="1" applyFont="1" applyFill="1" applyBorder="1" applyAlignment="1">
      <alignment wrapText="1"/>
    </xf>
    <xf numFmtId="185" fontId="24" fillId="0" borderId="91" xfId="18" applyNumberFormat="1" applyFont="1" applyFill="1" applyBorder="1" applyAlignment="1">
      <alignment wrapText="1"/>
    </xf>
    <xf numFmtId="168" fontId="23" fillId="0" borderId="91" xfId="15" applyNumberFormat="1" applyFont="1" applyBorder="1" applyAlignment="1" applyProtection="1">
      <alignment wrapText="1"/>
    </xf>
    <xf numFmtId="0" fontId="1" fillId="0" borderId="91" xfId="19" applyBorder="1" applyAlignment="1">
      <alignment wrapText="1"/>
    </xf>
    <xf numFmtId="186" fontId="24" fillId="0" borderId="91" xfId="9" applyNumberFormat="1" applyFont="1" applyFill="1" applyBorder="1"/>
    <xf numFmtId="11" fontId="24" fillId="0" borderId="91" xfId="19" applyNumberFormat="1" applyFont="1" applyFill="1" applyBorder="1" applyAlignment="1"/>
    <xf numFmtId="174" fontId="24" fillId="0" borderId="91" xfId="19" applyNumberFormat="1" applyFont="1" applyFill="1" applyBorder="1"/>
    <xf numFmtId="0" fontId="28" fillId="34" borderId="91" xfId="19" applyFont="1" applyFill="1" applyBorder="1" applyAlignment="1">
      <alignment wrapText="1"/>
    </xf>
    <xf numFmtId="0" fontId="21" fillId="21" borderId="91" xfId="16" applyFill="1" applyBorder="1"/>
    <xf numFmtId="0" fontId="24" fillId="21" borderId="91" xfId="13" applyFont="1" applyFill="1" applyBorder="1" applyAlignment="1">
      <alignment wrapText="1"/>
    </xf>
    <xf numFmtId="164" fontId="27" fillId="0" borderId="91" xfId="77" applyFont="1" applyBorder="1"/>
    <xf numFmtId="179" fontId="24" fillId="0" borderId="91" xfId="19" applyNumberFormat="1" applyFont="1" applyFill="1" applyBorder="1"/>
    <xf numFmtId="0" fontId="34" fillId="0" borderId="91" xfId="19" applyFont="1" applyBorder="1"/>
    <xf numFmtId="0" fontId="24" fillId="0" borderId="91" xfId="9" applyNumberFormat="1" applyFont="1" applyFill="1" applyBorder="1"/>
    <xf numFmtId="170" fontId="24" fillId="0" borderId="91" xfId="9" applyNumberFormat="1" applyFont="1" applyFill="1" applyBorder="1"/>
    <xf numFmtId="2" fontId="24" fillId="0" borderId="91" xfId="10" applyNumberFormat="1" applyFont="1" applyFill="1" applyBorder="1"/>
    <xf numFmtId="208" fontId="24" fillId="0" borderId="91" xfId="10" applyNumberFormat="1" applyFont="1" applyFill="1" applyBorder="1"/>
    <xf numFmtId="0" fontId="27" fillId="0" borderId="91" xfId="19" applyFont="1" applyBorder="1" applyAlignment="1"/>
    <xf numFmtId="185" fontId="24" fillId="0" borderId="91" xfId="18" applyNumberFormat="1" applyFont="1" applyFill="1" applyBorder="1"/>
    <xf numFmtId="182" fontId="24" fillId="0" borderId="91" xfId="18" applyNumberFormat="1" applyFont="1" applyFill="1" applyBorder="1"/>
    <xf numFmtId="2" fontId="24" fillId="0" borderId="91" xfId="19" applyNumberFormat="1" applyFont="1" applyFill="1" applyBorder="1"/>
    <xf numFmtId="2" fontId="23" fillId="0" borderId="91" xfId="15" applyNumberFormat="1" applyFont="1" applyBorder="1" applyAlignment="1" applyProtection="1"/>
    <xf numFmtId="164" fontId="1" fillId="0" borderId="91" xfId="4" applyFont="1" applyBorder="1"/>
    <xf numFmtId="0" fontId="0" fillId="0" borderId="91" xfId="15" applyNumberFormat="1" applyFont="1" applyBorder="1" applyAlignment="1">
      <alignment wrapText="1"/>
    </xf>
    <xf numFmtId="0" fontId="24" fillId="0" borderId="91" xfId="13" applyFont="1" applyFill="1" applyBorder="1" applyAlignment="1"/>
    <xf numFmtId="0" fontId="21" fillId="0" borderId="91" xfId="16" applyBorder="1" applyAlignment="1">
      <alignment wrapText="1"/>
    </xf>
    <xf numFmtId="0" fontId="35" fillId="0" borderId="91" xfId="19" applyFont="1" applyBorder="1" applyAlignment="1">
      <alignment wrapText="1"/>
    </xf>
    <xf numFmtId="0" fontId="35" fillId="0" borderId="91" xfId="19" applyFont="1" applyBorder="1"/>
    <xf numFmtId="209" fontId="24" fillId="0" borderId="91" xfId="9" applyNumberFormat="1" applyFont="1" applyFill="1" applyBorder="1"/>
    <xf numFmtId="0" fontId="24" fillId="0" borderId="91" xfId="19" applyFont="1" applyFill="1" applyBorder="1" applyAlignment="1">
      <alignment vertical="top" wrapText="1"/>
    </xf>
    <xf numFmtId="0" fontId="0" fillId="0" borderId="91" xfId="15" applyNumberFormat="1" applyFont="1" applyBorder="1" applyAlignment="1"/>
    <xf numFmtId="0" fontId="21" fillId="0" borderId="93" xfId="16" applyBorder="1"/>
    <xf numFmtId="0" fontId="23" fillId="0" borderId="91" xfId="16" applyFont="1" applyBorder="1"/>
    <xf numFmtId="0" fontId="23" fillId="0" borderId="93" xfId="16" applyFont="1" applyBorder="1"/>
    <xf numFmtId="0" fontId="21" fillId="0" borderId="93" xfId="16" applyBorder="1" applyAlignment="1">
      <alignment wrapText="1"/>
    </xf>
    <xf numFmtId="4" fontId="24" fillId="0" borderId="91" xfId="9" applyNumberFormat="1" applyFont="1" applyFill="1" applyBorder="1"/>
    <xf numFmtId="175" fontId="23" fillId="0" borderId="91" xfId="15" applyNumberFormat="1" applyFont="1" applyBorder="1" applyAlignment="1" applyProtection="1"/>
    <xf numFmtId="0" fontId="23" fillId="0" borderId="91" xfId="16" applyFont="1" applyBorder="1" applyAlignment="1"/>
    <xf numFmtId="0" fontId="23" fillId="0" borderId="91" xfId="16" applyFont="1" applyBorder="1" applyAlignment="1" applyProtection="1"/>
    <xf numFmtId="0" fontId="23" fillId="0" borderId="93" xfId="16" applyFont="1" applyBorder="1" applyAlignment="1"/>
    <xf numFmtId="0" fontId="24" fillId="0" borderId="85" xfId="21" applyFont="1" applyFill="1" applyBorder="1" applyAlignment="1" applyProtection="1">
      <alignment wrapText="1"/>
    </xf>
    <xf numFmtId="0" fontId="11" fillId="35" borderId="91" xfId="2" applyFont="1" applyFill="1" applyBorder="1" applyProtection="1">
      <protection locked="0"/>
    </xf>
    <xf numFmtId="0" fontId="11" fillId="35" borderId="91" xfId="2" applyFont="1" applyFill="1" applyBorder="1" applyAlignment="1">
      <alignment horizontal="left"/>
    </xf>
    <xf numFmtId="18" fontId="11" fillId="35" borderId="91" xfId="2" applyNumberFormat="1" applyFont="1" applyFill="1" applyBorder="1" applyAlignment="1" applyProtection="1">
      <protection locked="0"/>
    </xf>
    <xf numFmtId="0" fontId="12" fillId="35" borderId="91" xfId="7" applyFill="1" applyBorder="1" applyAlignment="1">
      <alignment horizontal="left"/>
    </xf>
    <xf numFmtId="165" fontId="11" fillId="35" borderId="91" xfId="5" applyFont="1" applyFill="1" applyBorder="1" applyProtection="1">
      <protection locked="0"/>
    </xf>
    <xf numFmtId="37" fontId="11" fillId="35" borderId="91" xfId="2" applyNumberFormat="1" applyFont="1" applyFill="1" applyBorder="1" applyAlignment="1" applyProtection="1">
      <alignment horizontal="center"/>
      <protection locked="0"/>
    </xf>
    <xf numFmtId="2" fontId="11" fillId="35" borderId="91" xfId="2" applyNumberFormat="1" applyFont="1" applyFill="1" applyBorder="1" applyAlignment="1" applyProtection="1">
      <alignment horizontal="center"/>
      <protection locked="0"/>
    </xf>
    <xf numFmtId="2" fontId="11" fillId="35" borderId="91" xfId="2" applyNumberFormat="1" applyFont="1" applyFill="1" applyBorder="1" applyAlignment="1">
      <alignment horizontal="right"/>
    </xf>
    <xf numFmtId="0" fontId="11" fillId="35" borderId="91" xfId="2" applyFont="1" applyFill="1" applyBorder="1" applyAlignment="1">
      <alignment horizontal="center"/>
    </xf>
    <xf numFmtId="0" fontId="11" fillId="30" borderId="91" xfId="2" applyFont="1" applyFill="1" applyBorder="1" applyProtection="1">
      <protection locked="0"/>
    </xf>
    <xf numFmtId="0" fontId="11" fillId="30" borderId="91" xfId="2" applyFont="1" applyFill="1" applyBorder="1" applyAlignment="1">
      <alignment horizontal="left"/>
    </xf>
    <xf numFmtId="18" fontId="11" fillId="30" borderId="91" xfId="2" applyNumberFormat="1" applyFont="1" applyFill="1" applyBorder="1" applyAlignment="1" applyProtection="1">
      <alignment horizontal="right"/>
      <protection locked="0"/>
    </xf>
    <xf numFmtId="18" fontId="11" fillId="30" borderId="91" xfId="2" applyNumberFormat="1" applyFont="1" applyFill="1" applyBorder="1" applyAlignment="1" applyProtection="1">
      <protection locked="0"/>
    </xf>
    <xf numFmtId="0" fontId="12" fillId="30" borderId="91" xfId="7" applyFill="1" applyBorder="1"/>
    <xf numFmtId="165" fontId="11" fillId="30" borderId="91" xfId="5" applyFont="1" applyFill="1" applyBorder="1" applyProtection="1">
      <protection locked="0"/>
    </xf>
    <xf numFmtId="37" fontId="11" fillId="30" borderId="91" xfId="2" applyNumberFormat="1" applyFont="1" applyFill="1" applyBorder="1" applyAlignment="1" applyProtection="1">
      <alignment horizontal="center"/>
      <protection locked="0"/>
    </xf>
    <xf numFmtId="2" fontId="11" fillId="30" borderId="91" xfId="2" applyNumberFormat="1" applyFont="1" applyFill="1" applyBorder="1" applyAlignment="1" applyProtection="1">
      <alignment horizontal="center"/>
      <protection locked="0"/>
    </xf>
    <xf numFmtId="2" fontId="11" fillId="30" borderId="91" xfId="2" applyNumberFormat="1" applyFont="1" applyFill="1" applyBorder="1" applyAlignment="1">
      <alignment horizontal="right"/>
    </xf>
    <xf numFmtId="0" fontId="11" fillId="30" borderId="91" xfId="2" applyFont="1" applyFill="1" applyBorder="1" applyAlignment="1">
      <alignment horizontal="center"/>
    </xf>
    <xf numFmtId="0" fontId="12" fillId="30" borderId="91" xfId="7" applyFill="1" applyBorder="1" applyAlignment="1">
      <alignment horizontal="left"/>
    </xf>
    <xf numFmtId="11" fontId="11" fillId="35" borderId="91" xfId="2" applyNumberFormat="1" applyFont="1" applyFill="1" applyBorder="1" applyAlignment="1" applyProtection="1">
      <protection locked="0"/>
    </xf>
    <xf numFmtId="11" fontId="11" fillId="30" borderId="91" xfId="2" applyNumberFormat="1" applyFont="1" applyFill="1" applyBorder="1" applyAlignment="1" applyProtection="1">
      <protection locked="0"/>
    </xf>
    <xf numFmtId="2" fontId="11" fillId="30" borderId="91" xfId="2" applyNumberFormat="1" applyFont="1" applyFill="1" applyBorder="1" applyAlignment="1" applyProtection="1">
      <alignment horizontal="right"/>
      <protection locked="0"/>
    </xf>
    <xf numFmtId="2" fontId="24" fillId="0" borderId="85" xfId="19" applyNumberFormat="1" applyFont="1" applyFill="1" applyBorder="1" applyAlignment="1">
      <alignment wrapText="1"/>
    </xf>
    <xf numFmtId="0" fontId="21" fillId="0" borderId="67" xfId="16" applyBorder="1"/>
    <xf numFmtId="168" fontId="22" fillId="36" borderId="25" xfId="16" applyNumberFormat="1" applyFont="1" applyFill="1" applyBorder="1"/>
    <xf numFmtId="0" fontId="22" fillId="36" borderId="25" xfId="16" applyFont="1" applyFill="1" applyBorder="1" applyAlignment="1">
      <alignment horizontal="right"/>
    </xf>
    <xf numFmtId="0" fontId="22" fillId="0" borderId="95" xfId="16" applyFont="1" applyBorder="1"/>
    <xf numFmtId="0" fontId="24" fillId="0" borderId="91" xfId="16" applyFont="1" applyFill="1" applyBorder="1" applyAlignment="1">
      <alignment wrapText="1"/>
    </xf>
    <xf numFmtId="0" fontId="24" fillId="0" borderId="91" xfId="16" applyFont="1" applyFill="1" applyBorder="1" applyAlignment="1">
      <alignment vertical="center" wrapText="1"/>
    </xf>
    <xf numFmtId="0" fontId="22" fillId="36" borderId="18" xfId="16" applyFont="1" applyFill="1" applyBorder="1"/>
    <xf numFmtId="0" fontId="22" fillId="36" borderId="72" xfId="16" applyFont="1" applyFill="1" applyBorder="1"/>
    <xf numFmtId="0" fontId="21" fillId="0" borderId="95" xfId="16" applyBorder="1"/>
    <xf numFmtId="168" fontId="22" fillId="36" borderId="18" xfId="16" applyNumberFormat="1" applyFont="1" applyFill="1" applyBorder="1"/>
    <xf numFmtId="0" fontId="22" fillId="36" borderId="18" xfId="16" applyFont="1" applyFill="1" applyBorder="1" applyAlignment="1">
      <alignment horizontal="right"/>
    </xf>
    <xf numFmtId="37" fontId="24" fillId="0" borderId="91" xfId="4" applyNumberFormat="1" applyFont="1" applyFill="1" applyBorder="1" applyAlignment="1">
      <alignment wrapText="1"/>
    </xf>
    <xf numFmtId="0" fontId="24" fillId="0" borderId="91" xfId="16" applyNumberFormat="1" applyFont="1" applyFill="1" applyBorder="1" applyAlignment="1">
      <alignment wrapText="1"/>
    </xf>
    <xf numFmtId="39" fontId="24" fillId="0" borderId="91" xfId="4" applyNumberFormat="1" applyFont="1" applyFill="1" applyBorder="1" applyAlignment="1">
      <alignment wrapText="1"/>
    </xf>
    <xf numFmtId="169" fontId="24" fillId="0" borderId="91" xfId="16" applyNumberFormat="1" applyFont="1" applyFill="1" applyBorder="1" applyAlignment="1">
      <alignment wrapText="1"/>
    </xf>
    <xf numFmtId="0" fontId="24" fillId="0" borderId="91" xfId="16" applyFont="1" applyFill="1" applyBorder="1" applyAlignment="1" applyProtection="1">
      <alignment vertical="center" wrapText="1"/>
    </xf>
    <xf numFmtId="0" fontId="23" fillId="0" borderId="72" xfId="16" applyFont="1" applyBorder="1"/>
    <xf numFmtId="164" fontId="1" fillId="0" borderId="91" xfId="4" applyFont="1" applyBorder="1" applyAlignment="1">
      <alignment wrapText="1"/>
    </xf>
    <xf numFmtId="0" fontId="21" fillId="0" borderId="68" xfId="16" applyFont="1" applyBorder="1"/>
    <xf numFmtId="210" fontId="23" fillId="0" borderId="18" xfId="15" applyNumberFormat="1" applyFont="1" applyBorder="1" applyAlignment="1" applyProtection="1"/>
    <xf numFmtId="0" fontId="24" fillId="0" borderId="91" xfId="16" applyFont="1" applyFill="1" applyBorder="1" applyAlignment="1" applyProtection="1">
      <alignment wrapText="1"/>
    </xf>
    <xf numFmtId="183" fontId="24" fillId="0" borderId="91" xfId="16" applyNumberFormat="1" applyFont="1" applyFill="1" applyBorder="1" applyAlignment="1">
      <alignment wrapText="1"/>
    </xf>
    <xf numFmtId="0" fontId="24" fillId="0" borderId="91" xfId="16" applyFont="1" applyFill="1" applyBorder="1" applyAlignment="1" applyProtection="1"/>
    <xf numFmtId="0" fontId="23" fillId="0" borderId="68" xfId="15" applyNumberFormat="1" applyFont="1" applyBorder="1" applyAlignment="1"/>
    <xf numFmtId="0" fontId="23" fillId="0" borderId="72" xfId="16" applyFont="1" applyBorder="1" applyAlignment="1"/>
    <xf numFmtId="0" fontId="22" fillId="36" borderId="0" xfId="16" applyFont="1" applyFill="1" applyBorder="1"/>
    <xf numFmtId="37" fontId="23" fillId="0" borderId="18" xfId="15" applyNumberFormat="1" applyFont="1" applyBorder="1" applyAlignment="1" applyProtection="1">
      <alignment wrapText="1"/>
    </xf>
    <xf numFmtId="39" fontId="23" fillId="0" borderId="18" xfId="15" applyNumberFormat="1" applyFont="1" applyBorder="1" applyAlignment="1" applyProtection="1">
      <alignment wrapText="1"/>
    </xf>
    <xf numFmtId="194" fontId="23" fillId="0" borderId="18" xfId="16" applyNumberFormat="1" applyFont="1" applyBorder="1" applyAlignment="1">
      <alignment wrapText="1"/>
    </xf>
    <xf numFmtId="39" fontId="23" fillId="0" borderId="18" xfId="15" applyNumberFormat="1" applyFont="1" applyBorder="1" applyAlignment="1" applyProtection="1"/>
    <xf numFmtId="0" fontId="24" fillId="0" borderId="91" xfId="16" applyFont="1" applyFill="1" applyBorder="1"/>
    <xf numFmtId="164" fontId="1" fillId="0" borderId="94" xfId="11" applyFont="1" applyBorder="1"/>
    <xf numFmtId="169" fontId="1" fillId="0" borderId="4" xfId="17" applyNumberFormat="1" applyFont="1" applyFill="1" applyBorder="1"/>
    <xf numFmtId="168" fontId="22" fillId="37" borderId="27" xfId="16" applyNumberFormat="1" applyFont="1" applyFill="1" applyBorder="1"/>
    <xf numFmtId="0" fontId="22" fillId="37" borderId="27" xfId="16" applyFont="1" applyFill="1" applyBorder="1" applyAlignment="1">
      <alignment horizontal="right"/>
    </xf>
    <xf numFmtId="0" fontId="23" fillId="0" borderId="83" xfId="16" applyFont="1" applyBorder="1"/>
    <xf numFmtId="0" fontId="21" fillId="0" borderId="83" xfId="16" applyBorder="1" applyAlignment="1">
      <alignment wrapText="1"/>
    </xf>
    <xf numFmtId="0" fontId="22" fillId="37" borderId="4" xfId="16" applyFont="1" applyFill="1" applyBorder="1"/>
    <xf numFmtId="0" fontId="22" fillId="37" borderId="83" xfId="16" applyFont="1" applyFill="1" applyBorder="1"/>
    <xf numFmtId="0" fontId="22" fillId="37" borderId="4" xfId="16" applyFont="1" applyFill="1" applyBorder="1" applyAlignment="1">
      <alignment horizontal="right"/>
    </xf>
    <xf numFmtId="0" fontId="23" fillId="0" borderId="83" xfId="16" applyFont="1" applyBorder="1" applyAlignment="1"/>
    <xf numFmtId="0" fontId="22" fillId="37" borderId="27" xfId="16" applyFont="1" applyFill="1" applyBorder="1"/>
    <xf numFmtId="0" fontId="22" fillId="37" borderId="35" xfId="16" applyFont="1" applyFill="1" applyBorder="1"/>
    <xf numFmtId="0" fontId="22" fillId="37" borderId="18" xfId="16" applyFont="1" applyFill="1" applyBorder="1"/>
    <xf numFmtId="0" fontId="22" fillId="37" borderId="38" xfId="16" applyFont="1" applyFill="1" applyBorder="1"/>
    <xf numFmtId="0" fontId="22" fillId="37" borderId="18" xfId="16" applyFont="1" applyFill="1" applyBorder="1" applyAlignment="1">
      <alignment horizontal="left"/>
    </xf>
    <xf numFmtId="0" fontId="23" fillId="0" borderId="0" xfId="16" applyFont="1" applyBorder="1" applyAlignment="1">
      <alignment wrapText="1"/>
    </xf>
    <xf numFmtId="0" fontId="21" fillId="0" borderId="83" xfId="16" applyBorder="1"/>
    <xf numFmtId="43" fontId="23" fillId="0" borderId="4" xfId="18" applyNumberFormat="1" applyFont="1" applyBorder="1" applyAlignment="1" applyProtection="1"/>
    <xf numFmtId="211" fontId="23" fillId="0" borderId="4" xfId="15" applyNumberFormat="1" applyFont="1" applyBorder="1" applyAlignment="1" applyProtection="1"/>
    <xf numFmtId="0" fontId="21" fillId="0" borderId="84" xfId="16" applyBorder="1"/>
    <xf numFmtId="43" fontId="23" fillId="0" borderId="4" xfId="18" applyFont="1" applyBorder="1" applyAlignment="1">
      <alignment wrapText="1"/>
    </xf>
    <xf numFmtId="212" fontId="22" fillId="0" borderId="0" xfId="16" applyNumberFormat="1" applyFont="1" applyBorder="1"/>
    <xf numFmtId="185" fontId="23" fillId="0" borderId="4" xfId="18" applyNumberFormat="1" applyFont="1" applyBorder="1" applyAlignment="1" applyProtection="1"/>
    <xf numFmtId="166" fontId="20" fillId="0" borderId="63" xfId="14" applyBorder="1" applyAlignment="1">
      <alignment wrapText="1"/>
    </xf>
    <xf numFmtId="0" fontId="24" fillId="0" borderId="91" xfId="25" applyFont="1" applyFill="1" applyBorder="1" applyAlignment="1" applyProtection="1">
      <alignment wrapText="1"/>
    </xf>
    <xf numFmtId="0" fontId="24" fillId="0" borderId="0" xfId="16" applyFont="1" applyFill="1" applyBorder="1" applyAlignment="1" applyProtection="1">
      <alignment wrapText="1"/>
    </xf>
    <xf numFmtId="0" fontId="21" fillId="0" borderId="0" xfId="16" applyFont="1" applyBorder="1" applyAlignment="1"/>
    <xf numFmtId="0" fontId="21" fillId="0" borderId="68" xfId="16" applyFont="1" applyBorder="1" applyAlignment="1"/>
    <xf numFmtId="0" fontId="21" fillId="0" borderId="0" xfId="16" applyFont="1" applyAlignment="1"/>
    <xf numFmtId="0" fontId="21" fillId="0" borderId="0" xfId="16" applyBorder="1" applyAlignment="1"/>
    <xf numFmtId="166" fontId="20" fillId="0" borderId="91" xfId="14" applyNumberFormat="1" applyBorder="1" applyAlignment="1">
      <alignment wrapText="1"/>
    </xf>
    <xf numFmtId="0" fontId="24" fillId="0" borderId="91" xfId="16" applyFont="1" applyFill="1" applyBorder="1" applyAlignment="1">
      <alignment horizontal="right" wrapText="1"/>
    </xf>
    <xf numFmtId="0" fontId="24" fillId="0" borderId="91" xfId="16" applyFont="1" applyFill="1" applyBorder="1" applyAlignment="1">
      <alignment horizontal="right" vertical="center" wrapText="1"/>
    </xf>
    <xf numFmtId="164" fontId="24" fillId="0" borderId="91" xfId="4" applyFont="1" applyFill="1" applyBorder="1" applyAlignment="1">
      <alignment horizontal="right" wrapText="1"/>
    </xf>
    <xf numFmtId="168" fontId="23" fillId="0" borderId="18" xfId="15" applyNumberFormat="1" applyFont="1" applyBorder="1" applyAlignment="1" applyProtection="1">
      <alignment horizontal="right"/>
    </xf>
    <xf numFmtId="0" fontId="22" fillId="0" borderId="0" xfId="16" applyFont="1" applyBorder="1" applyAlignment="1">
      <alignment horizontal="right"/>
    </xf>
    <xf numFmtId="0" fontId="21" fillId="0" borderId="0" xfId="16" applyBorder="1" applyAlignment="1">
      <alignment horizontal="right"/>
    </xf>
    <xf numFmtId="0" fontId="21" fillId="0" borderId="68" xfId="16" applyBorder="1" applyAlignment="1">
      <alignment horizontal="right"/>
    </xf>
    <xf numFmtId="0" fontId="21" fillId="0" borderId="0" xfId="16" applyAlignment="1">
      <alignment horizontal="right"/>
    </xf>
    <xf numFmtId="0" fontId="11" fillId="38" borderId="4" xfId="2" applyFont="1" applyFill="1" applyBorder="1" applyProtection="1">
      <protection locked="0"/>
    </xf>
    <xf numFmtId="0" fontId="11" fillId="38" borderId="4" xfId="2" applyFont="1" applyFill="1" applyBorder="1" applyAlignment="1">
      <alignment horizontal="left"/>
    </xf>
    <xf numFmtId="18" fontId="11" fillId="38" borderId="4" xfId="2" applyNumberFormat="1" applyFont="1" applyFill="1" applyBorder="1" applyAlignment="1" applyProtection="1">
      <protection locked="0"/>
    </xf>
    <xf numFmtId="0" fontId="12" fillId="38" borderId="4" xfId="7" applyFill="1" applyBorder="1" applyAlignment="1">
      <alignment horizontal="left"/>
    </xf>
    <xf numFmtId="165" fontId="11" fillId="38" borderId="4" xfId="5" applyFont="1" applyFill="1" applyBorder="1" applyProtection="1">
      <protection locked="0"/>
    </xf>
    <xf numFmtId="37" fontId="11" fillId="38" borderId="4" xfId="2" applyNumberFormat="1" applyFont="1" applyFill="1" applyBorder="1" applyAlignment="1" applyProtection="1">
      <alignment horizontal="center"/>
      <protection locked="0"/>
    </xf>
    <xf numFmtId="2" fontId="11" fillId="38" borderId="4" xfId="2" applyNumberFormat="1" applyFont="1" applyFill="1" applyBorder="1" applyAlignment="1" applyProtection="1">
      <alignment horizontal="center"/>
      <protection locked="0"/>
    </xf>
    <xf numFmtId="2" fontId="11" fillId="38" borderId="4" xfId="2" applyNumberFormat="1" applyFont="1" applyFill="1" applyBorder="1" applyAlignment="1">
      <alignment horizontal="right"/>
    </xf>
    <xf numFmtId="0" fontId="11" fillId="38" borderId="4" xfId="2" applyFont="1" applyFill="1" applyBorder="1" applyAlignment="1">
      <alignment horizontal="center"/>
    </xf>
    <xf numFmtId="0" fontId="11" fillId="39" borderId="4" xfId="2" applyFont="1" applyFill="1" applyBorder="1" applyProtection="1">
      <protection locked="0"/>
    </xf>
    <xf numFmtId="0" fontId="11" fillId="39" borderId="4" xfId="2" applyFont="1" applyFill="1" applyBorder="1" applyAlignment="1">
      <alignment horizontal="left"/>
    </xf>
    <xf numFmtId="18" fontId="11" fillId="39" borderId="4" xfId="2" applyNumberFormat="1" applyFont="1" applyFill="1" applyBorder="1" applyAlignment="1" applyProtection="1">
      <alignment horizontal="right"/>
      <protection locked="0"/>
    </xf>
    <xf numFmtId="18" fontId="11" fillId="39" borderId="4" xfId="2" applyNumberFormat="1" applyFont="1" applyFill="1" applyBorder="1" applyAlignment="1" applyProtection="1">
      <protection locked="0"/>
    </xf>
    <xf numFmtId="0" fontId="12" fillId="39" borderId="4" xfId="7" applyFill="1" applyBorder="1" applyAlignment="1">
      <alignment horizontal="left"/>
    </xf>
    <xf numFmtId="165" fontId="11" fillId="39" borderId="4" xfId="5" applyFont="1" applyFill="1" applyBorder="1" applyProtection="1">
      <protection locked="0"/>
    </xf>
    <xf numFmtId="37" fontId="11" fillId="39" borderId="4" xfId="2" applyNumberFormat="1" applyFont="1" applyFill="1" applyBorder="1" applyAlignment="1" applyProtection="1">
      <alignment horizontal="center"/>
      <protection locked="0"/>
    </xf>
    <xf numFmtId="2" fontId="11" fillId="39" borderId="4" xfId="2" applyNumberFormat="1" applyFont="1" applyFill="1" applyBorder="1" applyAlignment="1" applyProtection="1">
      <alignment horizontal="center"/>
      <protection locked="0"/>
    </xf>
    <xf numFmtId="2" fontId="11" fillId="39" borderId="4" xfId="2" applyNumberFormat="1" applyFont="1" applyFill="1" applyBorder="1" applyAlignment="1">
      <alignment horizontal="right"/>
    </xf>
    <xf numFmtId="0" fontId="11" fillId="39" borderId="4" xfId="2" applyFont="1" applyFill="1" applyBorder="1" applyAlignment="1">
      <alignment horizontal="center"/>
    </xf>
    <xf numFmtId="11" fontId="11" fillId="39" borderId="4" xfId="2" applyNumberFormat="1" applyFont="1" applyFill="1" applyBorder="1" applyAlignment="1" applyProtection="1">
      <protection locked="0"/>
    </xf>
    <xf numFmtId="0" fontId="11" fillId="38" borderId="4" xfId="2" applyFont="1" applyFill="1" applyBorder="1" applyAlignment="1" applyProtection="1">
      <alignment horizontal="center"/>
      <protection locked="0"/>
    </xf>
    <xf numFmtId="0" fontId="11" fillId="39" borderId="4" xfId="2" applyFont="1" applyFill="1" applyBorder="1" applyAlignment="1" applyProtection="1">
      <alignment horizontal="center"/>
      <protection locked="0"/>
    </xf>
    <xf numFmtId="0" fontId="21" fillId="0" borderId="15" xfId="16" applyBorder="1" applyAlignment="1">
      <alignment wrapText="1"/>
    </xf>
    <xf numFmtId="168" fontId="22" fillId="40" borderId="18" xfId="16" applyNumberFormat="1" applyFont="1" applyFill="1" applyBorder="1"/>
    <xf numFmtId="0" fontId="22" fillId="40" borderId="18" xfId="16" applyFont="1" applyFill="1" applyBorder="1" applyAlignment="1">
      <alignment horizontal="right"/>
    </xf>
    <xf numFmtId="0" fontId="23" fillId="0" borderId="18" xfId="16" applyFont="1" applyBorder="1" applyAlignment="1" applyProtection="1">
      <alignment wrapText="1"/>
    </xf>
    <xf numFmtId="0" fontId="22" fillId="40" borderId="18" xfId="16" applyFont="1" applyFill="1" applyBorder="1"/>
    <xf numFmtId="0" fontId="22" fillId="40" borderId="18" xfId="16" applyFont="1" applyFill="1" applyBorder="1" applyAlignment="1">
      <alignment wrapText="1"/>
    </xf>
    <xf numFmtId="0" fontId="23" fillId="0" borderId="0" xfId="16" applyFont="1" applyBorder="1" applyAlignment="1"/>
    <xf numFmtId="0" fontId="22" fillId="40" borderId="0" xfId="16" applyFont="1" applyFill="1" applyBorder="1"/>
    <xf numFmtId="0" fontId="23" fillId="0" borderId="0" xfId="16" applyFont="1" applyBorder="1" applyAlignment="1">
      <alignment horizontal="left" wrapText="1"/>
    </xf>
    <xf numFmtId="0" fontId="21" fillId="0" borderId="22" xfId="16" applyBorder="1" applyAlignment="1">
      <alignment wrapText="1"/>
    </xf>
    <xf numFmtId="0" fontId="0" fillId="0" borderId="96" xfId="15" applyNumberFormat="1" applyFont="1" applyFill="1" applyBorder="1" applyAlignment="1">
      <alignment wrapText="1"/>
    </xf>
    <xf numFmtId="168" fontId="23" fillId="0" borderId="18" xfId="15" applyNumberFormat="1" applyFont="1" applyBorder="1" applyAlignment="1" applyProtection="1">
      <alignment wrapText="1"/>
    </xf>
    <xf numFmtId="0" fontId="23" fillId="0" borderId="0" xfId="16" applyFont="1" applyFill="1" applyBorder="1" applyAlignment="1">
      <alignment wrapText="1"/>
    </xf>
    <xf numFmtId="0" fontId="12" fillId="0" borderId="18" xfId="7" applyBorder="1" applyAlignment="1">
      <alignment wrapText="1"/>
    </xf>
    <xf numFmtId="168" fontId="22" fillId="40" borderId="25" xfId="16" applyNumberFormat="1" applyFont="1" applyFill="1" applyBorder="1"/>
    <xf numFmtId="0" fontId="22" fillId="40" borderId="25" xfId="16" applyFont="1" applyFill="1" applyBorder="1" applyAlignment="1">
      <alignment horizontal="right"/>
    </xf>
    <xf numFmtId="168" fontId="22" fillId="41" borderId="27" xfId="16" applyNumberFormat="1" applyFont="1" applyFill="1" applyBorder="1"/>
    <xf numFmtId="0" fontId="22" fillId="41" borderId="27" xfId="16" applyFont="1" applyFill="1" applyBorder="1" applyAlignment="1">
      <alignment horizontal="right"/>
    </xf>
    <xf numFmtId="0" fontId="22" fillId="41" borderId="4" xfId="16" applyFont="1" applyFill="1" applyBorder="1"/>
    <xf numFmtId="0" fontId="22" fillId="41" borderId="93" xfId="16" applyFont="1" applyFill="1" applyBorder="1"/>
    <xf numFmtId="0" fontId="22" fillId="41" borderId="4" xfId="16" applyFont="1" applyFill="1" applyBorder="1" applyAlignment="1">
      <alignment horizontal="right"/>
    </xf>
    <xf numFmtId="213" fontId="23" fillId="0" borderId="4" xfId="15" applyNumberFormat="1" applyFont="1" applyBorder="1" applyAlignment="1" applyProtection="1"/>
    <xf numFmtId="0" fontId="22" fillId="41" borderId="27" xfId="16" applyFont="1" applyFill="1" applyBorder="1"/>
    <xf numFmtId="0" fontId="22" fillId="41" borderId="35" xfId="16" applyFont="1" applyFill="1" applyBorder="1"/>
    <xf numFmtId="0" fontId="22" fillId="41" borderId="18" xfId="16" applyFont="1" applyFill="1" applyBorder="1"/>
    <xf numFmtId="0" fontId="22" fillId="41" borderId="38" xfId="16" applyFont="1" applyFill="1" applyBorder="1"/>
    <xf numFmtId="0" fontId="22" fillId="41" borderId="18" xfId="16" applyFont="1" applyFill="1" applyBorder="1" applyAlignment="1">
      <alignment horizontal="left"/>
    </xf>
    <xf numFmtId="195" fontId="23" fillId="0" borderId="4" xfId="15" applyNumberFormat="1" applyFont="1" applyBorder="1" applyAlignment="1" applyProtection="1"/>
    <xf numFmtId="191" fontId="23" fillId="0" borderId="4" xfId="18" applyNumberFormat="1" applyFont="1" applyBorder="1" applyAlignment="1" applyProtection="1"/>
    <xf numFmtId="0" fontId="21" fillId="0" borderId="17" xfId="16" applyFont="1" applyBorder="1" applyAlignment="1"/>
    <xf numFmtId="1" fontId="23" fillId="0" borderId="4" xfId="16" applyNumberFormat="1" applyFont="1" applyBorder="1" applyAlignment="1"/>
    <xf numFmtId="0" fontId="22" fillId="41" borderId="25" xfId="16" applyFont="1" applyFill="1" applyBorder="1"/>
    <xf numFmtId="0" fontId="22" fillId="41" borderId="25" xfId="16" applyFont="1" applyFill="1" applyBorder="1" applyAlignment="1">
      <alignment horizontal="left"/>
    </xf>
    <xf numFmtId="0" fontId="23" fillId="0" borderId="25" xfId="16" applyFont="1" applyBorder="1" applyAlignment="1">
      <alignment horizontal="right"/>
    </xf>
    <xf numFmtId="0" fontId="21" fillId="0" borderId="97" xfId="16" applyBorder="1"/>
    <xf numFmtId="0" fontId="11" fillId="42" borderId="4" xfId="2" applyFont="1" applyFill="1" applyBorder="1" applyProtection="1">
      <protection locked="0"/>
    </xf>
    <xf numFmtId="0" fontId="11" fillId="42" borderId="4" xfId="2" applyFont="1" applyFill="1" applyBorder="1" applyAlignment="1">
      <alignment horizontal="left"/>
    </xf>
    <xf numFmtId="18" fontId="11" fillId="42" borderId="4" xfId="2" applyNumberFormat="1" applyFont="1" applyFill="1" applyBorder="1" applyAlignment="1" applyProtection="1">
      <protection locked="0"/>
    </xf>
    <xf numFmtId="0" fontId="12" fillId="42" borderId="4" xfId="7" applyFill="1" applyBorder="1" applyAlignment="1">
      <alignment horizontal="left"/>
    </xf>
    <xf numFmtId="165" fontId="11" fillId="42" borderId="4" xfId="5" applyFont="1" applyFill="1" applyBorder="1" applyProtection="1">
      <protection locked="0"/>
    </xf>
    <xf numFmtId="37" fontId="11" fillId="42" borderId="4" xfId="2" applyNumberFormat="1" applyFont="1" applyFill="1" applyBorder="1" applyAlignment="1" applyProtection="1">
      <alignment horizontal="center"/>
      <protection locked="0"/>
    </xf>
    <xf numFmtId="2" fontId="11" fillId="42" borderId="4" xfId="2" applyNumberFormat="1" applyFont="1" applyFill="1" applyBorder="1" applyAlignment="1" applyProtection="1">
      <alignment horizontal="center"/>
      <protection locked="0"/>
    </xf>
    <xf numFmtId="2" fontId="11" fillId="42" borderId="4" xfId="2" applyNumberFormat="1" applyFont="1" applyFill="1" applyBorder="1" applyAlignment="1">
      <alignment horizontal="right"/>
    </xf>
    <xf numFmtId="0" fontId="11" fillId="42" borderId="4" xfId="2" applyFont="1" applyFill="1" applyBorder="1" applyAlignment="1">
      <alignment horizontal="center"/>
    </xf>
    <xf numFmtId="0" fontId="11" fillId="43" borderId="4" xfId="2" applyFont="1" applyFill="1" applyBorder="1" applyProtection="1">
      <protection locked="0"/>
    </xf>
    <xf numFmtId="0" fontId="11" fillId="43" borderId="4" xfId="2" applyFont="1" applyFill="1" applyBorder="1" applyAlignment="1">
      <alignment horizontal="left"/>
    </xf>
    <xf numFmtId="18" fontId="11" fillId="43" borderId="4" xfId="2" applyNumberFormat="1" applyFont="1" applyFill="1" applyBorder="1" applyAlignment="1" applyProtection="1">
      <alignment horizontal="right"/>
      <protection locked="0"/>
    </xf>
    <xf numFmtId="18" fontId="11" fillId="43" borderId="4" xfId="2" applyNumberFormat="1" applyFont="1" applyFill="1" applyBorder="1" applyAlignment="1" applyProtection="1">
      <protection locked="0"/>
    </xf>
    <xf numFmtId="0" fontId="12" fillId="43" borderId="4" xfId="7" applyFill="1" applyBorder="1" applyAlignment="1">
      <alignment horizontal="left"/>
    </xf>
    <xf numFmtId="165" fontId="11" fillId="43" borderId="4" xfId="5" applyFont="1" applyFill="1" applyBorder="1" applyProtection="1">
      <protection locked="0"/>
    </xf>
    <xf numFmtId="37" fontId="11" fillId="43" borderId="4" xfId="2" applyNumberFormat="1" applyFont="1" applyFill="1" applyBorder="1" applyAlignment="1" applyProtection="1">
      <alignment horizontal="center"/>
      <protection locked="0"/>
    </xf>
    <xf numFmtId="2" fontId="11" fillId="43" borderId="4" xfId="2" applyNumberFormat="1" applyFont="1" applyFill="1" applyBorder="1" applyAlignment="1" applyProtection="1">
      <alignment horizontal="center"/>
      <protection locked="0"/>
    </xf>
    <xf numFmtId="2" fontId="11" fillId="43" borderId="4" xfId="2" applyNumberFormat="1" applyFont="1" applyFill="1" applyBorder="1" applyAlignment="1">
      <alignment horizontal="right"/>
    </xf>
    <xf numFmtId="0" fontId="11" fillId="43" borderId="4" xfId="2" applyFont="1" applyFill="1" applyBorder="1" applyAlignment="1">
      <alignment horizontal="center"/>
    </xf>
    <xf numFmtId="11" fontId="11" fillId="43" borderId="4" xfId="2" applyNumberFormat="1" applyFont="1" applyFill="1" applyBorder="1" applyAlignment="1" applyProtection="1">
      <protection locked="0"/>
    </xf>
    <xf numFmtId="0" fontId="36" fillId="0" borderId="0" xfId="114" applyFont="1"/>
    <xf numFmtId="0" fontId="36" fillId="0" borderId="98" xfId="114" applyBorder="1"/>
    <xf numFmtId="0" fontId="36" fillId="0" borderId="99" xfId="114" applyBorder="1"/>
    <xf numFmtId="0" fontId="36" fillId="0" borderId="100" xfId="114" applyBorder="1"/>
    <xf numFmtId="0" fontId="36" fillId="0" borderId="101" xfId="114" applyBorder="1"/>
    <xf numFmtId="0" fontId="36" fillId="0" borderId="0" xfId="114" applyBorder="1"/>
    <xf numFmtId="0" fontId="22" fillId="0" borderId="0" xfId="114" applyFont="1" applyBorder="1"/>
    <xf numFmtId="168" fontId="22" fillId="44" borderId="102" xfId="114" applyNumberFormat="1" applyFont="1" applyFill="1" applyBorder="1"/>
    <xf numFmtId="0" fontId="22" fillId="44" borderId="102" xfId="114" applyFont="1" applyFill="1" applyBorder="1" applyAlignment="1">
      <alignment horizontal="right"/>
    </xf>
    <xf numFmtId="0" fontId="22" fillId="0" borderId="103" xfId="114" applyFont="1" applyBorder="1"/>
    <xf numFmtId="0" fontId="36" fillId="0" borderId="0" xfId="114" applyFont="1" applyBorder="1"/>
    <xf numFmtId="168" fontId="23" fillId="0" borderId="102" xfId="114" applyNumberFormat="1" applyFont="1" applyBorder="1" applyAlignment="1" applyProtection="1"/>
    <xf numFmtId="0" fontId="23" fillId="0" borderId="102" xfId="114" applyFont="1" applyBorder="1"/>
    <xf numFmtId="0" fontId="22" fillId="44" borderId="102" xfId="114" applyFont="1" applyFill="1" applyBorder="1"/>
    <xf numFmtId="0" fontId="36" fillId="0" borderId="103" xfId="114" applyBorder="1"/>
    <xf numFmtId="1" fontId="23" fillId="0" borderId="102" xfId="114" applyNumberFormat="1" applyFont="1" applyBorder="1" applyAlignment="1" applyProtection="1"/>
    <xf numFmtId="214" fontId="23" fillId="0" borderId="102" xfId="114" applyNumberFormat="1" applyFont="1" applyBorder="1" applyAlignment="1" applyProtection="1"/>
    <xf numFmtId="168" fontId="23" fillId="0" borderId="102" xfId="114" applyNumberFormat="1" applyFont="1" applyBorder="1"/>
    <xf numFmtId="0" fontId="23" fillId="0" borderId="102" xfId="114" applyFont="1" applyBorder="1" applyAlignment="1" applyProtection="1">
      <alignment vertical="center" wrapText="1"/>
    </xf>
    <xf numFmtId="0" fontId="36" fillId="0" borderId="101" xfId="114" applyBorder="1" applyAlignment="1">
      <alignment wrapText="1"/>
    </xf>
    <xf numFmtId="0" fontId="36" fillId="0" borderId="102" xfId="114" applyBorder="1"/>
    <xf numFmtId="0" fontId="36" fillId="0" borderId="101" xfId="114" applyFont="1" applyBorder="1"/>
    <xf numFmtId="0" fontId="36" fillId="0" borderId="102" xfId="114" applyFont="1" applyBorder="1" applyAlignment="1">
      <alignment wrapText="1"/>
    </xf>
    <xf numFmtId="168" fontId="23" fillId="0" borderId="102" xfId="115" applyNumberFormat="1" applyFont="1" applyBorder="1" applyAlignment="1" applyProtection="1"/>
    <xf numFmtId="0" fontId="0" fillId="0" borderId="102" xfId="115" applyNumberFormat="1" applyFont="1" applyBorder="1" applyAlignment="1">
      <alignment wrapText="1"/>
    </xf>
    <xf numFmtId="179" fontId="36" fillId="0" borderId="102" xfId="114" applyNumberFormat="1" applyBorder="1"/>
    <xf numFmtId="2" fontId="23" fillId="0" borderId="102" xfId="114" applyNumberFormat="1" applyFont="1" applyBorder="1" applyAlignment="1" applyProtection="1"/>
    <xf numFmtId="11" fontId="23" fillId="0" borderId="102" xfId="114" applyNumberFormat="1" applyFont="1" applyBorder="1" applyAlignment="1" applyProtection="1"/>
    <xf numFmtId="216" fontId="23" fillId="0" borderId="102" xfId="114" applyNumberFormat="1" applyFont="1" applyBorder="1" applyAlignment="1" applyProtection="1"/>
    <xf numFmtId="217" fontId="23" fillId="0" borderId="102" xfId="114" applyNumberFormat="1" applyFont="1" applyBorder="1" applyAlignment="1" applyProtection="1"/>
    <xf numFmtId="2" fontId="23" fillId="0" borderId="102" xfId="114" applyNumberFormat="1" applyFont="1" applyBorder="1"/>
    <xf numFmtId="0" fontId="36" fillId="0" borderId="101" xfId="114" applyBorder="1" applyAlignment="1"/>
    <xf numFmtId="0" fontId="36" fillId="0" borderId="102" xfId="114" applyBorder="1" applyAlignment="1"/>
    <xf numFmtId="218" fontId="23" fillId="0" borderId="102" xfId="114" applyNumberFormat="1" applyFont="1" applyBorder="1" applyAlignment="1" applyProtection="1"/>
    <xf numFmtId="11" fontId="23" fillId="0" borderId="102" xfId="114" applyNumberFormat="1" applyFont="1" applyBorder="1" applyAlignment="1"/>
    <xf numFmtId="183" fontId="23" fillId="0" borderId="102" xfId="114" applyNumberFormat="1" applyFont="1" applyBorder="1" applyAlignment="1"/>
    <xf numFmtId="0" fontId="23" fillId="0" borderId="102" xfId="114" applyFont="1" applyBorder="1" applyAlignment="1"/>
    <xf numFmtId="0" fontId="23" fillId="0" borderId="102" xfId="114" applyFont="1" applyBorder="1" applyAlignment="1">
      <alignment wrapText="1"/>
    </xf>
    <xf numFmtId="1" fontId="23" fillId="0" borderId="102" xfId="115" applyNumberFormat="1" applyFont="1" applyBorder="1" applyAlignment="1" applyProtection="1"/>
    <xf numFmtId="216" fontId="23" fillId="0" borderId="102" xfId="115" applyNumberFormat="1" applyFont="1" applyBorder="1" applyAlignment="1" applyProtection="1"/>
    <xf numFmtId="173" fontId="23" fillId="0" borderId="102" xfId="115" applyNumberFormat="1" applyFont="1" applyBorder="1" applyAlignment="1" applyProtection="1"/>
    <xf numFmtId="11" fontId="23" fillId="0" borderId="102" xfId="114" applyNumberFormat="1" applyFont="1" applyBorder="1"/>
    <xf numFmtId="1" fontId="23" fillId="0" borderId="102" xfId="114" applyNumberFormat="1" applyFont="1" applyBorder="1"/>
    <xf numFmtId="0" fontId="37" fillId="0" borderId="102" xfId="115" applyNumberFormat="1" applyFont="1" applyBorder="1" applyAlignment="1" applyProtection="1"/>
    <xf numFmtId="0" fontId="23" fillId="0" borderId="0" xfId="114" applyFont="1" applyBorder="1"/>
    <xf numFmtId="0" fontId="22" fillId="44" borderId="0" xfId="114" applyFont="1" applyFill="1" applyBorder="1"/>
    <xf numFmtId="0" fontId="23" fillId="0" borderId="0" xfId="114" applyFont="1" applyBorder="1" applyAlignment="1">
      <alignment horizontal="left"/>
    </xf>
    <xf numFmtId="0" fontId="38" fillId="0" borderId="0" xfId="114" applyFont="1" applyBorder="1" applyAlignment="1">
      <alignment horizontal="left"/>
    </xf>
    <xf numFmtId="0" fontId="23" fillId="0" borderId="102" xfId="114" applyFont="1" applyBorder="1" applyAlignment="1">
      <alignment horizontal="right"/>
    </xf>
    <xf numFmtId="0" fontId="36" fillId="0" borderId="105" xfId="114" applyBorder="1"/>
    <xf numFmtId="0" fontId="36" fillId="0" borderId="106" xfId="114" applyBorder="1"/>
    <xf numFmtId="0" fontId="36" fillId="0" borderId="107" xfId="114" applyBorder="1"/>
    <xf numFmtId="0" fontId="36" fillId="0" borderId="0" xfId="114"/>
    <xf numFmtId="0" fontId="36" fillId="0" borderId="108" xfId="114" applyFont="1" applyBorder="1" applyAlignment="1">
      <alignment wrapText="1"/>
    </xf>
    <xf numFmtId="219" fontId="22" fillId="44" borderId="102" xfId="114" applyNumberFormat="1" applyFont="1" applyFill="1" applyBorder="1"/>
    <xf numFmtId="168" fontId="22" fillId="44" borderId="109" xfId="114" applyNumberFormat="1" applyFont="1" applyFill="1" applyBorder="1"/>
    <xf numFmtId="0" fontId="22" fillId="44" borderId="109" xfId="114" applyFont="1" applyFill="1" applyBorder="1" applyAlignment="1">
      <alignment horizontal="right"/>
    </xf>
    <xf numFmtId="0" fontId="23" fillId="0" borderId="102" xfId="115" applyNumberFormat="1" applyFont="1" applyBorder="1" applyAlignment="1" applyProtection="1">
      <alignment vertical="center" wrapText="1"/>
    </xf>
    <xf numFmtId="0" fontId="36" fillId="0" borderId="0" xfId="114" applyAlignment="1">
      <alignment wrapText="1"/>
    </xf>
    <xf numFmtId="215" fontId="0" fillId="0" borderId="102" xfId="115" applyFont="1" applyBorder="1" applyAlignment="1">
      <alignment wrapText="1"/>
    </xf>
    <xf numFmtId="0" fontId="23" fillId="0" borderId="101" xfId="115" applyNumberFormat="1" applyFont="1" applyBorder="1" applyAlignment="1"/>
    <xf numFmtId="3" fontId="23" fillId="0" borderId="102" xfId="115" applyNumberFormat="1" applyFont="1" applyBorder="1" applyAlignment="1" applyProtection="1"/>
    <xf numFmtId="183" fontId="23" fillId="0" borderId="102" xfId="114" applyNumberFormat="1" applyFont="1" applyBorder="1"/>
    <xf numFmtId="168" fontId="23" fillId="0" borderId="102" xfId="114" applyNumberFormat="1" applyFont="1" applyBorder="1" applyAlignment="1" applyProtection="1">
      <alignment wrapText="1"/>
    </xf>
    <xf numFmtId="0" fontId="36" fillId="0" borderId="102" xfId="114" applyBorder="1" applyAlignment="1">
      <alignment wrapText="1"/>
    </xf>
    <xf numFmtId="0" fontId="36" fillId="0" borderId="0" xfId="114" applyBorder="1" applyAlignment="1">
      <alignment wrapText="1"/>
    </xf>
    <xf numFmtId="3" fontId="36" fillId="0" borderId="102" xfId="114" applyNumberFormat="1" applyBorder="1" applyAlignment="1"/>
    <xf numFmtId="187" fontId="23" fillId="0" borderId="102" xfId="116" applyNumberFormat="1" applyFont="1" applyBorder="1" applyAlignment="1" applyProtection="1"/>
    <xf numFmtId="182" fontId="23" fillId="0" borderId="102" xfId="116" applyNumberFormat="1" applyFont="1" applyBorder="1" applyAlignment="1" applyProtection="1"/>
    <xf numFmtId="11" fontId="23" fillId="0" borderId="102" xfId="114" applyNumberFormat="1" applyFont="1" applyBorder="1" applyAlignment="1">
      <alignment wrapText="1"/>
    </xf>
    <xf numFmtId="0" fontId="23" fillId="0" borderId="102" xfId="114" applyFont="1" applyBorder="1" applyAlignment="1" applyProtection="1"/>
    <xf numFmtId="0" fontId="22" fillId="44" borderId="109" xfId="114" applyFont="1" applyFill="1" applyBorder="1"/>
    <xf numFmtId="0" fontId="22" fillId="44" borderId="111" xfId="114" applyFont="1" applyFill="1" applyBorder="1"/>
    <xf numFmtId="0" fontId="22" fillId="0" borderId="112" xfId="114" applyFont="1" applyBorder="1"/>
    <xf numFmtId="0" fontId="22" fillId="0" borderId="113" xfId="114" applyFont="1" applyBorder="1"/>
    <xf numFmtId="0" fontId="22" fillId="44" borderId="114" xfId="114" applyFont="1" applyFill="1" applyBorder="1"/>
    <xf numFmtId="0" fontId="37" fillId="0" borderId="0" xfId="117" applyFont="1" applyBorder="1" applyAlignment="1" applyProtection="1"/>
    <xf numFmtId="0" fontId="22" fillId="44" borderId="102" xfId="114" applyFont="1" applyFill="1" applyBorder="1" applyAlignment="1">
      <alignment horizontal="left"/>
    </xf>
    <xf numFmtId="0" fontId="36" fillId="45" borderId="99" xfId="114" applyFill="1" applyBorder="1"/>
    <xf numFmtId="1" fontId="36" fillId="0" borderId="102" xfId="114" applyNumberFormat="1" applyBorder="1"/>
    <xf numFmtId="0" fontId="36" fillId="0" borderId="84" xfId="114" applyFont="1" applyBorder="1" applyAlignment="1">
      <alignment wrapText="1"/>
    </xf>
    <xf numFmtId="0" fontId="23" fillId="0" borderId="115" xfId="114" applyFont="1" applyBorder="1" applyAlignment="1"/>
    <xf numFmtId="0" fontId="23" fillId="0" borderId="116" xfId="114" applyFont="1" applyBorder="1" applyAlignment="1" applyProtection="1">
      <alignment vertical="center" wrapText="1"/>
    </xf>
    <xf numFmtId="0" fontId="23" fillId="0" borderId="110" xfId="114" applyFont="1" applyBorder="1" applyAlignment="1"/>
    <xf numFmtId="0" fontId="23" fillId="0" borderId="117" xfId="114" applyFont="1" applyBorder="1" applyAlignment="1" applyProtection="1"/>
    <xf numFmtId="220" fontId="23" fillId="0" borderId="102" xfId="114" applyNumberFormat="1" applyFont="1" applyBorder="1" applyAlignment="1" applyProtection="1"/>
    <xf numFmtId="168" fontId="36" fillId="0" borderId="0" xfId="114" applyNumberFormat="1" applyFont="1"/>
    <xf numFmtId="219" fontId="36" fillId="0" borderId="0" xfId="114" applyNumberFormat="1"/>
    <xf numFmtId="0" fontId="36" fillId="0" borderId="0" xfId="114" applyAlignment="1"/>
    <xf numFmtId="0" fontId="37" fillId="0" borderId="0" xfId="117" applyBorder="1" applyAlignment="1" applyProtection="1"/>
    <xf numFmtId="0" fontId="37" fillId="0" borderId="0" xfId="117" applyBorder="1" applyProtection="1"/>
    <xf numFmtId="0" fontId="38" fillId="46" borderId="102" xfId="0" applyFont="1" applyFill="1" applyBorder="1" applyProtection="1">
      <protection locked="0"/>
    </xf>
    <xf numFmtId="0" fontId="38" fillId="46" borderId="102" xfId="0" applyFont="1" applyFill="1" applyBorder="1" applyAlignment="1">
      <alignment horizontal="left"/>
    </xf>
    <xf numFmtId="18" fontId="38" fillId="46" borderId="102" xfId="0" applyNumberFormat="1" applyFont="1" applyFill="1" applyBorder="1" applyAlignment="1" applyProtection="1">
      <protection locked="0"/>
    </xf>
    <xf numFmtId="2" fontId="38" fillId="46" borderId="102" xfId="0" applyNumberFormat="1" applyFont="1" applyFill="1" applyBorder="1" applyAlignment="1" applyProtection="1">
      <protection locked="0"/>
    </xf>
    <xf numFmtId="0" fontId="38" fillId="46" borderId="102" xfId="0" applyFont="1" applyFill="1" applyBorder="1" applyAlignment="1">
      <alignment horizontal="center"/>
    </xf>
    <xf numFmtId="0" fontId="38" fillId="44" borderId="102" xfId="0" applyFont="1" applyFill="1" applyBorder="1" applyProtection="1">
      <protection locked="0"/>
    </xf>
    <xf numFmtId="0" fontId="38" fillId="44" borderId="102" xfId="0" applyFont="1" applyFill="1" applyBorder="1" applyAlignment="1">
      <alignment horizontal="left"/>
    </xf>
    <xf numFmtId="18" fontId="38" fillId="44" borderId="102" xfId="0" applyNumberFormat="1" applyFont="1" applyFill="1" applyBorder="1" applyAlignment="1" applyProtection="1">
      <alignment horizontal="right"/>
      <protection locked="0"/>
    </xf>
    <xf numFmtId="18" fontId="38" fillId="44" borderId="102" xfId="0" applyNumberFormat="1" applyFont="1" applyFill="1" applyBorder="1" applyAlignment="1" applyProtection="1">
      <protection locked="0"/>
    </xf>
    <xf numFmtId="2" fontId="38" fillId="44" borderId="102" xfId="0" applyNumberFormat="1" applyFont="1" applyFill="1" applyBorder="1" applyAlignment="1" applyProtection="1">
      <protection locked="0"/>
    </xf>
    <xf numFmtId="0" fontId="38" fillId="44" borderId="102" xfId="0" applyFont="1" applyFill="1" applyBorder="1" applyAlignment="1">
      <alignment horizontal="center"/>
    </xf>
    <xf numFmtId="0" fontId="38" fillId="0" borderId="118" xfId="0" applyFont="1" applyBorder="1" applyProtection="1">
      <protection locked="0"/>
    </xf>
    <xf numFmtId="0" fontId="38" fillId="0" borderId="118" xfId="0" applyFont="1" applyBorder="1" applyAlignment="1">
      <alignment horizontal="left"/>
    </xf>
    <xf numFmtId="18" fontId="38" fillId="0" borderId="118" xfId="0" applyNumberFormat="1" applyFont="1" applyBorder="1" applyAlignment="1" applyProtection="1">
      <protection locked="0"/>
    </xf>
    <xf numFmtId="0" fontId="38" fillId="0" borderId="118" xfId="0" applyFont="1" applyBorder="1" applyAlignment="1" applyProtection="1">
      <protection locked="0"/>
    </xf>
    <xf numFmtId="0" fontId="38" fillId="0" borderId="118" xfId="0" applyFont="1" applyBorder="1" applyAlignment="1" applyProtection="1">
      <alignment horizontal="center"/>
      <protection locked="0"/>
    </xf>
    <xf numFmtId="2" fontId="38" fillId="0" borderId="118" xfId="0" applyNumberFormat="1" applyFont="1" applyBorder="1" applyAlignment="1">
      <alignment horizontal="right"/>
    </xf>
    <xf numFmtId="0" fontId="38" fillId="0" borderId="118" xfId="0" applyFont="1" applyBorder="1" applyAlignment="1">
      <alignment horizontal="center"/>
    </xf>
    <xf numFmtId="180" fontId="24" fillId="0" borderId="85" xfId="108" applyNumberFormat="1" applyFont="1" applyFill="1" applyBorder="1" applyAlignment="1"/>
    <xf numFmtId="0" fontId="12" fillId="46" borderId="102" xfId="7" applyFill="1" applyBorder="1" applyAlignment="1" applyProtection="1">
      <alignment horizontal="left"/>
    </xf>
    <xf numFmtId="0" fontId="12" fillId="44" borderId="102" xfId="7" applyFill="1" applyBorder="1" applyAlignment="1" applyProtection="1">
      <alignment horizontal="left"/>
    </xf>
    <xf numFmtId="168" fontId="22" fillId="47" borderId="18" xfId="16" applyNumberFormat="1" applyFont="1" applyFill="1" applyBorder="1"/>
    <xf numFmtId="0" fontId="22" fillId="47" borderId="18" xfId="16" applyFont="1" applyFill="1" applyBorder="1" applyAlignment="1">
      <alignment horizontal="right"/>
    </xf>
    <xf numFmtId="166" fontId="20" fillId="0" borderId="4" xfId="14" applyBorder="1">
      <alignment vertical="center" wrapText="1"/>
    </xf>
    <xf numFmtId="0" fontId="24" fillId="0" borderId="119" xfId="16" applyFont="1" applyFill="1" applyBorder="1"/>
    <xf numFmtId="166" fontId="20" fillId="0" borderId="120" xfId="14" applyBorder="1">
      <alignment vertical="center" wrapText="1"/>
    </xf>
    <xf numFmtId="0" fontId="22" fillId="47" borderId="18" xfId="16" applyFont="1" applyFill="1" applyBorder="1"/>
    <xf numFmtId="0" fontId="22" fillId="47" borderId="72" xfId="16" applyFont="1" applyFill="1" applyBorder="1"/>
    <xf numFmtId="0" fontId="24" fillId="0" borderId="121" xfId="13" applyFont="1" applyFill="1" applyBorder="1" applyAlignment="1">
      <alignment wrapText="1"/>
    </xf>
    <xf numFmtId="0" fontId="24" fillId="0" borderId="122" xfId="13" applyFont="1" applyFill="1" applyBorder="1" applyAlignment="1">
      <alignment wrapText="1"/>
    </xf>
    <xf numFmtId="0" fontId="24" fillId="0" borderId="24" xfId="13" applyFont="1" applyFill="1" applyBorder="1" applyAlignment="1">
      <alignment wrapText="1"/>
    </xf>
    <xf numFmtId="171" fontId="23" fillId="0" borderId="18" xfId="18" applyNumberFormat="1" applyFont="1" applyBorder="1"/>
    <xf numFmtId="0" fontId="22" fillId="47" borderId="0" xfId="16" applyFont="1" applyFill="1" applyBorder="1"/>
    <xf numFmtId="0" fontId="24" fillId="0" borderId="123" xfId="16" applyFont="1" applyFill="1" applyBorder="1"/>
    <xf numFmtId="164" fontId="24" fillId="0" borderId="123" xfId="10" applyFont="1" applyFill="1" applyBorder="1"/>
    <xf numFmtId="0" fontId="24" fillId="0" borderId="123" xfId="16" applyNumberFormat="1" applyFont="1" applyFill="1" applyBorder="1" applyAlignment="1">
      <alignment wrapText="1"/>
    </xf>
    <xf numFmtId="0" fontId="24" fillId="0" borderId="123" xfId="13" applyFont="1" applyFill="1" applyBorder="1" applyAlignment="1">
      <alignment wrapText="1"/>
    </xf>
    <xf numFmtId="0" fontId="24" fillId="0" borderId="123" xfId="16" applyNumberFormat="1" applyFont="1" applyFill="1" applyBorder="1"/>
    <xf numFmtId="0" fontId="24" fillId="0" borderId="123" xfId="16" applyFont="1" applyFill="1" applyBorder="1" applyAlignment="1">
      <alignment wrapText="1"/>
    </xf>
    <xf numFmtId="0" fontId="24" fillId="0" borderId="123" xfId="23" applyFont="1" applyFill="1" applyBorder="1"/>
    <xf numFmtId="0" fontId="24" fillId="0" borderId="123" xfId="23" applyFont="1" applyFill="1" applyBorder="1" applyAlignment="1">
      <alignment wrapText="1"/>
    </xf>
    <xf numFmtId="168" fontId="22" fillId="47" borderId="123" xfId="16" applyNumberFormat="1" applyFont="1" applyFill="1" applyBorder="1"/>
    <xf numFmtId="0" fontId="22" fillId="47" borderId="124" xfId="16" applyFont="1" applyFill="1" applyBorder="1" applyAlignment="1">
      <alignment horizontal="right"/>
    </xf>
    <xf numFmtId="0" fontId="23" fillId="0" borderId="125" xfId="15" applyNumberFormat="1" applyFont="1" applyBorder="1" applyAlignment="1" applyProtection="1">
      <alignment horizontal="right"/>
    </xf>
    <xf numFmtId="0" fontId="23" fillId="0" borderId="123" xfId="16" applyFont="1" applyBorder="1"/>
    <xf numFmtId="39" fontId="23" fillId="0" borderId="123" xfId="15" applyNumberFormat="1" applyFont="1" applyBorder="1" applyAlignment="1" applyProtection="1"/>
    <xf numFmtId="0" fontId="23" fillId="0" borderId="123" xfId="16" applyFont="1" applyBorder="1" applyAlignment="1">
      <alignment wrapText="1"/>
    </xf>
    <xf numFmtId="0" fontId="21" fillId="0" borderId="126" xfId="16" applyNumberFormat="1" applyBorder="1" applyAlignment="1">
      <alignment horizontal="right"/>
    </xf>
    <xf numFmtId="0" fontId="24" fillId="0" borderId="4" xfId="119" applyFont="1" applyFill="1" applyBorder="1" applyAlignment="1" applyProtection="1">
      <alignment vertical="center" wrapText="1"/>
    </xf>
    <xf numFmtId="200" fontId="24" fillId="0" borderId="4" xfId="22" applyNumberFormat="1" applyFont="1" applyBorder="1" applyAlignment="1">
      <alignment vertical="center" wrapText="1"/>
    </xf>
    <xf numFmtId="221" fontId="24" fillId="0" borderId="4" xfId="22" applyNumberFormat="1" applyFont="1" applyBorder="1" applyAlignment="1">
      <alignment vertical="center" wrapText="1"/>
    </xf>
    <xf numFmtId="169" fontId="24" fillId="0" borderId="4" xfId="14" applyNumberFormat="1" applyFont="1" applyBorder="1" applyAlignment="1">
      <alignment vertical="center" wrapText="1"/>
    </xf>
    <xf numFmtId="39" fontId="24" fillId="0" borderId="4" xfId="22" applyNumberFormat="1" applyFont="1" applyFill="1" applyBorder="1" applyAlignment="1" applyProtection="1">
      <alignment vertical="center" wrapText="1"/>
    </xf>
    <xf numFmtId="0" fontId="24" fillId="0" borderId="4" xfId="23" applyFont="1" applyFill="1" applyBorder="1"/>
    <xf numFmtId="0" fontId="24" fillId="0" borderId="127" xfId="4" applyNumberFormat="1" applyFont="1" applyFill="1" applyBorder="1" applyAlignment="1">
      <alignment horizontal="right"/>
    </xf>
    <xf numFmtId="0" fontId="24" fillId="0" borderId="4" xfId="23" applyNumberFormat="1" applyFont="1" applyFill="1" applyBorder="1"/>
    <xf numFmtId="0" fontId="21" fillId="0" borderId="4" xfId="16" applyBorder="1" applyAlignment="1">
      <alignment horizontal="left"/>
    </xf>
    <xf numFmtId="164" fontId="24" fillId="0" borderId="4" xfId="22" applyFont="1" applyFill="1" applyBorder="1" applyAlignment="1" applyProtection="1">
      <alignment vertical="center" wrapText="1"/>
    </xf>
    <xf numFmtId="0" fontId="18" fillId="0" borderId="13" xfId="119" applyFont="1" applyBorder="1"/>
    <xf numFmtId="0" fontId="18" fillId="0" borderId="13" xfId="119" applyFont="1" applyBorder="1" applyAlignment="1">
      <alignment vertical="center"/>
    </xf>
    <xf numFmtId="0" fontId="24" fillId="0" borderId="13" xfId="119" applyFont="1" applyFill="1" applyBorder="1" applyAlignment="1" applyProtection="1">
      <alignment vertical="center" wrapText="1"/>
    </xf>
    <xf numFmtId="169" fontId="24" fillId="0" borderId="4" xfId="23" applyNumberFormat="1" applyFont="1" applyFill="1" applyBorder="1" applyAlignment="1">
      <alignment wrapText="1"/>
    </xf>
    <xf numFmtId="0" fontId="22" fillId="47" borderId="26" xfId="16" applyFont="1" applyFill="1" applyBorder="1"/>
    <xf numFmtId="0" fontId="22" fillId="47" borderId="4" xfId="16" applyFont="1" applyFill="1" applyBorder="1"/>
    <xf numFmtId="0" fontId="27" fillId="0" borderId="4" xfId="23" applyFont="1" applyBorder="1"/>
    <xf numFmtId="0" fontId="24" fillId="0" borderId="4" xfId="23" applyNumberFormat="1" applyFont="1" applyFill="1" applyBorder="1" applyAlignment="1">
      <alignment wrapText="1"/>
    </xf>
    <xf numFmtId="0" fontId="24" fillId="0" borderId="4" xfId="23" applyFont="1" applyFill="1" applyBorder="1" applyAlignment="1">
      <alignment wrapText="1"/>
    </xf>
    <xf numFmtId="164" fontId="27" fillId="0" borderId="121" xfId="17" applyNumberFormat="1" applyFont="1" applyBorder="1"/>
    <xf numFmtId="0" fontId="27" fillId="0" borderId="27" xfId="23" applyFont="1" applyBorder="1"/>
    <xf numFmtId="0" fontId="24" fillId="0" borderId="27" xfId="23" applyFont="1" applyFill="1" applyBorder="1"/>
    <xf numFmtId="164" fontId="24" fillId="0" borderId="27" xfId="4" applyFont="1" applyFill="1" applyBorder="1"/>
    <xf numFmtId="0" fontId="24" fillId="0" borderId="27" xfId="23" applyNumberFormat="1" applyFont="1" applyFill="1" applyBorder="1" applyAlignment="1">
      <alignment wrapText="1"/>
    </xf>
    <xf numFmtId="0" fontId="21" fillId="0" borderId="4" xfId="16" applyFill="1" applyBorder="1"/>
    <xf numFmtId="0" fontId="22" fillId="47" borderId="28" xfId="16" applyFont="1" applyFill="1" applyBorder="1"/>
    <xf numFmtId="11" fontId="24" fillId="0" borderId="4" xfId="108" applyNumberFormat="1" applyFont="1" applyFill="1" applyBorder="1"/>
    <xf numFmtId="0" fontId="24" fillId="0" borderId="4" xfId="108" applyFont="1" applyFill="1" applyBorder="1"/>
    <xf numFmtId="0" fontId="24" fillId="0" borderId="4" xfId="108" applyFont="1" applyFill="1" applyBorder="1" applyAlignment="1">
      <alignment wrapText="1"/>
    </xf>
    <xf numFmtId="0" fontId="22" fillId="0" borderId="18" xfId="16" applyFont="1" applyFill="1" applyBorder="1"/>
    <xf numFmtId="0" fontId="39" fillId="0" borderId="0" xfId="16" applyFont="1" applyFill="1" applyBorder="1"/>
    <xf numFmtId="0" fontId="12" fillId="0" borderId="26" xfId="7" applyNumberFormat="1" applyBorder="1" applyAlignment="1" applyProtection="1"/>
    <xf numFmtId="0" fontId="1" fillId="0" borderId="0" xfId="26"/>
    <xf numFmtId="0" fontId="24" fillId="0" borderId="18" xfId="16" applyFont="1" applyBorder="1"/>
    <xf numFmtId="0" fontId="24" fillId="0" borderId="4" xfId="10" applyNumberFormat="1" applyFont="1" applyFill="1" applyBorder="1"/>
    <xf numFmtId="170" fontId="24" fillId="0" borderId="4" xfId="9" applyNumberFormat="1" applyFont="1" applyFill="1" applyBorder="1" applyAlignment="1"/>
    <xf numFmtId="43" fontId="24" fillId="0" borderId="4" xfId="18" applyFont="1" applyFill="1" applyBorder="1" applyAlignment="1">
      <alignment wrapText="1"/>
    </xf>
    <xf numFmtId="171" fontId="23" fillId="0" borderId="18" xfId="18" applyNumberFormat="1" applyFont="1" applyBorder="1" applyAlignment="1" applyProtection="1"/>
    <xf numFmtId="0" fontId="24" fillId="0" borderId="79" xfId="16" applyFont="1" applyFill="1" applyBorder="1"/>
    <xf numFmtId="168" fontId="22" fillId="47" borderId="25" xfId="16" applyNumberFormat="1" applyFont="1" applyFill="1" applyBorder="1"/>
    <xf numFmtId="0" fontId="22" fillId="47" borderId="25" xfId="16" applyFont="1" applyFill="1" applyBorder="1" applyAlignment="1">
      <alignment horizontal="right"/>
    </xf>
    <xf numFmtId="171" fontId="0" fillId="0" borderId="4" xfId="18" applyNumberFormat="1" applyFont="1" applyBorder="1"/>
    <xf numFmtId="164" fontId="24" fillId="0" borderId="4" xfId="17" applyNumberFormat="1" applyFont="1" applyFill="1" applyBorder="1" applyAlignment="1" applyProtection="1">
      <alignment vertical="center" wrapText="1"/>
    </xf>
    <xf numFmtId="0" fontId="24" fillId="0" borderId="123" xfId="10" applyNumberFormat="1" applyFont="1" applyFill="1" applyBorder="1"/>
    <xf numFmtId="170" fontId="24" fillId="0" borderId="123" xfId="9" applyNumberFormat="1" applyFont="1" applyFill="1" applyBorder="1" applyAlignment="1"/>
    <xf numFmtId="0" fontId="21" fillId="0" borderId="123" xfId="16" applyBorder="1" applyAlignment="1"/>
    <xf numFmtId="172" fontId="24" fillId="0" borderId="123" xfId="9" applyNumberFormat="1" applyFont="1" applyFill="1" applyBorder="1" applyAlignment="1"/>
    <xf numFmtId="11" fontId="24" fillId="0" borderId="123" xfId="9" applyNumberFormat="1" applyFont="1" applyFill="1" applyBorder="1" applyAlignment="1"/>
    <xf numFmtId="11" fontId="24" fillId="0" borderId="123" xfId="16" applyNumberFormat="1" applyFont="1" applyFill="1" applyBorder="1" applyAlignment="1"/>
    <xf numFmtId="165" fontId="24" fillId="0" borderId="123" xfId="9" applyFont="1" applyFill="1" applyBorder="1" applyAlignment="1"/>
    <xf numFmtId="0" fontId="24" fillId="0" borderId="123" xfId="16" applyFont="1" applyFill="1" applyBorder="1" applyAlignment="1"/>
    <xf numFmtId="164" fontId="24" fillId="0" borderId="123" xfId="4" applyFont="1" applyFill="1" applyBorder="1" applyAlignment="1"/>
    <xf numFmtId="164" fontId="24" fillId="0" borderId="123" xfId="10" applyNumberFormat="1" applyFont="1" applyFill="1" applyBorder="1"/>
    <xf numFmtId="170" fontId="24" fillId="0" borderId="123" xfId="9" applyNumberFormat="1" applyFont="1" applyFill="1" applyBorder="1"/>
    <xf numFmtId="165" fontId="24" fillId="0" borderId="123" xfId="9" applyFont="1" applyFill="1" applyBorder="1"/>
    <xf numFmtId="173" fontId="24" fillId="0" borderId="123" xfId="9" applyNumberFormat="1" applyFont="1" applyFill="1" applyBorder="1"/>
    <xf numFmtId="11" fontId="24" fillId="0" borderId="123" xfId="16" applyNumberFormat="1" applyFont="1" applyFill="1" applyBorder="1"/>
    <xf numFmtId="49" fontId="12" fillId="0" borderId="18" xfId="7" applyNumberFormat="1" applyBorder="1" applyAlignment="1" applyProtection="1"/>
    <xf numFmtId="168" fontId="22" fillId="48" borderId="27" xfId="16" applyNumberFormat="1" applyFont="1" applyFill="1" applyBorder="1"/>
    <xf numFmtId="0" fontId="22" fillId="48" borderId="27" xfId="16" applyFont="1" applyFill="1" applyBorder="1" applyAlignment="1">
      <alignment horizontal="right"/>
    </xf>
    <xf numFmtId="0" fontId="22" fillId="48" borderId="4" xfId="16" applyFont="1" applyFill="1" applyBorder="1"/>
    <xf numFmtId="0" fontId="22" fillId="48" borderId="93" xfId="16" applyFont="1" applyFill="1" applyBorder="1"/>
    <xf numFmtId="0" fontId="22" fillId="48" borderId="4" xfId="16" applyFont="1" applyFill="1" applyBorder="1" applyAlignment="1">
      <alignment horizontal="right"/>
    </xf>
    <xf numFmtId="0" fontId="22" fillId="48" borderId="27" xfId="16" applyFont="1" applyFill="1" applyBorder="1"/>
    <xf numFmtId="0" fontId="22" fillId="48" borderId="35" xfId="16" applyFont="1" applyFill="1" applyBorder="1"/>
    <xf numFmtId="0" fontId="22" fillId="48" borderId="18" xfId="16" applyFont="1" applyFill="1" applyBorder="1"/>
    <xf numFmtId="0" fontId="22" fillId="48" borderId="38" xfId="16" applyFont="1" applyFill="1" applyBorder="1"/>
    <xf numFmtId="0" fontId="22" fillId="48" borderId="18" xfId="16" applyFont="1" applyFill="1" applyBorder="1" applyAlignment="1">
      <alignment horizontal="left"/>
    </xf>
    <xf numFmtId="0" fontId="24" fillId="0" borderId="128" xfId="16" applyFont="1" applyFill="1" applyBorder="1"/>
    <xf numFmtId="0" fontId="24" fillId="0" borderId="129" xfId="16" applyFont="1" applyFill="1" applyBorder="1"/>
    <xf numFmtId="164" fontId="24" fillId="0" borderId="129" xfId="10" applyFont="1" applyFill="1" applyBorder="1"/>
    <xf numFmtId="0" fontId="24" fillId="0" borderId="129" xfId="16" applyFont="1" applyFill="1" applyBorder="1" applyAlignment="1">
      <alignment wrapText="1"/>
    </xf>
    <xf numFmtId="0" fontId="24" fillId="0" borderId="129" xfId="13" applyFont="1" applyFill="1" applyBorder="1" applyAlignment="1">
      <alignment wrapText="1"/>
    </xf>
    <xf numFmtId="168" fontId="23" fillId="0" borderId="129" xfId="15" applyNumberFormat="1" applyFont="1" applyBorder="1" applyAlignment="1" applyProtection="1">
      <alignment wrapText="1"/>
    </xf>
    <xf numFmtId="0" fontId="24" fillId="0" borderId="129" xfId="16" applyNumberFormat="1" applyFont="1" applyFill="1" applyBorder="1"/>
    <xf numFmtId="0" fontId="24" fillId="0" borderId="130" xfId="13" applyFont="1" applyFill="1" applyBorder="1" applyAlignment="1">
      <alignment wrapText="1"/>
    </xf>
    <xf numFmtId="0" fontId="22" fillId="48" borderId="129" xfId="16" applyFont="1" applyFill="1" applyBorder="1"/>
    <xf numFmtId="0" fontId="22" fillId="48" borderId="131" xfId="16" applyFont="1" applyFill="1" applyBorder="1"/>
    <xf numFmtId="0" fontId="22" fillId="48" borderId="129" xfId="16" applyFont="1" applyFill="1" applyBorder="1" applyAlignment="1">
      <alignment horizontal="right"/>
    </xf>
    <xf numFmtId="168" fontId="23" fillId="0" borderId="129" xfId="15" applyNumberFormat="1" applyFont="1" applyBorder="1" applyAlignment="1" applyProtection="1"/>
    <xf numFmtId="0" fontId="24" fillId="0" borderId="129" xfId="9" applyNumberFormat="1" applyFont="1" applyFill="1" applyBorder="1"/>
    <xf numFmtId="165" fontId="24" fillId="0" borderId="129" xfId="9" applyFont="1" applyFill="1" applyBorder="1"/>
    <xf numFmtId="172" fontId="24" fillId="0" borderId="129" xfId="9" applyNumberFormat="1" applyFont="1" applyFill="1" applyBorder="1"/>
    <xf numFmtId="182" fontId="24" fillId="0" borderId="129" xfId="18" applyNumberFormat="1" applyFont="1" applyFill="1" applyBorder="1"/>
    <xf numFmtId="11" fontId="24" fillId="0" borderId="129" xfId="16" applyNumberFormat="1" applyFont="1" applyFill="1" applyBorder="1" applyAlignment="1">
      <alignment wrapText="1"/>
    </xf>
    <xf numFmtId="1" fontId="24" fillId="0" borderId="129" xfId="16" applyNumberFormat="1" applyFont="1" applyFill="1" applyBorder="1"/>
    <xf numFmtId="0" fontId="24" fillId="0" borderId="129" xfId="16" applyFont="1" applyFill="1" applyBorder="1" applyAlignment="1" applyProtection="1">
      <alignment wrapText="1"/>
    </xf>
    <xf numFmtId="185" fontId="24" fillId="0" borderId="129" xfId="18" applyNumberFormat="1" applyFont="1" applyFill="1" applyBorder="1"/>
    <xf numFmtId="2" fontId="24" fillId="0" borderId="129" xfId="16" applyNumberFormat="1" applyFont="1" applyFill="1" applyBorder="1"/>
    <xf numFmtId="11" fontId="24" fillId="0" borderId="129" xfId="16" applyNumberFormat="1" applyFont="1" applyFill="1" applyBorder="1"/>
    <xf numFmtId="171" fontId="24" fillId="0" borderId="129" xfId="18" applyNumberFormat="1" applyFont="1" applyFill="1" applyBorder="1"/>
    <xf numFmtId="0" fontId="24" fillId="0" borderId="129" xfId="16" applyNumberFormat="1" applyFont="1" applyFill="1" applyBorder="1" applyAlignment="1">
      <alignment wrapText="1"/>
    </xf>
    <xf numFmtId="0" fontId="24" fillId="0" borderId="132" xfId="13" applyFont="1" applyFill="1" applyBorder="1" applyAlignment="1">
      <alignment wrapText="1"/>
    </xf>
    <xf numFmtId="0" fontId="24" fillId="0" borderId="133" xfId="13" applyFont="1" applyFill="1" applyBorder="1" applyAlignment="1">
      <alignment wrapText="1"/>
    </xf>
    <xf numFmtId="0" fontId="22" fillId="48" borderId="134" xfId="16" applyFont="1" applyFill="1" applyBorder="1"/>
    <xf numFmtId="0" fontId="22" fillId="48" borderId="135" xfId="16" applyFont="1" applyFill="1" applyBorder="1"/>
    <xf numFmtId="0" fontId="22" fillId="48" borderId="134" xfId="16" applyFont="1" applyFill="1" applyBorder="1" applyAlignment="1">
      <alignment horizontal="right"/>
    </xf>
    <xf numFmtId="168" fontId="23" fillId="0" borderId="134" xfId="15" applyNumberFormat="1" applyFont="1" applyBorder="1" applyAlignment="1" applyProtection="1"/>
    <xf numFmtId="0" fontId="24" fillId="0" borderId="134" xfId="9" applyNumberFormat="1" applyFont="1" applyFill="1" applyBorder="1"/>
    <xf numFmtId="165" fontId="24" fillId="0" borderId="134" xfId="9" applyFont="1" applyFill="1" applyBorder="1"/>
    <xf numFmtId="172" fontId="24" fillId="0" borderId="134" xfId="9" applyNumberFormat="1" applyFont="1" applyFill="1" applyBorder="1"/>
    <xf numFmtId="185" fontId="24" fillId="0" borderId="134" xfId="18" applyNumberFormat="1" applyFont="1" applyFill="1" applyBorder="1"/>
    <xf numFmtId="11" fontId="24" fillId="0" borderId="134" xfId="16" applyNumberFormat="1" applyFont="1" applyFill="1" applyBorder="1" applyAlignment="1">
      <alignment wrapText="1"/>
    </xf>
    <xf numFmtId="0" fontId="24" fillId="0" borderId="134" xfId="16" applyFont="1" applyFill="1" applyBorder="1"/>
    <xf numFmtId="1" fontId="24" fillId="0" borderId="134" xfId="16" applyNumberFormat="1" applyFont="1" applyFill="1" applyBorder="1"/>
    <xf numFmtId="164" fontId="24" fillId="0" borderId="134" xfId="10" applyFont="1" applyFill="1" applyBorder="1"/>
    <xf numFmtId="0" fontId="24" fillId="0" borderId="134" xfId="16" applyFont="1" applyFill="1" applyBorder="1" applyAlignment="1" applyProtection="1">
      <alignment wrapText="1"/>
    </xf>
    <xf numFmtId="164" fontId="23" fillId="0" borderId="129" xfId="4" applyNumberFormat="1" applyFont="1" applyFill="1" applyBorder="1" applyAlignment="1"/>
    <xf numFmtId="0" fontId="23" fillId="0" borderId="129" xfId="16" applyFont="1" applyBorder="1"/>
    <xf numFmtId="0" fontId="23" fillId="0" borderId="129" xfId="13" applyFont="1" applyFill="1" applyBorder="1" applyAlignment="1">
      <alignment wrapText="1"/>
    </xf>
    <xf numFmtId="1" fontId="23" fillId="0" borderId="129" xfId="16" applyNumberFormat="1" applyFont="1" applyFill="1" applyBorder="1"/>
    <xf numFmtId="0" fontId="23" fillId="0" borderId="129" xfId="16" applyFont="1" applyFill="1" applyBorder="1"/>
    <xf numFmtId="164" fontId="23" fillId="0" borderId="129" xfId="4" applyFont="1" applyFill="1" applyBorder="1"/>
    <xf numFmtId="0" fontId="23" fillId="0" borderId="129" xfId="16" applyFont="1" applyFill="1" applyBorder="1" applyAlignment="1">
      <alignment wrapText="1"/>
    </xf>
    <xf numFmtId="0" fontId="23" fillId="0" borderId="129" xfId="16" applyFont="1" applyBorder="1" applyAlignment="1">
      <alignment wrapText="1"/>
    </xf>
    <xf numFmtId="0" fontId="22" fillId="48" borderId="136" xfId="16" applyFont="1" applyFill="1" applyBorder="1"/>
    <xf numFmtId="164" fontId="24" fillId="0" borderId="129" xfId="10" applyNumberFormat="1" applyFont="1" applyFill="1" applyBorder="1"/>
    <xf numFmtId="222" fontId="24" fillId="0" borderId="129" xfId="9" applyNumberFormat="1" applyFont="1" applyFill="1" applyBorder="1"/>
    <xf numFmtId="164" fontId="24" fillId="0" borderId="129" xfId="4" applyFont="1" applyFill="1" applyBorder="1"/>
    <xf numFmtId="0" fontId="24" fillId="0" borderId="129" xfId="16" applyFont="1" applyFill="1" applyBorder="1" applyAlignment="1">
      <alignment horizontal="left" wrapText="1"/>
    </xf>
    <xf numFmtId="0" fontId="22" fillId="48" borderId="70" xfId="16" applyFont="1" applyFill="1" applyBorder="1"/>
    <xf numFmtId="0" fontId="22" fillId="48" borderId="72" xfId="16" applyFont="1" applyFill="1" applyBorder="1"/>
    <xf numFmtId="164" fontId="24" fillId="0" borderId="129" xfId="4" applyNumberFormat="1" applyFont="1" applyFill="1" applyBorder="1" applyAlignment="1"/>
    <xf numFmtId="0" fontId="1" fillId="0" borderId="129" xfId="19" applyBorder="1"/>
    <xf numFmtId="43" fontId="1" fillId="0" borderId="129" xfId="19" applyNumberFormat="1" applyBorder="1"/>
    <xf numFmtId="0" fontId="27" fillId="0" borderId="129" xfId="19" applyFont="1" applyBorder="1" applyAlignment="1">
      <alignment wrapText="1"/>
    </xf>
    <xf numFmtId="0" fontId="27" fillId="0" borderId="129" xfId="19" applyFont="1" applyBorder="1"/>
    <xf numFmtId="170" fontId="24" fillId="0" borderId="129" xfId="9" applyNumberFormat="1" applyFont="1" applyFill="1" applyBorder="1"/>
    <xf numFmtId="11" fontId="24" fillId="0" borderId="129" xfId="19" applyNumberFormat="1" applyFont="1" applyFill="1" applyBorder="1" applyAlignment="1">
      <alignment wrapText="1"/>
    </xf>
    <xf numFmtId="0" fontId="24" fillId="0" borderId="129" xfId="19" applyFont="1" applyFill="1" applyBorder="1"/>
    <xf numFmtId="0" fontId="24" fillId="0" borderId="129" xfId="19" applyFont="1" applyFill="1" applyBorder="1" applyAlignment="1">
      <alignment horizontal="left" wrapText="1"/>
    </xf>
    <xf numFmtId="0" fontId="24" fillId="0" borderId="129" xfId="19" applyFont="1" applyFill="1" applyBorder="1" applyAlignment="1" applyProtection="1">
      <alignment wrapText="1"/>
    </xf>
    <xf numFmtId="0" fontId="24" fillId="21" borderId="129" xfId="19" applyFont="1" applyFill="1" applyBorder="1"/>
    <xf numFmtId="164" fontId="27" fillId="0" borderId="129" xfId="19" applyNumberFormat="1" applyFont="1" applyBorder="1"/>
    <xf numFmtId="164" fontId="24" fillId="21" borderId="129" xfId="19" applyNumberFormat="1" applyFont="1" applyFill="1" applyBorder="1"/>
    <xf numFmtId="1" fontId="24" fillId="0" borderId="129" xfId="9" applyNumberFormat="1" applyFont="1" applyFill="1" applyBorder="1"/>
    <xf numFmtId="174" fontId="24" fillId="0" borderId="129" xfId="9" applyNumberFormat="1" applyFont="1" applyFill="1" applyBorder="1"/>
    <xf numFmtId="2" fontId="24" fillId="0" borderId="129" xfId="19" applyNumberFormat="1" applyFont="1" applyFill="1" applyBorder="1"/>
    <xf numFmtId="220" fontId="1" fillId="0" borderId="129" xfId="19" applyNumberFormat="1" applyBorder="1" applyAlignment="1"/>
    <xf numFmtId="172" fontId="24" fillId="0" borderId="129" xfId="9" applyNumberFormat="1" applyFont="1" applyFill="1" applyBorder="1" applyAlignment="1"/>
    <xf numFmtId="0" fontId="24" fillId="0" borderId="129" xfId="9" applyNumberFormat="1" applyFont="1" applyFill="1" applyBorder="1" applyAlignment="1"/>
    <xf numFmtId="43" fontId="24" fillId="0" borderId="129" xfId="18" applyFont="1" applyFill="1" applyBorder="1" applyAlignment="1">
      <alignment wrapText="1"/>
    </xf>
    <xf numFmtId="165" fontId="24" fillId="0" borderId="129" xfId="9" applyFont="1" applyFill="1" applyBorder="1" applyAlignment="1"/>
    <xf numFmtId="0" fontId="24" fillId="0" borderId="129" xfId="19" applyFont="1" applyFill="1" applyBorder="1" applyAlignment="1"/>
    <xf numFmtId="164" fontId="24" fillId="0" borderId="129" xfId="4" applyFont="1" applyFill="1" applyBorder="1" applyAlignment="1"/>
    <xf numFmtId="0" fontId="24" fillId="0" borderId="129" xfId="19" applyFont="1" applyFill="1" applyBorder="1" applyAlignment="1">
      <alignment wrapText="1"/>
    </xf>
    <xf numFmtId="164" fontId="24" fillId="0" borderId="79" xfId="4" applyNumberFormat="1" applyFont="1" applyFill="1" applyBorder="1" applyAlignment="1"/>
    <xf numFmtId="0" fontId="1" fillId="0" borderId="79" xfId="19" applyBorder="1"/>
    <xf numFmtId="0" fontId="24" fillId="0" borderId="79" xfId="13" applyFont="1" applyFill="1" applyBorder="1" applyAlignment="1">
      <alignment wrapText="1"/>
    </xf>
    <xf numFmtId="0" fontId="1" fillId="0" borderId="129" xfId="19" applyBorder="1" applyAlignment="1"/>
    <xf numFmtId="197" fontId="24" fillId="0" borderId="129" xfId="9" applyNumberFormat="1" applyFont="1" applyFill="1" applyBorder="1" applyAlignment="1"/>
    <xf numFmtId="223" fontId="24" fillId="0" borderId="129" xfId="9" applyNumberFormat="1" applyFont="1" applyFill="1" applyBorder="1" applyAlignment="1"/>
    <xf numFmtId="0" fontId="24" fillId="21" borderId="129" xfId="16" applyFont="1" applyFill="1" applyBorder="1"/>
    <xf numFmtId="164" fontId="24" fillId="21" borderId="129" xfId="16" applyNumberFormat="1" applyFont="1" applyFill="1" applyBorder="1"/>
    <xf numFmtId="0" fontId="21" fillId="0" borderId="129" xfId="16" applyFont="1" applyBorder="1"/>
    <xf numFmtId="0" fontId="21" fillId="0" borderId="129" xfId="16" applyBorder="1"/>
    <xf numFmtId="0" fontId="24" fillId="0" borderId="129" xfId="16" applyFont="1" applyBorder="1"/>
    <xf numFmtId="0" fontId="21" fillId="0" borderId="129" xfId="16" applyBorder="1" applyAlignment="1">
      <alignment wrapText="1"/>
    </xf>
    <xf numFmtId="0" fontId="24" fillId="0" borderId="129" xfId="16" applyFont="1" applyBorder="1" applyAlignment="1">
      <alignment wrapText="1"/>
    </xf>
    <xf numFmtId="0" fontId="6" fillId="0" borderId="129" xfId="13" applyFont="1" applyFill="1" applyBorder="1" applyAlignment="1">
      <alignment wrapText="1"/>
    </xf>
    <xf numFmtId="0" fontId="24" fillId="0" borderId="129" xfId="9" applyNumberFormat="1" applyFont="1" applyFill="1" applyBorder="1" applyAlignment="1">
      <alignment horizontal="right" indent="1"/>
    </xf>
    <xf numFmtId="0" fontId="23" fillId="21" borderId="129" xfId="16" applyFont="1" applyFill="1" applyBorder="1"/>
    <xf numFmtId="164" fontId="23" fillId="21" borderId="129" xfId="16" applyNumberFormat="1" applyFont="1" applyFill="1" applyBorder="1"/>
    <xf numFmtId="164" fontId="23" fillId="0" borderId="129" xfId="16" applyNumberFormat="1" applyFont="1" applyBorder="1"/>
    <xf numFmtId="0" fontId="23" fillId="21" borderId="129" xfId="16" applyFont="1" applyFill="1" applyBorder="1" applyAlignment="1">
      <alignment wrapText="1" shrinkToFit="1"/>
    </xf>
    <xf numFmtId="0" fontId="21" fillId="0" borderId="129" xfId="16" applyBorder="1" applyAlignment="1"/>
    <xf numFmtId="11" fontId="24" fillId="0" borderId="129" xfId="9" applyNumberFormat="1" applyFont="1" applyFill="1" applyBorder="1" applyAlignment="1"/>
    <xf numFmtId="11" fontId="24" fillId="0" borderId="129" xfId="16" applyNumberFormat="1" applyFont="1" applyFill="1" applyBorder="1" applyAlignment="1"/>
    <xf numFmtId="0" fontId="24" fillId="0" borderId="129" xfId="16" applyFont="1" applyFill="1" applyBorder="1" applyAlignment="1"/>
    <xf numFmtId="2" fontId="24" fillId="0" borderId="129" xfId="9" applyNumberFormat="1" applyFont="1" applyFill="1" applyBorder="1" applyAlignment="1"/>
    <xf numFmtId="3" fontId="21" fillId="0" borderId="129" xfId="16" applyNumberFormat="1" applyBorder="1" applyAlignment="1"/>
    <xf numFmtId="0" fontId="24" fillId="0" borderId="129" xfId="16" applyFont="1" applyFill="1" applyBorder="1" applyAlignment="1" applyProtection="1"/>
    <xf numFmtId="164" fontId="24" fillId="0" borderId="129" xfId="16" applyNumberFormat="1" applyFont="1" applyBorder="1"/>
    <xf numFmtId="164" fontId="21" fillId="0" borderId="129" xfId="16" applyNumberFormat="1" applyFont="1" applyBorder="1"/>
    <xf numFmtId="182" fontId="24" fillId="0" borderId="129" xfId="18" applyNumberFormat="1" applyFont="1" applyFill="1" applyBorder="1" applyAlignment="1"/>
    <xf numFmtId="0" fontId="24" fillId="0" borderId="129" xfId="16" applyNumberFormat="1" applyFont="1" applyFill="1" applyBorder="1" applyAlignment="1"/>
    <xf numFmtId="168" fontId="22" fillId="48" borderId="137" xfId="16" applyNumberFormat="1" applyFont="1" applyFill="1" applyBorder="1"/>
    <xf numFmtId="164" fontId="24" fillId="0" borderId="129" xfId="4" applyNumberFormat="1" applyFont="1" applyFill="1" applyBorder="1" applyAlignment="1">
      <alignment wrapText="1"/>
    </xf>
    <xf numFmtId="164" fontId="24" fillId="0" borderId="129" xfId="4" applyFont="1" applyFill="1" applyBorder="1" applyAlignment="1">
      <alignment wrapText="1"/>
    </xf>
    <xf numFmtId="185" fontId="24" fillId="0" borderId="129" xfId="18" applyNumberFormat="1" applyFont="1" applyFill="1" applyBorder="1" applyAlignment="1"/>
    <xf numFmtId="0" fontId="24" fillId="0" borderId="0" xfId="4" applyNumberFormat="1" applyFont="1" applyFill="1" applyBorder="1"/>
    <xf numFmtId="0" fontId="22" fillId="48" borderId="138" xfId="16" applyFont="1" applyFill="1" applyBorder="1"/>
    <xf numFmtId="164" fontId="23" fillId="0" borderId="129" xfId="4" applyNumberFormat="1" applyFont="1" applyFill="1" applyBorder="1" applyAlignment="1">
      <alignment wrapText="1"/>
    </xf>
    <xf numFmtId="164" fontId="23" fillId="0" borderId="129" xfId="4" applyFont="1" applyFill="1" applyBorder="1" applyAlignment="1">
      <alignment wrapText="1"/>
    </xf>
    <xf numFmtId="168" fontId="22" fillId="48" borderId="129" xfId="16" applyNumberFormat="1" applyFont="1" applyFill="1" applyBorder="1"/>
    <xf numFmtId="179" fontId="24" fillId="0" borderId="129" xfId="16" applyNumberFormat="1" applyFont="1" applyBorder="1"/>
    <xf numFmtId="168" fontId="23" fillId="21" borderId="0" xfId="15" applyNumberFormat="1" applyFont="1" applyFill="1" applyBorder="1" applyAlignment="1" applyProtection="1"/>
    <xf numFmtId="0" fontId="23" fillId="0" borderId="139" xfId="16" applyFont="1" applyBorder="1"/>
    <xf numFmtId="0" fontId="23" fillId="0" borderId="134" xfId="13" applyFont="1" applyFill="1" applyBorder="1" applyAlignment="1">
      <alignment wrapText="1"/>
    </xf>
    <xf numFmtId="1" fontId="23" fillId="0" borderId="134" xfId="16" applyNumberFormat="1" applyFont="1" applyFill="1" applyBorder="1"/>
    <xf numFmtId="0" fontId="23" fillId="0" borderId="134" xfId="16" applyFont="1" applyFill="1" applyBorder="1"/>
    <xf numFmtId="164" fontId="23" fillId="0" borderId="134" xfId="4" applyFont="1" applyFill="1" applyBorder="1"/>
    <xf numFmtId="0" fontId="23" fillId="0" borderId="134" xfId="16" applyFont="1" applyFill="1" applyBorder="1" applyAlignment="1">
      <alignment wrapText="1"/>
    </xf>
    <xf numFmtId="164" fontId="24" fillId="0" borderId="134" xfId="4" applyNumberFormat="1" applyFont="1" applyFill="1" applyBorder="1" applyAlignment="1"/>
    <xf numFmtId="0" fontId="22" fillId="49" borderId="0" xfId="16" applyFont="1" applyFill="1" applyBorder="1"/>
    <xf numFmtId="164" fontId="24" fillId="0" borderId="134" xfId="4" applyNumberFormat="1" applyFont="1" applyFill="1" applyBorder="1" applyAlignment="1">
      <alignment wrapText="1"/>
    </xf>
    <xf numFmtId="0" fontId="23" fillId="0" borderId="139" xfId="16" applyFont="1" applyBorder="1" applyAlignment="1">
      <alignment wrapText="1"/>
    </xf>
    <xf numFmtId="0" fontId="23" fillId="0" borderId="134" xfId="16" applyFont="1" applyBorder="1" applyAlignment="1">
      <alignment wrapText="1"/>
    </xf>
    <xf numFmtId="164" fontId="23" fillId="0" borderId="134" xfId="4" applyFont="1" applyFill="1" applyBorder="1" applyAlignment="1">
      <alignment wrapText="1"/>
    </xf>
    <xf numFmtId="164" fontId="24" fillId="0" borderId="79" xfId="4" applyNumberFormat="1" applyFont="1" applyFill="1" applyBorder="1" applyAlignment="1">
      <alignment wrapText="1"/>
    </xf>
    <xf numFmtId="0" fontId="23" fillId="0" borderId="134" xfId="16" applyFont="1" applyBorder="1"/>
    <xf numFmtId="2" fontId="24" fillId="0" borderId="134" xfId="9" applyNumberFormat="1" applyFont="1" applyFill="1" applyBorder="1" applyAlignment="1"/>
    <xf numFmtId="3" fontId="21" fillId="0" borderId="134" xfId="16" applyNumberFormat="1" applyBorder="1" applyAlignment="1"/>
    <xf numFmtId="172" fontId="24" fillId="0" borderId="134" xfId="9" applyNumberFormat="1" applyFont="1" applyFill="1" applyBorder="1" applyAlignment="1"/>
    <xf numFmtId="182" fontId="24" fillId="0" borderId="134" xfId="18" applyNumberFormat="1" applyFont="1" applyFill="1" applyBorder="1" applyAlignment="1"/>
    <xf numFmtId="165" fontId="24" fillId="0" borderId="134" xfId="9" applyFont="1" applyFill="1" applyBorder="1" applyAlignment="1"/>
    <xf numFmtId="0" fontId="24" fillId="0" borderId="134" xfId="16" applyFont="1" applyFill="1" applyBorder="1" applyAlignment="1"/>
    <xf numFmtId="0" fontId="24" fillId="0" borderId="134" xfId="16" applyNumberFormat="1" applyFont="1" applyFill="1" applyBorder="1" applyAlignment="1"/>
    <xf numFmtId="164" fontId="24" fillId="0" borderId="134" xfId="4" applyFont="1" applyFill="1" applyBorder="1" applyAlignment="1"/>
    <xf numFmtId="0" fontId="24" fillId="0" borderId="134" xfId="16" applyFont="1" applyFill="1" applyBorder="1" applyAlignment="1" applyProtection="1"/>
    <xf numFmtId="164" fontId="23" fillId="0" borderId="134" xfId="4" applyNumberFormat="1" applyFont="1" applyFill="1" applyBorder="1" applyAlignment="1"/>
    <xf numFmtId="164" fontId="23" fillId="0" borderId="134" xfId="4" applyNumberFormat="1" applyFont="1" applyFill="1" applyBorder="1" applyAlignment="1">
      <alignment wrapText="1"/>
    </xf>
    <xf numFmtId="0" fontId="11" fillId="50" borderId="134" xfId="2" applyFont="1" applyFill="1" applyBorder="1" applyProtection="1">
      <protection locked="0"/>
    </xf>
    <xf numFmtId="0" fontId="11" fillId="50" borderId="134" xfId="2" applyFont="1" applyFill="1" applyBorder="1" applyAlignment="1">
      <alignment horizontal="left"/>
    </xf>
    <xf numFmtId="18" fontId="11" fillId="50" borderId="134" xfId="2" applyNumberFormat="1" applyFont="1" applyFill="1" applyBorder="1" applyAlignment="1" applyProtection="1">
      <protection locked="0"/>
    </xf>
    <xf numFmtId="0" fontId="12" fillId="50" borderId="134" xfId="7" applyFill="1" applyBorder="1" applyAlignment="1">
      <alignment horizontal="left"/>
    </xf>
    <xf numFmtId="165" fontId="11" fillId="50" borderId="134" xfId="5" applyFont="1" applyFill="1" applyBorder="1" applyProtection="1">
      <protection locked="0"/>
    </xf>
    <xf numFmtId="37" fontId="11" fillId="50" borderId="134" xfId="2" applyNumberFormat="1" applyFont="1" applyFill="1" applyBorder="1" applyAlignment="1" applyProtection="1">
      <alignment horizontal="center"/>
      <protection locked="0"/>
    </xf>
    <xf numFmtId="2" fontId="11" fillId="50" borderId="134" xfId="2" applyNumberFormat="1" applyFont="1" applyFill="1" applyBorder="1" applyAlignment="1" applyProtection="1">
      <alignment horizontal="center"/>
      <protection locked="0"/>
    </xf>
    <xf numFmtId="2" fontId="11" fillId="50" borderId="134" xfId="2" applyNumberFormat="1" applyFont="1" applyFill="1" applyBorder="1" applyAlignment="1">
      <alignment horizontal="right"/>
    </xf>
    <xf numFmtId="0" fontId="11" fillId="50" borderId="134" xfId="2" applyFont="1" applyFill="1" applyBorder="1" applyAlignment="1">
      <alignment horizontal="center"/>
    </xf>
    <xf numFmtId="0" fontId="11" fillId="51" borderId="134" xfId="2" applyFont="1" applyFill="1" applyBorder="1" applyProtection="1">
      <protection locked="0"/>
    </xf>
    <xf numFmtId="0" fontId="11" fillId="51" borderId="134" xfId="2" applyFont="1" applyFill="1" applyBorder="1" applyAlignment="1">
      <alignment horizontal="left"/>
    </xf>
    <xf numFmtId="18" fontId="11" fillId="51" borderId="134" xfId="2" applyNumberFormat="1" applyFont="1" applyFill="1" applyBorder="1" applyAlignment="1" applyProtection="1">
      <alignment horizontal="right"/>
      <protection locked="0"/>
    </xf>
    <xf numFmtId="18" fontId="11" fillId="51" borderId="134" xfId="2" applyNumberFormat="1" applyFont="1" applyFill="1" applyBorder="1" applyAlignment="1" applyProtection="1">
      <protection locked="0"/>
    </xf>
    <xf numFmtId="0" fontId="12" fillId="51" borderId="134" xfId="7" applyFill="1" applyBorder="1" applyAlignment="1">
      <alignment horizontal="left"/>
    </xf>
    <xf numFmtId="165" fontId="11" fillId="51" borderId="134" xfId="5" applyFont="1" applyFill="1" applyBorder="1" applyProtection="1">
      <protection locked="0"/>
    </xf>
    <xf numFmtId="37" fontId="11" fillId="51" borderId="134" xfId="2" applyNumberFormat="1" applyFont="1" applyFill="1" applyBorder="1" applyAlignment="1" applyProtection="1">
      <alignment horizontal="center"/>
      <protection locked="0"/>
    </xf>
    <xf numFmtId="2" fontId="11" fillId="51" borderId="134" xfId="2" applyNumberFormat="1" applyFont="1" applyFill="1" applyBorder="1" applyAlignment="1" applyProtection="1">
      <alignment horizontal="center"/>
      <protection locked="0"/>
    </xf>
    <xf numFmtId="2" fontId="11" fillId="51" borderId="134" xfId="2" applyNumberFormat="1" applyFont="1" applyFill="1" applyBorder="1" applyAlignment="1">
      <alignment horizontal="right"/>
    </xf>
    <xf numFmtId="0" fontId="11" fillId="51" borderId="134" xfId="2" applyFont="1" applyFill="1" applyBorder="1" applyAlignment="1">
      <alignment horizontal="center"/>
    </xf>
    <xf numFmtId="11" fontId="11" fillId="51" borderId="134" xfId="2" applyNumberFormat="1" applyFont="1" applyFill="1" applyBorder="1" applyAlignment="1" applyProtection="1">
      <protection locked="0"/>
    </xf>
    <xf numFmtId="18" fontId="11" fillId="50" borderId="134" xfId="2" applyNumberFormat="1" applyFont="1" applyFill="1" applyBorder="1" applyAlignment="1" applyProtection="1">
      <alignment horizontal="left"/>
      <protection locked="0"/>
    </xf>
    <xf numFmtId="43" fontId="11" fillId="50" borderId="134" xfId="18" applyFont="1" applyFill="1" applyBorder="1" applyAlignment="1" applyProtection="1">
      <protection locked="0"/>
    </xf>
    <xf numFmtId="43" fontId="11" fillId="50" borderId="134" xfId="18" applyFont="1" applyFill="1" applyBorder="1" applyAlignment="1" applyProtection="1">
      <alignment horizontal="center"/>
      <protection locked="0"/>
    </xf>
    <xf numFmtId="39" fontId="11" fillId="50" borderId="134" xfId="2" applyNumberFormat="1" applyFont="1" applyFill="1" applyBorder="1" applyAlignment="1" applyProtection="1">
      <alignment horizontal="center"/>
      <protection locked="0"/>
    </xf>
    <xf numFmtId="2" fontId="11" fillId="50" borderId="134" xfId="118" applyNumberFormat="1" applyFont="1" applyFill="1" applyBorder="1" applyAlignment="1" applyProtection="1">
      <alignment horizontal="center"/>
      <protection locked="0"/>
    </xf>
    <xf numFmtId="2" fontId="11" fillId="50" borderId="134" xfId="18" applyNumberFormat="1" applyFont="1" applyFill="1" applyBorder="1" applyAlignment="1" applyProtection="1">
      <alignment horizontal="center"/>
      <protection locked="0"/>
    </xf>
    <xf numFmtId="0" fontId="21" fillId="0" borderId="140" xfId="16" applyBorder="1"/>
    <xf numFmtId="0" fontId="0" fillId="0" borderId="28" xfId="15" applyNumberFormat="1" applyFont="1" applyBorder="1" applyAlignment="1">
      <alignment wrapText="1"/>
    </xf>
    <xf numFmtId="0" fontId="23" fillId="0" borderId="28" xfId="16" applyFont="1" applyBorder="1" applyAlignment="1">
      <alignment wrapText="1"/>
    </xf>
    <xf numFmtId="0" fontId="21" fillId="0" borderId="28" xfId="16" applyBorder="1"/>
    <xf numFmtId="0" fontId="0" fillId="0" borderId="129" xfId="15" applyNumberFormat="1" applyFont="1" applyBorder="1" applyAlignment="1">
      <alignment wrapText="1"/>
    </xf>
    <xf numFmtId="0" fontId="23" fillId="0" borderId="141" xfId="16" applyFont="1" applyBorder="1" applyAlignment="1"/>
    <xf numFmtId="0" fontId="23" fillId="0" borderId="28" xfId="16" applyFont="1" applyBorder="1" applyAlignment="1"/>
    <xf numFmtId="0" fontId="21" fillId="0" borderId="28" xfId="16" applyBorder="1" applyAlignment="1"/>
    <xf numFmtId="0" fontId="23" fillId="0" borderId="129" xfId="16" applyFont="1" applyBorder="1" applyAlignment="1"/>
    <xf numFmtId="0" fontId="24" fillId="0" borderId="79" xfId="16" applyNumberFormat="1" applyFont="1" applyFill="1" applyBorder="1"/>
    <xf numFmtId="164" fontId="24" fillId="0" borderId="79" xfId="10" applyFont="1" applyFill="1" applyBorder="1"/>
    <xf numFmtId="0" fontId="24" fillId="0" borderId="142" xfId="16" applyFont="1" applyFill="1" applyBorder="1"/>
    <xf numFmtId="0" fontId="24" fillId="0" borderId="30" xfId="16" applyNumberFormat="1" applyFont="1" applyFill="1" applyBorder="1"/>
    <xf numFmtId="164" fontId="24" fillId="0" borderId="30" xfId="10" applyFont="1" applyFill="1" applyBorder="1"/>
    <xf numFmtId="0" fontId="24" fillId="0" borderId="30" xfId="16" applyFont="1" applyFill="1" applyBorder="1" applyAlignment="1"/>
    <xf numFmtId="164" fontId="24" fillId="0" borderId="30" xfId="4" applyFont="1" applyFill="1" applyBorder="1" applyAlignment="1"/>
    <xf numFmtId="0" fontId="24" fillId="0" borderId="28" xfId="13" applyFont="1" applyFill="1" applyBorder="1" applyAlignment="1">
      <alignment wrapText="1"/>
    </xf>
    <xf numFmtId="0" fontId="24" fillId="0" borderId="35" xfId="16" applyFont="1" applyFill="1" applyBorder="1"/>
    <xf numFmtId="0" fontId="22" fillId="44" borderId="143" xfId="114" applyFont="1" applyFill="1" applyBorder="1"/>
    <xf numFmtId="0" fontId="22" fillId="44" borderId="134" xfId="114" applyFont="1" applyFill="1" applyBorder="1"/>
    <xf numFmtId="164" fontId="1" fillId="0" borderId="134" xfId="11" applyFont="1" applyBorder="1"/>
    <xf numFmtId="0" fontId="9" fillId="0" borderId="0" xfId="2" applyFont="1" applyAlignment="1">
      <alignment horizontal="center" vertical="top" wrapText="1"/>
    </xf>
    <xf numFmtId="0" fontId="8" fillId="0" borderId="0" xfId="2" applyFont="1" applyAlignment="1">
      <alignment horizontal="center" wrapText="1"/>
    </xf>
    <xf numFmtId="0" fontId="4" fillId="0" borderId="0" xfId="2" applyAlignment="1">
      <alignment horizontal="center" vertical="top"/>
    </xf>
  </cellXfs>
  <cellStyles count="123">
    <cellStyle name="Comma 2" xfId="5"/>
    <cellStyle name="Comma 3" xfId="28"/>
    <cellStyle name="Cost Table Plain" xfId="29"/>
    <cellStyle name="Cost_Green" xfId="6"/>
    <cellStyle name="Currency 2" xfId="3"/>
    <cellStyle name="Currency 2 2" xfId="30"/>
    <cellStyle name="Currency 2 3" xfId="31"/>
    <cellStyle name="Currency 2 4" xfId="32"/>
    <cellStyle name="Currency 3" xfId="33"/>
    <cellStyle name="Currency 4" xfId="34"/>
    <cellStyle name="Currency 4 2" xfId="35"/>
    <cellStyle name="Currency 4 3" xfId="36"/>
    <cellStyle name="Excel Built-in Explanatory Text" xfId="115"/>
    <cellStyle name="Good 2" xfId="37"/>
    <cellStyle name="Lien hypertexte" xfId="7" builtinId="8"/>
    <cellStyle name="Lien hypertexte 2" xfId="38"/>
    <cellStyle name="Lien hypertexte 3" xfId="117"/>
    <cellStyle name="Milliers" xfId="118" builtinId="3"/>
    <cellStyle name="Milliers 2" xfId="9"/>
    <cellStyle name="Milliers 2 2" xfId="39"/>
    <cellStyle name="Milliers 3" xfId="18"/>
    <cellStyle name="Milliers 3 2" xfId="120"/>
    <cellStyle name="Milliers 4" xfId="40"/>
    <cellStyle name="Milliers 5" xfId="41"/>
    <cellStyle name="Milliers 5 2" xfId="42"/>
    <cellStyle name="Milliers 5 3" xfId="43"/>
    <cellStyle name="Milliers 6" xfId="116"/>
    <cellStyle name="Milliers 9" xfId="44"/>
    <cellStyle name="Monétaire 10" xfId="10"/>
    <cellStyle name="Monétaire 10 2" xfId="45"/>
    <cellStyle name="Monétaire 17" xfId="46"/>
    <cellStyle name="Monétaire 18" xfId="47"/>
    <cellStyle name="Monétaire 2" xfId="4"/>
    <cellStyle name="Monétaire 2 2" xfId="48"/>
    <cellStyle name="Monétaire 2 3" xfId="11"/>
    <cellStyle name="Monétaire 2 3 2" xfId="49"/>
    <cellStyle name="Monétaire 2 3 3" xfId="24"/>
    <cellStyle name="Monétaire 2 4" xfId="50"/>
    <cellStyle name="Monétaire 2 5" xfId="51"/>
    <cellStyle name="Monétaire 20" xfId="52"/>
    <cellStyle name="Monétaire 21" xfId="53"/>
    <cellStyle name="Monétaire 22" xfId="54"/>
    <cellStyle name="Monétaire 24" xfId="55"/>
    <cellStyle name="Monétaire 25" xfId="56"/>
    <cellStyle name="Monétaire 27" xfId="57"/>
    <cellStyle name="Monétaire 3" xfId="17"/>
    <cellStyle name="Monétaire 3 2" xfId="58"/>
    <cellStyle name="Monétaire 3 3" xfId="59"/>
    <cellStyle name="Monétaire 3 4" xfId="60"/>
    <cellStyle name="Monétaire 3 5" xfId="61"/>
    <cellStyle name="Monétaire 3 6" xfId="62"/>
    <cellStyle name="Monétaire 3 7" xfId="63"/>
    <cellStyle name="Monétaire 30" xfId="64"/>
    <cellStyle name="Monétaire 35" xfId="22"/>
    <cellStyle name="Monétaire 38" xfId="65"/>
    <cellStyle name="Monétaire 4" xfId="66"/>
    <cellStyle name="Monétaire 4 2" xfId="67"/>
    <cellStyle name="Monétaire 4 3" xfId="68"/>
    <cellStyle name="Monétaire 4 3 2" xfId="69"/>
    <cellStyle name="Monétaire 4 3 3" xfId="70"/>
    <cellStyle name="Monétaire 4 4" xfId="71"/>
    <cellStyle name="Monétaire 5" xfId="72"/>
    <cellStyle name="Monétaire 5 2" xfId="73"/>
    <cellStyle name="Monétaire 5 3" xfId="74"/>
    <cellStyle name="Monétaire 5 4" xfId="75"/>
    <cellStyle name="Monétaire 6" xfId="76"/>
    <cellStyle name="Monétaire 7" xfId="77"/>
    <cellStyle name="Neutre" xfId="1" builtinId="28"/>
    <cellStyle name="Normal" xfId="0" builtinId="0"/>
    <cellStyle name="Normal 10" xfId="114"/>
    <cellStyle name="Normal 10 2" xfId="119"/>
    <cellStyle name="Normal 2" xfId="2"/>
    <cellStyle name="Normal 2 2" xfId="78"/>
    <cellStyle name="Normal 2 2 2" xfId="79"/>
    <cellStyle name="Normal 2 2 2 2" xfId="80"/>
    <cellStyle name="Normal 2 2 2 2 2" xfId="81"/>
    <cellStyle name="Normal 2 2 2 3" xfId="82"/>
    <cellStyle name="Normal 2 2 3" xfId="83"/>
    <cellStyle name="Normal 2 2 4" xfId="19"/>
    <cellStyle name="Normal 2 2 4 2" xfId="84"/>
    <cellStyle name="Normal 2 2 4 3" xfId="23"/>
    <cellStyle name="Normal 2 2 4 4" xfId="20"/>
    <cellStyle name="Normal 2 2 4 5" xfId="85"/>
    <cellStyle name="Normal 2 3" xfId="86"/>
    <cellStyle name="Normal 2 4" xfId="87"/>
    <cellStyle name="Normal 2 4 2" xfId="88"/>
    <cellStyle name="Normal 2 4 3" xfId="89"/>
    <cellStyle name="Normal 2 4 4" xfId="90"/>
    <cellStyle name="Normal 3" xfId="8"/>
    <cellStyle name="Normal 3 2" xfId="91"/>
    <cellStyle name="Normal 3 2 2" xfId="92"/>
    <cellStyle name="Normal 3 2 3" xfId="93"/>
    <cellStyle name="Normal 3 2 4" xfId="94"/>
    <cellStyle name="Normal 3 3" xfId="95"/>
    <cellStyle name="Normal 3 3 2" xfId="96"/>
    <cellStyle name="Normal 3 3 2 2" xfId="97"/>
    <cellStyle name="Normal 3 3 2 3" xfId="98"/>
    <cellStyle name="Normal 3 3 3" xfId="99"/>
    <cellStyle name="Normal 3 3 4" xfId="100"/>
    <cellStyle name="Normal 3 4" xfId="25"/>
    <cellStyle name="Normal 3 5" xfId="101"/>
    <cellStyle name="Normal 3 5 2" xfId="121"/>
    <cellStyle name="Normal 3 6" xfId="102"/>
    <cellStyle name="Normal 3 7" xfId="103"/>
    <cellStyle name="Normal 4" xfId="16"/>
    <cellStyle name="Normal 4 2" xfId="21"/>
    <cellStyle name="Normal 4 3" xfId="104"/>
    <cellStyle name="Normal 5" xfId="105"/>
    <cellStyle name="Normal 5 2" xfId="106"/>
    <cellStyle name="Normal 5 3" xfId="107"/>
    <cellStyle name="Normal 6" xfId="12"/>
    <cellStyle name="Normal 7" xfId="26"/>
    <cellStyle name="Normal 7 2" xfId="122"/>
    <cellStyle name="Normal 8" xfId="108"/>
    <cellStyle name="Normal 9" xfId="109"/>
    <cellStyle name="Normal_Sheet1" xfId="13"/>
    <cellStyle name="Pourcentage 2" xfId="27"/>
    <cellStyle name="Style 1" xfId="14"/>
    <cellStyle name="Style 1 2" xfId="110"/>
    <cellStyle name="Style 1 3" xfId="111"/>
    <cellStyle name="Style 1 4" xfId="112"/>
    <cellStyle name="Style 1 5" xfId="113"/>
    <cellStyle name="TableStyleLight1" xfId="15"/>
  </cellStyles>
  <dxfs count="2">
    <dxf>
      <font>
        <condense val="0"/>
        <extend val="0"/>
        <color indexed="9"/>
      </font>
    </dxf>
    <dxf>
      <font>
        <condense val="0"/>
        <extend val="0"/>
        <color indexed="9"/>
      </font>
    </dxf>
  </dxfs>
  <tableStyles count="0" defaultTableStyle="TableStyleMedium2" defaultPivotStyle="PivotStyleLight16"/>
  <colors>
    <mruColors>
      <color rgb="FFFF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externalLink" Target="externalLinks/externalLink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externalLink" Target="externalLinks/externalLink1.xml"/><Relationship Id="rId30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2736553453206411"/>
          <c:y val="3.28767123287671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20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fr-FR"/>
        </a:p>
      </c:txPr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0963892420273236"/>
          <c:y val="0.50000012931180515"/>
          <c:w val="0.26385588735861149"/>
          <c:h val="0.18432208156833496"/>
        </c:manualLayout>
      </c:layout>
      <c:pie3DChart>
        <c:varyColors val="1"/>
        <c:ser>
          <c:idx val="0"/>
          <c:order val="0"/>
          <c:tx>
            <c:strRef>
              <c:f>'Cost Summary'!$B$6</c:f>
              <c:strCache>
                <c:ptCount val="1"/>
                <c:pt idx="0">
                  <c:v>Area Totals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explosion val="25"/>
          <c:dPt>
            <c:idx val="0"/>
            <c:bubble3D val="0"/>
            <c:spPr>
              <a:solidFill>
                <a:srgbClr val="99CCFF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1"/>
            <c:bubble3D val="0"/>
            <c:spPr>
              <a:solidFill>
                <a:srgbClr val="CCFFCC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2"/>
            <c:bubble3D val="0"/>
            <c:spPr>
              <a:solidFill>
                <a:srgbClr val="FF99CC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3"/>
            <c:bubble3D val="0"/>
            <c:spPr>
              <a:solidFill>
                <a:srgbClr val="FFCC99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4"/>
            <c:bubble3D val="0"/>
            <c:spPr>
              <a:solidFill>
                <a:srgbClr val="CC99FF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5"/>
            <c:bubble3D val="0"/>
            <c:spPr>
              <a:solidFill>
                <a:srgbClr val="FF9900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6"/>
            <c:bubble3D val="0"/>
            <c:spPr>
              <a:solidFill>
                <a:srgbClr val="FFFF00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Pt>
            <c:idx val="7"/>
            <c:bubble3D val="0"/>
            <c:spPr>
              <a:solidFill>
                <a:srgbClr val="CCCCFF"/>
              </a:solidFill>
              <a:ln w="12700">
                <a:solidFill>
                  <a:srgbClr val="000000"/>
                </a:solidFill>
                <a:prstDash val="solid"/>
              </a:ln>
            </c:spPr>
          </c:dPt>
          <c:dLbls>
            <c:numFmt formatCode="0%" sourceLinked="0"/>
            <c:spPr>
              <a:noFill/>
              <a:ln w="25400">
                <a:noFill/>
              </a:ln>
            </c:spPr>
            <c:txPr>
              <a:bodyPr/>
              <a:lstStyle/>
              <a:p>
                <a:pPr>
                  <a:defRPr sz="12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endParaRPr lang="fr-FR"/>
              </a:p>
            </c:txPr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'Cost Summary'!$C$7:$C$14</c:f>
              <c:strCache>
                <c:ptCount val="8"/>
                <c:pt idx="0">
                  <c:v>Brake System</c:v>
                </c:pt>
                <c:pt idx="1">
                  <c:v>Engine &amp; Drivetrain</c:v>
                </c:pt>
                <c:pt idx="2">
                  <c:v>Frame &amp; Body</c:v>
                </c:pt>
                <c:pt idx="3">
                  <c:v>Instruments &amp; Wiring</c:v>
                </c:pt>
                <c:pt idx="4">
                  <c:v>Miscellaneous, Fit &amp; Finish</c:v>
                </c:pt>
                <c:pt idx="5">
                  <c:v>Steering System</c:v>
                </c:pt>
                <c:pt idx="6">
                  <c:v>Suspension &amp; Shocks</c:v>
                </c:pt>
                <c:pt idx="7">
                  <c:v>Wheels &amp; Tires</c:v>
                </c:pt>
              </c:strCache>
            </c:strRef>
          </c:cat>
          <c:val>
            <c:numRef>
              <c:f>'Cost Summary'!$H$7:$H$14</c:f>
              <c:numCache>
                <c:formatCode>_("$"* #,##0.00_);_("$"* \(#,##0.00\);_("$"* "-"??_);_(@_)</c:formatCode>
                <c:ptCount val="8"/>
                <c:pt idx="0">
                  <c:v>1175.9917947983336</c:v>
                </c:pt>
                <c:pt idx="1">
                  <c:v>4662.856582664519</c:v>
                </c:pt>
                <c:pt idx="2">
                  <c:v>3599.5263034503005</c:v>
                </c:pt>
                <c:pt idx="3">
                  <c:v>1897.6885215733332</c:v>
                </c:pt>
                <c:pt idx="4">
                  <c:v>471.64499200800003</c:v>
                </c:pt>
                <c:pt idx="5">
                  <c:v>725.66987430959023</c:v>
                </c:pt>
                <c:pt idx="6">
                  <c:v>2890.9598780587976</c:v>
                </c:pt>
                <c:pt idx="7">
                  <c:v>2208.652397381331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65620786546864818"/>
          <c:y val="0.31780821917808222"/>
          <c:w val="0.33833580843100175"/>
          <c:h val="0.45479452054794522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fr-FR"/>
        </a:p>
      </c:txPr>
    </c:legend>
    <c:plotVisOnly val="1"/>
    <c:dispBlanksAs val="zero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2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fr-FR"/>
    </a:p>
  </c:txPr>
  <c:printSettings>
    <c:headerFooter alignWithMargins="0"/>
    <c:pageMargins b="1" l="0.75000000000000022" r="0.75000000000000022" t="1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1.png"/><Relationship Id="rId3" Type="http://schemas.openxmlformats.org/officeDocument/2006/relationships/image" Target="../media/image156.png"/><Relationship Id="rId7" Type="http://schemas.openxmlformats.org/officeDocument/2006/relationships/image" Target="../media/image160.png"/><Relationship Id="rId12" Type="http://schemas.openxmlformats.org/officeDocument/2006/relationships/image" Target="../media/image165.jpeg"/><Relationship Id="rId2" Type="http://schemas.openxmlformats.org/officeDocument/2006/relationships/image" Target="../media/image155.png"/><Relationship Id="rId1" Type="http://schemas.openxmlformats.org/officeDocument/2006/relationships/image" Target="../media/image154.png"/><Relationship Id="rId6" Type="http://schemas.openxmlformats.org/officeDocument/2006/relationships/image" Target="../media/image159.png"/><Relationship Id="rId11" Type="http://schemas.openxmlformats.org/officeDocument/2006/relationships/image" Target="../media/image164.jpeg"/><Relationship Id="rId5" Type="http://schemas.openxmlformats.org/officeDocument/2006/relationships/image" Target="../media/image158.png"/><Relationship Id="rId10" Type="http://schemas.openxmlformats.org/officeDocument/2006/relationships/image" Target="../media/image163.jpeg"/><Relationship Id="rId4" Type="http://schemas.openxmlformats.org/officeDocument/2006/relationships/image" Target="../media/image157.png"/><Relationship Id="rId9" Type="http://schemas.openxmlformats.org/officeDocument/2006/relationships/image" Target="../media/image162.jpe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9.png"/><Relationship Id="rId13" Type="http://schemas.openxmlformats.org/officeDocument/2006/relationships/image" Target="../media/image172.png"/><Relationship Id="rId3" Type="http://schemas.openxmlformats.org/officeDocument/2006/relationships/hyperlink" Target="#EL_01003"/><Relationship Id="rId7" Type="http://schemas.openxmlformats.org/officeDocument/2006/relationships/hyperlink" Target="#EL_02001"/><Relationship Id="rId12" Type="http://schemas.openxmlformats.org/officeDocument/2006/relationships/image" Target="../media/image171.png"/><Relationship Id="rId17" Type="http://schemas.openxmlformats.org/officeDocument/2006/relationships/image" Target="../media/image174.png"/><Relationship Id="rId2" Type="http://schemas.openxmlformats.org/officeDocument/2006/relationships/image" Target="../media/image166.png"/><Relationship Id="rId16" Type="http://schemas.openxmlformats.org/officeDocument/2006/relationships/hyperlink" Target="#EL_01005"/><Relationship Id="rId1" Type="http://schemas.openxmlformats.org/officeDocument/2006/relationships/hyperlink" Target="#EL_01002"/><Relationship Id="rId6" Type="http://schemas.openxmlformats.org/officeDocument/2006/relationships/image" Target="../media/image168.png"/><Relationship Id="rId11" Type="http://schemas.openxmlformats.org/officeDocument/2006/relationships/hyperlink" Target="#EL_02004"/><Relationship Id="rId5" Type="http://schemas.openxmlformats.org/officeDocument/2006/relationships/hyperlink" Target="#EL_01004"/><Relationship Id="rId15" Type="http://schemas.openxmlformats.org/officeDocument/2006/relationships/image" Target="../media/image173.png"/><Relationship Id="rId10" Type="http://schemas.openxmlformats.org/officeDocument/2006/relationships/image" Target="../media/image170.png"/><Relationship Id="rId4" Type="http://schemas.openxmlformats.org/officeDocument/2006/relationships/image" Target="../media/image167.png"/><Relationship Id="rId9" Type="http://schemas.openxmlformats.org/officeDocument/2006/relationships/hyperlink" Target="#EL_02002"/><Relationship Id="rId14" Type="http://schemas.openxmlformats.org/officeDocument/2006/relationships/hyperlink" Target="#EL_01001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jpeg"/><Relationship Id="rId13" Type="http://schemas.openxmlformats.org/officeDocument/2006/relationships/image" Target="../media/image187.jpeg"/><Relationship Id="rId3" Type="http://schemas.openxmlformats.org/officeDocument/2006/relationships/image" Target="../media/image177.jpeg"/><Relationship Id="rId7" Type="http://schemas.openxmlformats.org/officeDocument/2006/relationships/image" Target="../media/image181.jpeg"/><Relationship Id="rId12" Type="http://schemas.openxmlformats.org/officeDocument/2006/relationships/image" Target="../media/image186.jpeg"/><Relationship Id="rId2" Type="http://schemas.openxmlformats.org/officeDocument/2006/relationships/image" Target="../media/image176.jpeg"/><Relationship Id="rId1" Type="http://schemas.openxmlformats.org/officeDocument/2006/relationships/image" Target="../media/image175.jpeg"/><Relationship Id="rId6" Type="http://schemas.openxmlformats.org/officeDocument/2006/relationships/image" Target="../media/image180.jpeg"/><Relationship Id="rId11" Type="http://schemas.openxmlformats.org/officeDocument/2006/relationships/image" Target="../media/image185.jpeg"/><Relationship Id="rId5" Type="http://schemas.openxmlformats.org/officeDocument/2006/relationships/image" Target="../media/image179.jpeg"/><Relationship Id="rId10" Type="http://schemas.openxmlformats.org/officeDocument/2006/relationships/image" Target="../media/image184.jpeg"/><Relationship Id="rId4" Type="http://schemas.openxmlformats.org/officeDocument/2006/relationships/image" Target="../media/image178.jpeg"/><Relationship Id="rId9" Type="http://schemas.openxmlformats.org/officeDocument/2006/relationships/image" Target="../media/image183.jpeg"/><Relationship Id="rId14" Type="http://schemas.openxmlformats.org/officeDocument/2006/relationships/image" Target="../media/image188.jpe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2.jpeg"/><Relationship Id="rId13" Type="http://schemas.openxmlformats.org/officeDocument/2006/relationships/hyperlink" Target="#MS_01007"/><Relationship Id="rId18" Type="http://schemas.openxmlformats.org/officeDocument/2006/relationships/image" Target="../media/image197.jpeg"/><Relationship Id="rId26" Type="http://schemas.openxmlformats.org/officeDocument/2006/relationships/image" Target="../media/image201.jpeg"/><Relationship Id="rId3" Type="http://schemas.openxmlformats.org/officeDocument/2006/relationships/hyperlink" Target="#MS_01002"/><Relationship Id="rId21" Type="http://schemas.openxmlformats.org/officeDocument/2006/relationships/hyperlink" Target="#MS_03003"/><Relationship Id="rId7" Type="http://schemas.openxmlformats.org/officeDocument/2006/relationships/hyperlink" Target="#MS_01004"/><Relationship Id="rId12" Type="http://schemas.openxmlformats.org/officeDocument/2006/relationships/hyperlink" Target="#MS_01006"/><Relationship Id="rId17" Type="http://schemas.openxmlformats.org/officeDocument/2006/relationships/hyperlink" Target="#MS_03001"/><Relationship Id="rId25" Type="http://schemas.openxmlformats.org/officeDocument/2006/relationships/hyperlink" Target="#MS_05003"/><Relationship Id="rId2" Type="http://schemas.openxmlformats.org/officeDocument/2006/relationships/image" Target="../media/image189.jpeg"/><Relationship Id="rId16" Type="http://schemas.openxmlformats.org/officeDocument/2006/relationships/image" Target="../media/image196.jpeg"/><Relationship Id="rId20" Type="http://schemas.openxmlformats.org/officeDocument/2006/relationships/image" Target="../media/image198.jpeg"/><Relationship Id="rId1" Type="http://schemas.openxmlformats.org/officeDocument/2006/relationships/hyperlink" Target="#MS_01001"/><Relationship Id="rId6" Type="http://schemas.openxmlformats.org/officeDocument/2006/relationships/image" Target="../media/image191.jpeg"/><Relationship Id="rId11" Type="http://schemas.openxmlformats.org/officeDocument/2006/relationships/hyperlink" Target="#MS_01005"/><Relationship Id="rId24" Type="http://schemas.openxmlformats.org/officeDocument/2006/relationships/image" Target="../media/image200.jpeg"/><Relationship Id="rId5" Type="http://schemas.openxmlformats.org/officeDocument/2006/relationships/hyperlink" Target="#MS_01003"/><Relationship Id="rId15" Type="http://schemas.openxmlformats.org/officeDocument/2006/relationships/hyperlink" Target="#MS_02001"/><Relationship Id="rId23" Type="http://schemas.openxmlformats.org/officeDocument/2006/relationships/hyperlink" Target="#MS_05002"/><Relationship Id="rId10" Type="http://schemas.openxmlformats.org/officeDocument/2006/relationships/image" Target="../media/image194.jpeg"/><Relationship Id="rId19" Type="http://schemas.openxmlformats.org/officeDocument/2006/relationships/hyperlink" Target="#MS_03002"/><Relationship Id="rId4" Type="http://schemas.openxmlformats.org/officeDocument/2006/relationships/image" Target="../media/image190.jpeg"/><Relationship Id="rId9" Type="http://schemas.openxmlformats.org/officeDocument/2006/relationships/image" Target="../media/image193.jpeg"/><Relationship Id="rId14" Type="http://schemas.openxmlformats.org/officeDocument/2006/relationships/image" Target="../media/image195.jpeg"/><Relationship Id="rId22" Type="http://schemas.openxmlformats.org/officeDocument/2006/relationships/image" Target="../media/image199.jpe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9.png"/><Relationship Id="rId13" Type="http://schemas.openxmlformats.org/officeDocument/2006/relationships/image" Target="../media/image214.png"/><Relationship Id="rId3" Type="http://schemas.openxmlformats.org/officeDocument/2006/relationships/image" Target="../media/image204.png"/><Relationship Id="rId7" Type="http://schemas.openxmlformats.org/officeDocument/2006/relationships/image" Target="../media/image208.png"/><Relationship Id="rId12" Type="http://schemas.openxmlformats.org/officeDocument/2006/relationships/image" Target="../media/image213.png"/><Relationship Id="rId17" Type="http://schemas.openxmlformats.org/officeDocument/2006/relationships/image" Target="../media/image217.jpeg"/><Relationship Id="rId2" Type="http://schemas.openxmlformats.org/officeDocument/2006/relationships/image" Target="../media/image203.png"/><Relationship Id="rId16" Type="http://schemas.openxmlformats.org/officeDocument/2006/relationships/image" Target="../media/image216.png"/><Relationship Id="rId1" Type="http://schemas.openxmlformats.org/officeDocument/2006/relationships/image" Target="../media/image202.png"/><Relationship Id="rId6" Type="http://schemas.openxmlformats.org/officeDocument/2006/relationships/image" Target="../media/image207.png"/><Relationship Id="rId11" Type="http://schemas.openxmlformats.org/officeDocument/2006/relationships/image" Target="../media/image212.jpeg"/><Relationship Id="rId5" Type="http://schemas.openxmlformats.org/officeDocument/2006/relationships/image" Target="../media/image206.png"/><Relationship Id="rId15" Type="http://schemas.openxmlformats.org/officeDocument/2006/relationships/image" Target="../media/image215.png"/><Relationship Id="rId10" Type="http://schemas.openxmlformats.org/officeDocument/2006/relationships/image" Target="../media/image211.emf"/><Relationship Id="rId4" Type="http://schemas.openxmlformats.org/officeDocument/2006/relationships/image" Target="../media/image205.png"/><Relationship Id="rId9" Type="http://schemas.openxmlformats.org/officeDocument/2006/relationships/image" Target="../media/image210.emf"/><Relationship Id="rId14" Type="http://schemas.microsoft.com/office/2007/relationships/hdphoto" Target="../media/hdphoto1.wdp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1.png"/><Relationship Id="rId13" Type="http://schemas.openxmlformats.org/officeDocument/2006/relationships/hyperlink" Target="#ST_02004"/><Relationship Id="rId18" Type="http://schemas.openxmlformats.org/officeDocument/2006/relationships/image" Target="../media/image226.png"/><Relationship Id="rId3" Type="http://schemas.openxmlformats.org/officeDocument/2006/relationships/hyperlink" Target="#ST_01002"/><Relationship Id="rId7" Type="http://schemas.openxmlformats.org/officeDocument/2006/relationships/hyperlink" Target="#ST_01005"/><Relationship Id="rId12" Type="http://schemas.openxmlformats.org/officeDocument/2006/relationships/image" Target="../media/image223.png"/><Relationship Id="rId17" Type="http://schemas.openxmlformats.org/officeDocument/2006/relationships/hyperlink" Target="#ST_04004"/><Relationship Id="rId2" Type="http://schemas.openxmlformats.org/officeDocument/2006/relationships/image" Target="../media/image218.png"/><Relationship Id="rId16" Type="http://schemas.openxmlformats.org/officeDocument/2006/relationships/image" Target="../media/image225.png"/><Relationship Id="rId20" Type="http://schemas.openxmlformats.org/officeDocument/2006/relationships/image" Target="../media/image227.png"/><Relationship Id="rId1" Type="http://schemas.openxmlformats.org/officeDocument/2006/relationships/hyperlink" Target="#ST_01001"/><Relationship Id="rId6" Type="http://schemas.openxmlformats.org/officeDocument/2006/relationships/image" Target="../media/image220.png"/><Relationship Id="rId11" Type="http://schemas.openxmlformats.org/officeDocument/2006/relationships/hyperlink" Target="#ST_02007"/><Relationship Id="rId5" Type="http://schemas.openxmlformats.org/officeDocument/2006/relationships/hyperlink" Target="#ST_01004"/><Relationship Id="rId15" Type="http://schemas.openxmlformats.org/officeDocument/2006/relationships/hyperlink" Target="#ST_05001"/><Relationship Id="rId10" Type="http://schemas.openxmlformats.org/officeDocument/2006/relationships/image" Target="../media/image222.png"/><Relationship Id="rId19" Type="http://schemas.openxmlformats.org/officeDocument/2006/relationships/hyperlink" Target="#ST_02005"/><Relationship Id="rId4" Type="http://schemas.openxmlformats.org/officeDocument/2006/relationships/image" Target="../media/image219.png"/><Relationship Id="rId9" Type="http://schemas.openxmlformats.org/officeDocument/2006/relationships/hyperlink" Target="#ST_02006"/><Relationship Id="rId14" Type="http://schemas.openxmlformats.org/officeDocument/2006/relationships/image" Target="../media/image224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4.png"/><Relationship Id="rId13" Type="http://schemas.openxmlformats.org/officeDocument/2006/relationships/image" Target="../media/image239.png"/><Relationship Id="rId18" Type="http://schemas.openxmlformats.org/officeDocument/2006/relationships/image" Target="../media/image244.png"/><Relationship Id="rId26" Type="http://schemas.openxmlformats.org/officeDocument/2006/relationships/image" Target="../media/image252.png"/><Relationship Id="rId3" Type="http://schemas.openxmlformats.org/officeDocument/2006/relationships/image" Target="../media/image212.jpeg"/><Relationship Id="rId21" Type="http://schemas.openxmlformats.org/officeDocument/2006/relationships/image" Target="../media/image247.png"/><Relationship Id="rId34" Type="http://schemas.microsoft.com/office/2007/relationships/hdphoto" Target="../media/hdphoto2.wdp"/><Relationship Id="rId7" Type="http://schemas.openxmlformats.org/officeDocument/2006/relationships/image" Target="../media/image233.png"/><Relationship Id="rId12" Type="http://schemas.openxmlformats.org/officeDocument/2006/relationships/image" Target="../media/image238.png"/><Relationship Id="rId17" Type="http://schemas.openxmlformats.org/officeDocument/2006/relationships/image" Target="../media/image243.png"/><Relationship Id="rId25" Type="http://schemas.openxmlformats.org/officeDocument/2006/relationships/image" Target="../media/image251.png"/><Relationship Id="rId33" Type="http://schemas.openxmlformats.org/officeDocument/2006/relationships/image" Target="../media/image258.png"/><Relationship Id="rId2" Type="http://schemas.openxmlformats.org/officeDocument/2006/relationships/image" Target="../media/image229.png"/><Relationship Id="rId16" Type="http://schemas.openxmlformats.org/officeDocument/2006/relationships/image" Target="../media/image242.png"/><Relationship Id="rId20" Type="http://schemas.openxmlformats.org/officeDocument/2006/relationships/image" Target="../media/image246.png"/><Relationship Id="rId29" Type="http://schemas.openxmlformats.org/officeDocument/2006/relationships/image" Target="../media/image255.png"/><Relationship Id="rId1" Type="http://schemas.openxmlformats.org/officeDocument/2006/relationships/image" Target="../media/image228.png"/><Relationship Id="rId6" Type="http://schemas.openxmlformats.org/officeDocument/2006/relationships/image" Target="../media/image232.png"/><Relationship Id="rId11" Type="http://schemas.openxmlformats.org/officeDocument/2006/relationships/image" Target="../media/image237.png"/><Relationship Id="rId24" Type="http://schemas.openxmlformats.org/officeDocument/2006/relationships/image" Target="../media/image250.png"/><Relationship Id="rId32" Type="http://schemas.openxmlformats.org/officeDocument/2006/relationships/image" Target="../media/image257.png"/><Relationship Id="rId37" Type="http://schemas.openxmlformats.org/officeDocument/2006/relationships/image" Target="../media/image260.jpeg"/><Relationship Id="rId5" Type="http://schemas.openxmlformats.org/officeDocument/2006/relationships/image" Target="../media/image231.png"/><Relationship Id="rId15" Type="http://schemas.openxmlformats.org/officeDocument/2006/relationships/image" Target="../media/image241.png"/><Relationship Id="rId23" Type="http://schemas.openxmlformats.org/officeDocument/2006/relationships/image" Target="../media/image249.png"/><Relationship Id="rId28" Type="http://schemas.openxmlformats.org/officeDocument/2006/relationships/image" Target="../media/image254.png"/><Relationship Id="rId36" Type="http://schemas.microsoft.com/office/2007/relationships/hdphoto" Target="../media/hdphoto3.wdp"/><Relationship Id="rId10" Type="http://schemas.openxmlformats.org/officeDocument/2006/relationships/image" Target="../media/image236.png"/><Relationship Id="rId19" Type="http://schemas.openxmlformats.org/officeDocument/2006/relationships/image" Target="../media/image245.png"/><Relationship Id="rId31" Type="http://schemas.openxmlformats.org/officeDocument/2006/relationships/image" Target="../media/image256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Relationship Id="rId14" Type="http://schemas.openxmlformats.org/officeDocument/2006/relationships/image" Target="../media/image240.png"/><Relationship Id="rId22" Type="http://schemas.openxmlformats.org/officeDocument/2006/relationships/image" Target="../media/image248.png"/><Relationship Id="rId27" Type="http://schemas.openxmlformats.org/officeDocument/2006/relationships/image" Target="../media/image253.png"/><Relationship Id="rId30" Type="http://schemas.openxmlformats.org/officeDocument/2006/relationships/image" Target="../media/image215.png"/><Relationship Id="rId35" Type="http://schemas.openxmlformats.org/officeDocument/2006/relationships/image" Target="../media/image259.png"/></Relationships>
</file>

<file path=xl/drawings/_rels/drawing17.xml.rels><?xml version="1.0" encoding="UTF-8" standalone="yes"?>
<Relationships xmlns="http://schemas.openxmlformats.org/package/2006/relationships"><Relationship Id="rId13" Type="http://schemas.openxmlformats.org/officeDocument/2006/relationships/hyperlink" Target="#SU_02007"/><Relationship Id="rId18" Type="http://schemas.openxmlformats.org/officeDocument/2006/relationships/image" Target="../media/image269.png"/><Relationship Id="rId26" Type="http://schemas.openxmlformats.org/officeDocument/2006/relationships/image" Target="../media/image273.png"/><Relationship Id="rId39" Type="http://schemas.openxmlformats.org/officeDocument/2006/relationships/hyperlink" Target="#SU_12002"/><Relationship Id="rId3" Type="http://schemas.openxmlformats.org/officeDocument/2006/relationships/hyperlink" Target="#SU_01001"/><Relationship Id="rId21" Type="http://schemas.openxmlformats.org/officeDocument/2006/relationships/hyperlink" Target="#SU_11001"/><Relationship Id="rId34" Type="http://schemas.openxmlformats.org/officeDocument/2006/relationships/image" Target="../media/image277.png"/><Relationship Id="rId42" Type="http://schemas.openxmlformats.org/officeDocument/2006/relationships/image" Target="../media/image281.png"/><Relationship Id="rId47" Type="http://schemas.openxmlformats.org/officeDocument/2006/relationships/hyperlink" Target="#SU_08004"/><Relationship Id="rId50" Type="http://schemas.openxmlformats.org/officeDocument/2006/relationships/image" Target="../media/image226.png"/><Relationship Id="rId7" Type="http://schemas.openxmlformats.org/officeDocument/2006/relationships/hyperlink" Target="#SU_01007"/><Relationship Id="rId12" Type="http://schemas.openxmlformats.org/officeDocument/2006/relationships/image" Target="../media/image266.png"/><Relationship Id="rId17" Type="http://schemas.openxmlformats.org/officeDocument/2006/relationships/hyperlink" Target="#SU_05003"/><Relationship Id="rId25" Type="http://schemas.openxmlformats.org/officeDocument/2006/relationships/hyperlink" Target="#SU_11003"/><Relationship Id="rId33" Type="http://schemas.openxmlformats.org/officeDocument/2006/relationships/hyperlink" Target="#SU_04007"/><Relationship Id="rId38" Type="http://schemas.openxmlformats.org/officeDocument/2006/relationships/image" Target="../media/image279.png"/><Relationship Id="rId46" Type="http://schemas.openxmlformats.org/officeDocument/2006/relationships/image" Target="../media/image283.png"/><Relationship Id="rId2" Type="http://schemas.openxmlformats.org/officeDocument/2006/relationships/image" Target="../media/image261.png"/><Relationship Id="rId16" Type="http://schemas.openxmlformats.org/officeDocument/2006/relationships/image" Target="../media/image268.png"/><Relationship Id="rId20" Type="http://schemas.openxmlformats.org/officeDocument/2006/relationships/image" Target="../media/image270.png"/><Relationship Id="rId29" Type="http://schemas.openxmlformats.org/officeDocument/2006/relationships/hyperlink" Target="#SU_03008"/><Relationship Id="rId41" Type="http://schemas.openxmlformats.org/officeDocument/2006/relationships/hyperlink" Target="#SU_06001"/><Relationship Id="rId1" Type="http://schemas.openxmlformats.org/officeDocument/2006/relationships/hyperlink" Target="#SU_03007"/><Relationship Id="rId6" Type="http://schemas.openxmlformats.org/officeDocument/2006/relationships/image" Target="../media/image263.png"/><Relationship Id="rId11" Type="http://schemas.openxmlformats.org/officeDocument/2006/relationships/hyperlink" Target="#SU_02002"/><Relationship Id="rId24" Type="http://schemas.openxmlformats.org/officeDocument/2006/relationships/image" Target="../media/image272.png"/><Relationship Id="rId32" Type="http://schemas.openxmlformats.org/officeDocument/2006/relationships/image" Target="../media/image276.png"/><Relationship Id="rId37" Type="http://schemas.openxmlformats.org/officeDocument/2006/relationships/hyperlink" Target="#SU_12001"/><Relationship Id="rId40" Type="http://schemas.openxmlformats.org/officeDocument/2006/relationships/image" Target="../media/image280.png"/><Relationship Id="rId45" Type="http://schemas.openxmlformats.org/officeDocument/2006/relationships/hyperlink" Target="#SU_08001"/><Relationship Id="rId5" Type="http://schemas.openxmlformats.org/officeDocument/2006/relationships/hyperlink" Target="#SU_01002"/><Relationship Id="rId15" Type="http://schemas.openxmlformats.org/officeDocument/2006/relationships/hyperlink" Target="#SU_02008"/><Relationship Id="rId23" Type="http://schemas.openxmlformats.org/officeDocument/2006/relationships/hyperlink" Target="#SU_11002"/><Relationship Id="rId28" Type="http://schemas.openxmlformats.org/officeDocument/2006/relationships/image" Target="../media/image274.png"/><Relationship Id="rId36" Type="http://schemas.openxmlformats.org/officeDocument/2006/relationships/image" Target="../media/image278.png"/><Relationship Id="rId49" Type="http://schemas.openxmlformats.org/officeDocument/2006/relationships/hyperlink" Target="#SU_09001"/><Relationship Id="rId10" Type="http://schemas.openxmlformats.org/officeDocument/2006/relationships/image" Target="../media/image265.png"/><Relationship Id="rId19" Type="http://schemas.openxmlformats.org/officeDocument/2006/relationships/hyperlink" Target="#SU_07003"/><Relationship Id="rId31" Type="http://schemas.openxmlformats.org/officeDocument/2006/relationships/hyperlink" Target="#SU_04002"/><Relationship Id="rId44" Type="http://schemas.openxmlformats.org/officeDocument/2006/relationships/image" Target="../media/image282.png"/><Relationship Id="rId52" Type="http://schemas.openxmlformats.org/officeDocument/2006/relationships/image" Target="../media/image285.png"/><Relationship Id="rId4" Type="http://schemas.openxmlformats.org/officeDocument/2006/relationships/image" Target="../media/image262.png"/><Relationship Id="rId9" Type="http://schemas.openxmlformats.org/officeDocument/2006/relationships/hyperlink" Target="#SU_01008"/><Relationship Id="rId14" Type="http://schemas.openxmlformats.org/officeDocument/2006/relationships/image" Target="../media/image267.png"/><Relationship Id="rId22" Type="http://schemas.openxmlformats.org/officeDocument/2006/relationships/image" Target="../media/image271.png"/><Relationship Id="rId27" Type="http://schemas.openxmlformats.org/officeDocument/2006/relationships/hyperlink" Target="#SU_03002"/><Relationship Id="rId30" Type="http://schemas.openxmlformats.org/officeDocument/2006/relationships/image" Target="../media/image275.png"/><Relationship Id="rId35" Type="http://schemas.openxmlformats.org/officeDocument/2006/relationships/hyperlink" Target="#SU_04008"/><Relationship Id="rId43" Type="http://schemas.openxmlformats.org/officeDocument/2006/relationships/hyperlink" Target="#SU_06004"/><Relationship Id="rId48" Type="http://schemas.openxmlformats.org/officeDocument/2006/relationships/image" Target="../media/image284.png"/><Relationship Id="rId8" Type="http://schemas.openxmlformats.org/officeDocument/2006/relationships/image" Target="../media/image264.png"/><Relationship Id="rId51" Type="http://schemas.openxmlformats.org/officeDocument/2006/relationships/hyperlink" Target="#SU_09003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8.png"/><Relationship Id="rId2" Type="http://schemas.openxmlformats.org/officeDocument/2006/relationships/image" Target="../media/image287.png"/><Relationship Id="rId1" Type="http://schemas.openxmlformats.org/officeDocument/2006/relationships/image" Target="../media/image286.png"/><Relationship Id="rId4" Type="http://schemas.openxmlformats.org/officeDocument/2006/relationships/image" Target="../media/image289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3.png"/><Relationship Id="rId3" Type="http://schemas.openxmlformats.org/officeDocument/2006/relationships/hyperlink" Target="#WT_02003"/><Relationship Id="rId7" Type="http://schemas.openxmlformats.org/officeDocument/2006/relationships/hyperlink" Target="#WT_03003"/><Relationship Id="rId2" Type="http://schemas.openxmlformats.org/officeDocument/2006/relationships/image" Target="../media/image290.png"/><Relationship Id="rId1" Type="http://schemas.openxmlformats.org/officeDocument/2006/relationships/hyperlink" Target="#WT_02001"/><Relationship Id="rId6" Type="http://schemas.openxmlformats.org/officeDocument/2006/relationships/image" Target="../media/image292.png"/><Relationship Id="rId5" Type="http://schemas.openxmlformats.org/officeDocument/2006/relationships/hyperlink" Target="#WT_03001"/><Relationship Id="rId4" Type="http://schemas.openxmlformats.org/officeDocument/2006/relationships/image" Target="../media/image29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26" Type="http://schemas.openxmlformats.org/officeDocument/2006/relationships/image" Target="../media/image40.png"/><Relationship Id="rId39" Type="http://schemas.openxmlformats.org/officeDocument/2006/relationships/image" Target="../media/image53.png"/><Relationship Id="rId3" Type="http://schemas.openxmlformats.org/officeDocument/2006/relationships/image" Target="../media/image17.png"/><Relationship Id="rId21" Type="http://schemas.openxmlformats.org/officeDocument/2006/relationships/image" Target="../media/image35.png"/><Relationship Id="rId34" Type="http://schemas.openxmlformats.org/officeDocument/2006/relationships/image" Target="../media/image48.png"/><Relationship Id="rId42" Type="http://schemas.openxmlformats.org/officeDocument/2006/relationships/image" Target="../media/image56.png"/><Relationship Id="rId47" Type="http://schemas.openxmlformats.org/officeDocument/2006/relationships/image" Target="../media/image61.png"/><Relationship Id="rId50" Type="http://schemas.openxmlformats.org/officeDocument/2006/relationships/image" Target="../media/image64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5" Type="http://schemas.openxmlformats.org/officeDocument/2006/relationships/image" Target="../media/image39.png"/><Relationship Id="rId33" Type="http://schemas.openxmlformats.org/officeDocument/2006/relationships/image" Target="../media/image47.png"/><Relationship Id="rId38" Type="http://schemas.openxmlformats.org/officeDocument/2006/relationships/image" Target="../media/image52.png"/><Relationship Id="rId46" Type="http://schemas.openxmlformats.org/officeDocument/2006/relationships/image" Target="../media/image60.png"/><Relationship Id="rId2" Type="http://schemas.openxmlformats.org/officeDocument/2006/relationships/image" Target="../media/image16.png"/><Relationship Id="rId16" Type="http://schemas.openxmlformats.org/officeDocument/2006/relationships/image" Target="../media/image30.png"/><Relationship Id="rId20" Type="http://schemas.openxmlformats.org/officeDocument/2006/relationships/image" Target="../media/image34.png"/><Relationship Id="rId29" Type="http://schemas.openxmlformats.org/officeDocument/2006/relationships/image" Target="../media/image43.png"/><Relationship Id="rId41" Type="http://schemas.openxmlformats.org/officeDocument/2006/relationships/image" Target="../media/image55.png"/><Relationship Id="rId54" Type="http://schemas.openxmlformats.org/officeDocument/2006/relationships/image" Target="../media/image68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24" Type="http://schemas.openxmlformats.org/officeDocument/2006/relationships/image" Target="../media/image38.png"/><Relationship Id="rId32" Type="http://schemas.openxmlformats.org/officeDocument/2006/relationships/image" Target="../media/image46.png"/><Relationship Id="rId37" Type="http://schemas.openxmlformats.org/officeDocument/2006/relationships/image" Target="../media/image51.png"/><Relationship Id="rId40" Type="http://schemas.openxmlformats.org/officeDocument/2006/relationships/image" Target="../media/image54.png"/><Relationship Id="rId45" Type="http://schemas.openxmlformats.org/officeDocument/2006/relationships/image" Target="../media/image59.png"/><Relationship Id="rId53" Type="http://schemas.openxmlformats.org/officeDocument/2006/relationships/image" Target="../media/image67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28" Type="http://schemas.openxmlformats.org/officeDocument/2006/relationships/image" Target="../media/image42.png"/><Relationship Id="rId36" Type="http://schemas.openxmlformats.org/officeDocument/2006/relationships/image" Target="../media/image50.png"/><Relationship Id="rId49" Type="http://schemas.openxmlformats.org/officeDocument/2006/relationships/image" Target="../media/image63.png"/><Relationship Id="rId10" Type="http://schemas.openxmlformats.org/officeDocument/2006/relationships/image" Target="../media/image24.png"/><Relationship Id="rId19" Type="http://schemas.openxmlformats.org/officeDocument/2006/relationships/image" Target="../media/image33.png"/><Relationship Id="rId31" Type="http://schemas.openxmlformats.org/officeDocument/2006/relationships/image" Target="../media/image45.png"/><Relationship Id="rId44" Type="http://schemas.openxmlformats.org/officeDocument/2006/relationships/image" Target="../media/image58.png"/><Relationship Id="rId52" Type="http://schemas.openxmlformats.org/officeDocument/2006/relationships/image" Target="../media/image66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Relationship Id="rId27" Type="http://schemas.openxmlformats.org/officeDocument/2006/relationships/image" Target="../media/image41.png"/><Relationship Id="rId30" Type="http://schemas.openxmlformats.org/officeDocument/2006/relationships/image" Target="../media/image44.png"/><Relationship Id="rId35" Type="http://schemas.openxmlformats.org/officeDocument/2006/relationships/image" Target="../media/image49.png"/><Relationship Id="rId43" Type="http://schemas.openxmlformats.org/officeDocument/2006/relationships/image" Target="../media/image57.png"/><Relationship Id="rId48" Type="http://schemas.openxmlformats.org/officeDocument/2006/relationships/image" Target="../media/image62.png"/><Relationship Id="rId8" Type="http://schemas.openxmlformats.org/officeDocument/2006/relationships/image" Target="../media/image22.png"/><Relationship Id="rId51" Type="http://schemas.openxmlformats.org/officeDocument/2006/relationships/image" Target="../media/image65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hyperlink" Target="#EN_01006"/><Relationship Id="rId18" Type="http://schemas.openxmlformats.org/officeDocument/2006/relationships/image" Target="../media/image80.png"/><Relationship Id="rId26" Type="http://schemas.openxmlformats.org/officeDocument/2006/relationships/hyperlink" Target="#EN_04003"/><Relationship Id="rId39" Type="http://schemas.openxmlformats.org/officeDocument/2006/relationships/image" Target="../media/image91.png"/><Relationship Id="rId21" Type="http://schemas.openxmlformats.org/officeDocument/2006/relationships/image" Target="../media/image82.png"/><Relationship Id="rId34" Type="http://schemas.openxmlformats.org/officeDocument/2006/relationships/hyperlink" Target="#EN_08002"/><Relationship Id="rId42" Type="http://schemas.openxmlformats.org/officeDocument/2006/relationships/hyperlink" Target="#EN_08007"/><Relationship Id="rId47" Type="http://schemas.openxmlformats.org/officeDocument/2006/relationships/image" Target="../media/image95.png"/><Relationship Id="rId50" Type="http://schemas.openxmlformats.org/officeDocument/2006/relationships/hyperlink" Target="#EN_10003"/><Relationship Id="rId55" Type="http://schemas.openxmlformats.org/officeDocument/2006/relationships/image" Target="../media/image99.png"/><Relationship Id="rId63" Type="http://schemas.openxmlformats.org/officeDocument/2006/relationships/image" Target="../media/image103.png"/><Relationship Id="rId68" Type="http://schemas.openxmlformats.org/officeDocument/2006/relationships/hyperlink" Target="#EN_12006"/><Relationship Id="rId7" Type="http://schemas.openxmlformats.org/officeDocument/2006/relationships/image" Target="../media/image72.png"/><Relationship Id="rId2" Type="http://schemas.openxmlformats.org/officeDocument/2006/relationships/image" Target="../media/image69.png"/><Relationship Id="rId16" Type="http://schemas.openxmlformats.org/officeDocument/2006/relationships/image" Target="../media/image78.png"/><Relationship Id="rId29" Type="http://schemas.openxmlformats.org/officeDocument/2006/relationships/image" Target="../media/image86.png"/><Relationship Id="rId1" Type="http://schemas.openxmlformats.org/officeDocument/2006/relationships/hyperlink" Target="#EN_01002"/><Relationship Id="rId6" Type="http://schemas.openxmlformats.org/officeDocument/2006/relationships/hyperlink" Target="#EN_01004"/><Relationship Id="rId11" Type="http://schemas.openxmlformats.org/officeDocument/2006/relationships/image" Target="../media/image75.png"/><Relationship Id="rId24" Type="http://schemas.openxmlformats.org/officeDocument/2006/relationships/hyperlink" Target="#EN_03006"/><Relationship Id="rId32" Type="http://schemas.openxmlformats.org/officeDocument/2006/relationships/hyperlink" Target="#EN_05005"/><Relationship Id="rId37" Type="http://schemas.openxmlformats.org/officeDocument/2006/relationships/image" Target="../media/image90.png"/><Relationship Id="rId40" Type="http://schemas.openxmlformats.org/officeDocument/2006/relationships/hyperlink" Target="#EN_08006"/><Relationship Id="rId45" Type="http://schemas.openxmlformats.org/officeDocument/2006/relationships/image" Target="../media/image94.png"/><Relationship Id="rId53" Type="http://schemas.openxmlformats.org/officeDocument/2006/relationships/image" Target="../media/image98.png"/><Relationship Id="rId58" Type="http://schemas.openxmlformats.org/officeDocument/2006/relationships/hyperlink" Target="#EN_10007"/><Relationship Id="rId66" Type="http://schemas.openxmlformats.org/officeDocument/2006/relationships/hyperlink" Target="#EN_12004"/><Relationship Id="rId5" Type="http://schemas.openxmlformats.org/officeDocument/2006/relationships/image" Target="../media/image71.png"/><Relationship Id="rId15" Type="http://schemas.openxmlformats.org/officeDocument/2006/relationships/hyperlink" Target="#EN_03001"/><Relationship Id="rId23" Type="http://schemas.openxmlformats.org/officeDocument/2006/relationships/image" Target="../media/image83.png"/><Relationship Id="rId28" Type="http://schemas.openxmlformats.org/officeDocument/2006/relationships/hyperlink" Target="#EN_04005"/><Relationship Id="rId36" Type="http://schemas.openxmlformats.org/officeDocument/2006/relationships/hyperlink" Target="#EN_08004"/><Relationship Id="rId49" Type="http://schemas.openxmlformats.org/officeDocument/2006/relationships/image" Target="../media/image96.png"/><Relationship Id="rId57" Type="http://schemas.openxmlformats.org/officeDocument/2006/relationships/image" Target="../media/image100.png"/><Relationship Id="rId61" Type="http://schemas.openxmlformats.org/officeDocument/2006/relationships/image" Target="../media/image102.png"/><Relationship Id="rId10" Type="http://schemas.openxmlformats.org/officeDocument/2006/relationships/image" Target="../media/image74.png"/><Relationship Id="rId19" Type="http://schemas.openxmlformats.org/officeDocument/2006/relationships/image" Target="../media/image81.png"/><Relationship Id="rId31" Type="http://schemas.openxmlformats.org/officeDocument/2006/relationships/image" Target="../media/image87.png"/><Relationship Id="rId44" Type="http://schemas.openxmlformats.org/officeDocument/2006/relationships/hyperlink" Target="#EN_09003"/><Relationship Id="rId52" Type="http://schemas.openxmlformats.org/officeDocument/2006/relationships/hyperlink" Target="#EN_10004"/><Relationship Id="rId60" Type="http://schemas.openxmlformats.org/officeDocument/2006/relationships/hyperlink" Target="#EN_10008"/><Relationship Id="rId65" Type="http://schemas.openxmlformats.org/officeDocument/2006/relationships/image" Target="../media/image104.png"/><Relationship Id="rId4" Type="http://schemas.openxmlformats.org/officeDocument/2006/relationships/image" Target="../media/image70.png"/><Relationship Id="rId9" Type="http://schemas.openxmlformats.org/officeDocument/2006/relationships/image" Target="../media/image73.png"/><Relationship Id="rId14" Type="http://schemas.openxmlformats.org/officeDocument/2006/relationships/image" Target="../media/image77.png"/><Relationship Id="rId22" Type="http://schemas.openxmlformats.org/officeDocument/2006/relationships/hyperlink" Target="#EN_03005"/><Relationship Id="rId27" Type="http://schemas.openxmlformats.org/officeDocument/2006/relationships/image" Target="../media/image85.png"/><Relationship Id="rId30" Type="http://schemas.openxmlformats.org/officeDocument/2006/relationships/hyperlink" Target="#EN_05002"/><Relationship Id="rId35" Type="http://schemas.openxmlformats.org/officeDocument/2006/relationships/image" Target="../media/image89.png"/><Relationship Id="rId43" Type="http://schemas.openxmlformats.org/officeDocument/2006/relationships/image" Target="../media/image93.png"/><Relationship Id="rId48" Type="http://schemas.openxmlformats.org/officeDocument/2006/relationships/hyperlink" Target="#EN_09005"/><Relationship Id="rId56" Type="http://schemas.openxmlformats.org/officeDocument/2006/relationships/hyperlink" Target="#EN_10006"/><Relationship Id="rId64" Type="http://schemas.openxmlformats.org/officeDocument/2006/relationships/hyperlink" Target="#EN_12003"/><Relationship Id="rId69" Type="http://schemas.openxmlformats.org/officeDocument/2006/relationships/image" Target="../media/image106.png"/><Relationship Id="rId8" Type="http://schemas.openxmlformats.org/officeDocument/2006/relationships/hyperlink" Target="#EN_01005"/><Relationship Id="rId51" Type="http://schemas.openxmlformats.org/officeDocument/2006/relationships/image" Target="../media/image97.png"/><Relationship Id="rId3" Type="http://schemas.openxmlformats.org/officeDocument/2006/relationships/hyperlink" Target="#EN_01003"/><Relationship Id="rId12" Type="http://schemas.openxmlformats.org/officeDocument/2006/relationships/image" Target="../media/image76.png"/><Relationship Id="rId17" Type="http://schemas.openxmlformats.org/officeDocument/2006/relationships/image" Target="../media/image79.png"/><Relationship Id="rId25" Type="http://schemas.openxmlformats.org/officeDocument/2006/relationships/image" Target="../media/image84.png"/><Relationship Id="rId33" Type="http://schemas.openxmlformats.org/officeDocument/2006/relationships/image" Target="../media/image88.png"/><Relationship Id="rId38" Type="http://schemas.openxmlformats.org/officeDocument/2006/relationships/hyperlink" Target="#EN_08005"/><Relationship Id="rId46" Type="http://schemas.openxmlformats.org/officeDocument/2006/relationships/hyperlink" Target="#EN_09004"/><Relationship Id="rId59" Type="http://schemas.openxmlformats.org/officeDocument/2006/relationships/image" Target="../media/image101.png"/><Relationship Id="rId67" Type="http://schemas.openxmlformats.org/officeDocument/2006/relationships/image" Target="../media/image105.png"/><Relationship Id="rId20" Type="http://schemas.openxmlformats.org/officeDocument/2006/relationships/hyperlink" Target="#En_03002"/><Relationship Id="rId41" Type="http://schemas.openxmlformats.org/officeDocument/2006/relationships/image" Target="../media/image92.png"/><Relationship Id="rId54" Type="http://schemas.openxmlformats.org/officeDocument/2006/relationships/hyperlink" Target="#EN_10005"/><Relationship Id="rId62" Type="http://schemas.openxmlformats.org/officeDocument/2006/relationships/hyperlink" Target="#EN_12002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jpg"/><Relationship Id="rId2" Type="http://schemas.openxmlformats.org/officeDocument/2006/relationships/image" Target="../media/image108.jpg"/><Relationship Id="rId1" Type="http://schemas.openxmlformats.org/officeDocument/2006/relationships/image" Target="../media/image107.jp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7.jpeg"/><Relationship Id="rId13" Type="http://schemas.openxmlformats.org/officeDocument/2006/relationships/image" Target="../media/image122.jpeg"/><Relationship Id="rId18" Type="http://schemas.openxmlformats.org/officeDocument/2006/relationships/image" Target="../media/image127.jpeg"/><Relationship Id="rId3" Type="http://schemas.openxmlformats.org/officeDocument/2006/relationships/image" Target="../media/image112.jpg"/><Relationship Id="rId21" Type="http://schemas.openxmlformats.org/officeDocument/2006/relationships/image" Target="../media/image130.jpg"/><Relationship Id="rId7" Type="http://schemas.openxmlformats.org/officeDocument/2006/relationships/image" Target="../media/image116.jpg"/><Relationship Id="rId12" Type="http://schemas.openxmlformats.org/officeDocument/2006/relationships/image" Target="../media/image121.jpeg"/><Relationship Id="rId17" Type="http://schemas.openxmlformats.org/officeDocument/2006/relationships/image" Target="../media/image126.jpg"/><Relationship Id="rId25" Type="http://schemas.openxmlformats.org/officeDocument/2006/relationships/image" Target="../media/image134.jpeg"/><Relationship Id="rId2" Type="http://schemas.openxmlformats.org/officeDocument/2006/relationships/image" Target="../media/image111.jpg"/><Relationship Id="rId16" Type="http://schemas.openxmlformats.org/officeDocument/2006/relationships/image" Target="../media/image125.jpg"/><Relationship Id="rId20" Type="http://schemas.openxmlformats.org/officeDocument/2006/relationships/image" Target="../media/image129.jpeg"/><Relationship Id="rId1" Type="http://schemas.openxmlformats.org/officeDocument/2006/relationships/image" Target="../media/image110.jpg"/><Relationship Id="rId6" Type="http://schemas.openxmlformats.org/officeDocument/2006/relationships/image" Target="../media/image115.jpg"/><Relationship Id="rId11" Type="http://schemas.openxmlformats.org/officeDocument/2006/relationships/image" Target="../media/image120.jpeg"/><Relationship Id="rId24" Type="http://schemas.openxmlformats.org/officeDocument/2006/relationships/image" Target="../media/image133.jpg"/><Relationship Id="rId5" Type="http://schemas.openxmlformats.org/officeDocument/2006/relationships/image" Target="../media/image114.jpg"/><Relationship Id="rId15" Type="http://schemas.openxmlformats.org/officeDocument/2006/relationships/image" Target="../media/image124.jpg"/><Relationship Id="rId23" Type="http://schemas.openxmlformats.org/officeDocument/2006/relationships/image" Target="../media/image132.jpg"/><Relationship Id="rId10" Type="http://schemas.openxmlformats.org/officeDocument/2006/relationships/image" Target="../media/image119.jpeg"/><Relationship Id="rId19" Type="http://schemas.openxmlformats.org/officeDocument/2006/relationships/image" Target="../media/image128.jpg"/><Relationship Id="rId4" Type="http://schemas.openxmlformats.org/officeDocument/2006/relationships/image" Target="../media/image113.jpg"/><Relationship Id="rId9" Type="http://schemas.openxmlformats.org/officeDocument/2006/relationships/image" Target="../media/image118.jpg"/><Relationship Id="rId14" Type="http://schemas.openxmlformats.org/officeDocument/2006/relationships/image" Target="../media/image123.jpg"/><Relationship Id="rId22" Type="http://schemas.openxmlformats.org/officeDocument/2006/relationships/image" Target="../media/image131.jp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8.png"/><Relationship Id="rId13" Type="http://schemas.openxmlformats.org/officeDocument/2006/relationships/hyperlink" Target="#FR_04008"/><Relationship Id="rId18" Type="http://schemas.openxmlformats.org/officeDocument/2006/relationships/image" Target="../media/image143.png"/><Relationship Id="rId26" Type="http://schemas.openxmlformats.org/officeDocument/2006/relationships/image" Target="../media/image147.png"/><Relationship Id="rId3" Type="http://schemas.openxmlformats.org/officeDocument/2006/relationships/hyperlink" Target="#FR_04001"/><Relationship Id="rId21" Type="http://schemas.openxmlformats.org/officeDocument/2006/relationships/hyperlink" Target="#FR_04012"/><Relationship Id="rId34" Type="http://schemas.openxmlformats.org/officeDocument/2006/relationships/image" Target="../media/image151.png"/><Relationship Id="rId7" Type="http://schemas.openxmlformats.org/officeDocument/2006/relationships/hyperlink" Target="#FR_04003"/><Relationship Id="rId12" Type="http://schemas.openxmlformats.org/officeDocument/2006/relationships/image" Target="../media/image140.png"/><Relationship Id="rId17" Type="http://schemas.openxmlformats.org/officeDocument/2006/relationships/hyperlink" Target="#FR_04010"/><Relationship Id="rId25" Type="http://schemas.openxmlformats.org/officeDocument/2006/relationships/hyperlink" Target="#FR_04015"/><Relationship Id="rId33" Type="http://schemas.openxmlformats.org/officeDocument/2006/relationships/hyperlink" Target="#FR_05001"/><Relationship Id="rId2" Type="http://schemas.openxmlformats.org/officeDocument/2006/relationships/image" Target="../media/image135.png"/><Relationship Id="rId16" Type="http://schemas.openxmlformats.org/officeDocument/2006/relationships/image" Target="../media/image142.png"/><Relationship Id="rId20" Type="http://schemas.openxmlformats.org/officeDocument/2006/relationships/image" Target="../media/image144.png"/><Relationship Id="rId29" Type="http://schemas.openxmlformats.org/officeDocument/2006/relationships/hyperlink" Target="#FR_04018"/><Relationship Id="rId1" Type="http://schemas.openxmlformats.org/officeDocument/2006/relationships/hyperlink" Target="#FR_A0001"/><Relationship Id="rId6" Type="http://schemas.openxmlformats.org/officeDocument/2006/relationships/image" Target="../media/image137.png"/><Relationship Id="rId11" Type="http://schemas.openxmlformats.org/officeDocument/2006/relationships/hyperlink" Target="#FR_04007"/><Relationship Id="rId24" Type="http://schemas.openxmlformats.org/officeDocument/2006/relationships/image" Target="../media/image146.png"/><Relationship Id="rId32" Type="http://schemas.openxmlformats.org/officeDocument/2006/relationships/image" Target="../media/image150.png"/><Relationship Id="rId5" Type="http://schemas.openxmlformats.org/officeDocument/2006/relationships/hyperlink" Target="#FR_04002"/><Relationship Id="rId15" Type="http://schemas.openxmlformats.org/officeDocument/2006/relationships/hyperlink" Target="#FR_04009"/><Relationship Id="rId23" Type="http://schemas.openxmlformats.org/officeDocument/2006/relationships/hyperlink" Target="#FR_04013"/><Relationship Id="rId28" Type="http://schemas.openxmlformats.org/officeDocument/2006/relationships/image" Target="../media/image148.png"/><Relationship Id="rId36" Type="http://schemas.openxmlformats.org/officeDocument/2006/relationships/image" Target="../media/image152.png"/><Relationship Id="rId10" Type="http://schemas.openxmlformats.org/officeDocument/2006/relationships/image" Target="../media/image139.png"/><Relationship Id="rId19" Type="http://schemas.openxmlformats.org/officeDocument/2006/relationships/hyperlink" Target="#FR_04011"/><Relationship Id="rId31" Type="http://schemas.openxmlformats.org/officeDocument/2006/relationships/hyperlink" Target="#FR_04019"/><Relationship Id="rId4" Type="http://schemas.openxmlformats.org/officeDocument/2006/relationships/image" Target="../media/image136.png"/><Relationship Id="rId9" Type="http://schemas.openxmlformats.org/officeDocument/2006/relationships/hyperlink" Target="#FR_04004"/><Relationship Id="rId14" Type="http://schemas.openxmlformats.org/officeDocument/2006/relationships/image" Target="../media/image141.png"/><Relationship Id="rId22" Type="http://schemas.openxmlformats.org/officeDocument/2006/relationships/image" Target="../media/image145.png"/><Relationship Id="rId27" Type="http://schemas.openxmlformats.org/officeDocument/2006/relationships/hyperlink" Target="#FR_04017"/><Relationship Id="rId30" Type="http://schemas.openxmlformats.org/officeDocument/2006/relationships/image" Target="../media/image149.png"/><Relationship Id="rId35" Type="http://schemas.openxmlformats.org/officeDocument/2006/relationships/hyperlink" Target="#FR_05005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200025</xdr:colOff>
      <xdr:row>20</xdr:row>
      <xdr:rowOff>19050</xdr:rowOff>
    </xdr:from>
    <xdr:to>
      <xdr:col>7</xdr:col>
      <xdr:colOff>628650</xdr:colOff>
      <xdr:row>41</xdr:row>
      <xdr:rowOff>95250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76200</xdr:colOff>
      <xdr:row>1</xdr:row>
      <xdr:rowOff>133350</xdr:rowOff>
    </xdr:from>
    <xdr:to>
      <xdr:col>7</xdr:col>
      <xdr:colOff>254795</xdr:colOff>
      <xdr:row>4</xdr:row>
      <xdr:rowOff>161925</xdr:rowOff>
    </xdr:to>
    <xdr:pic>
      <xdr:nvPicPr>
        <xdr:cNvPr id="3" name="Imag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323850"/>
          <a:ext cx="17526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403415</xdr:colOff>
      <xdr:row>190</xdr:row>
      <xdr:rowOff>143436</xdr:rowOff>
    </xdr:from>
    <xdr:to>
      <xdr:col>12</xdr:col>
      <xdr:colOff>537880</xdr:colOff>
      <xdr:row>200</xdr:row>
      <xdr:rowOff>52334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39721" t="47228" r="43657" b="16852"/>
        <a:stretch>
          <a:fillRect/>
        </a:stretch>
      </xdr:blipFill>
      <xdr:spPr bwMode="auto">
        <a:xfrm>
          <a:off x="6499415" y="36147936"/>
          <a:ext cx="1353665" cy="18138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277908</xdr:colOff>
      <xdr:row>163</xdr:row>
      <xdr:rowOff>107576</xdr:rowOff>
    </xdr:from>
    <xdr:to>
      <xdr:col>13</xdr:col>
      <xdr:colOff>3922</xdr:colOff>
      <xdr:row>175</xdr:row>
      <xdr:rowOff>74773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 l="39538" t="45122" r="41824" b="19069"/>
        <a:stretch>
          <a:fillRect/>
        </a:stretch>
      </xdr:blipFill>
      <xdr:spPr bwMode="auto">
        <a:xfrm>
          <a:off x="6373908" y="30968576"/>
          <a:ext cx="1554814" cy="22531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645458</xdr:colOff>
      <xdr:row>117</xdr:row>
      <xdr:rowOff>2</xdr:rowOff>
    </xdr:from>
    <xdr:to>
      <xdr:col>13</xdr:col>
      <xdr:colOff>302140</xdr:colOff>
      <xdr:row>128</xdr:row>
      <xdr:rowOff>29747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32083" t="21729" r="34857" b="37805"/>
        <a:stretch>
          <a:fillRect/>
        </a:stretch>
      </xdr:blipFill>
      <xdr:spPr bwMode="auto">
        <a:xfrm>
          <a:off x="6093758" y="22098002"/>
          <a:ext cx="2133182" cy="21252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599934</xdr:colOff>
      <xdr:row>217</xdr:row>
      <xdr:rowOff>23814</xdr:rowOff>
    </xdr:from>
    <xdr:to>
      <xdr:col>11</xdr:col>
      <xdr:colOff>385210</xdr:colOff>
      <xdr:row>223</xdr:row>
      <xdr:rowOff>6466</xdr:rowOff>
    </xdr:to>
    <xdr:pic>
      <xdr:nvPicPr>
        <xdr:cNvPr id="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 l="40099" t="49168" r="45781" b="27969"/>
        <a:stretch>
          <a:fillRect/>
        </a:stretch>
      </xdr:blipFill>
      <xdr:spPr bwMode="auto">
        <a:xfrm>
          <a:off x="6086334" y="41171814"/>
          <a:ext cx="1004476" cy="11256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96931</xdr:colOff>
      <xdr:row>238</xdr:row>
      <xdr:rowOff>130968</xdr:rowOff>
    </xdr:from>
    <xdr:to>
      <xdr:col>12</xdr:col>
      <xdr:colOff>3614</xdr:colOff>
      <xdr:row>244</xdr:row>
      <xdr:rowOff>35688</xdr:rowOff>
    </xdr:to>
    <xdr:pic>
      <xdr:nvPicPr>
        <xdr:cNvPr id="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 l="41217" t="51220" r="44045" b="24501"/>
        <a:stretch>
          <a:fillRect/>
        </a:stretch>
      </xdr:blipFill>
      <xdr:spPr bwMode="auto">
        <a:xfrm>
          <a:off x="6192931" y="45279468"/>
          <a:ext cx="1119533" cy="1047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727823</xdr:colOff>
      <xdr:row>304</xdr:row>
      <xdr:rowOff>150191</xdr:rowOff>
    </xdr:from>
    <xdr:to>
      <xdr:col>12</xdr:col>
      <xdr:colOff>2382</xdr:colOff>
      <xdr:row>309</xdr:row>
      <xdr:rowOff>152258</xdr:rowOff>
    </xdr:to>
    <xdr:pic>
      <xdr:nvPicPr>
        <xdr:cNvPr id="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 l="42623" t="51413" r="44168" b="29488"/>
        <a:stretch>
          <a:fillRect/>
        </a:stretch>
      </xdr:blipFill>
      <xdr:spPr bwMode="auto">
        <a:xfrm>
          <a:off x="6099923" y="57871691"/>
          <a:ext cx="1217659" cy="95456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135592</xdr:colOff>
      <xdr:row>64</xdr:row>
      <xdr:rowOff>71437</xdr:rowOff>
    </xdr:from>
    <xdr:to>
      <xdr:col>12</xdr:col>
      <xdr:colOff>112927</xdr:colOff>
      <xdr:row>71</xdr:row>
      <xdr:rowOff>185037</xdr:rowOff>
    </xdr:to>
    <xdr:pic>
      <xdr:nvPicPr>
        <xdr:cNvPr id="8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 l="29149" t="67266" r="58079" b="17296"/>
        <a:stretch>
          <a:fillRect/>
        </a:stretch>
      </xdr:blipFill>
      <xdr:spPr bwMode="auto">
        <a:xfrm>
          <a:off x="6231592" y="12263437"/>
          <a:ext cx="1196535" cy="182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419100</xdr:colOff>
      <xdr:row>142</xdr:row>
      <xdr:rowOff>30480</xdr:rowOff>
    </xdr:from>
    <xdr:to>
      <xdr:col>13</xdr:col>
      <xdr:colOff>476</xdr:colOff>
      <xdr:row>148</xdr:row>
      <xdr:rowOff>148308</xdr:rowOff>
    </xdr:to>
    <xdr:pic>
      <xdr:nvPicPr>
        <xdr:cNvPr id="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l="28490" t="28426" r="30677" b="27222"/>
        <a:stretch>
          <a:fillRect/>
        </a:stretch>
      </xdr:blipFill>
      <xdr:spPr bwMode="auto">
        <a:xfrm>
          <a:off x="6515100" y="26890980"/>
          <a:ext cx="1407794" cy="126082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83820</xdr:colOff>
      <xdr:row>23</xdr:row>
      <xdr:rowOff>207361</xdr:rowOff>
    </xdr:from>
    <xdr:to>
      <xdr:col>13</xdr:col>
      <xdr:colOff>710566</xdr:colOff>
      <xdr:row>33</xdr:row>
      <xdr:rowOff>1978</xdr:rowOff>
    </xdr:to>
    <xdr:pic>
      <xdr:nvPicPr>
        <xdr:cNvPr id="10" name="Image 9" descr="20160521_152331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70220" y="4569811"/>
          <a:ext cx="2960371" cy="1718667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92</xdr:row>
      <xdr:rowOff>22859</xdr:rowOff>
    </xdr:from>
    <xdr:to>
      <xdr:col>13</xdr:col>
      <xdr:colOff>3809</xdr:colOff>
      <xdr:row>97</xdr:row>
      <xdr:rowOff>221330</xdr:rowOff>
    </xdr:to>
    <xdr:pic>
      <xdr:nvPicPr>
        <xdr:cNvPr id="11" name="Image 10" descr="20160521_154558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13847" t="4080" r="12006" b="12562"/>
        <a:stretch>
          <a:fillRect/>
        </a:stretch>
      </xdr:blipFill>
      <xdr:spPr>
        <a:xfrm>
          <a:off x="6118860" y="17358359"/>
          <a:ext cx="1809749" cy="1122396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97</xdr:row>
      <xdr:rowOff>274321</xdr:rowOff>
    </xdr:from>
    <xdr:to>
      <xdr:col>13</xdr:col>
      <xdr:colOff>3809</xdr:colOff>
      <xdr:row>102</xdr:row>
      <xdr:rowOff>136015</xdr:rowOff>
    </xdr:to>
    <xdr:pic>
      <xdr:nvPicPr>
        <xdr:cNvPr id="12" name="Image 11" descr="20160521_154603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12318" t="9627" r="23968" b="5849"/>
        <a:stretch>
          <a:fillRect/>
        </a:stretch>
      </xdr:blipFill>
      <xdr:spPr>
        <a:xfrm>
          <a:off x="6118860" y="18476596"/>
          <a:ext cx="1809749" cy="899919"/>
        </a:xfrm>
        <a:prstGeom prst="rect">
          <a:avLst/>
        </a:prstGeom>
      </xdr:spPr>
    </xdr:pic>
    <xdr:clientData/>
  </xdr:twoCellAnchor>
  <xdr:twoCellAnchor editAs="oneCell">
    <xdr:from>
      <xdr:col>9</xdr:col>
      <xdr:colOff>511967</xdr:colOff>
      <xdr:row>258</xdr:row>
      <xdr:rowOff>152403</xdr:rowOff>
    </xdr:from>
    <xdr:to>
      <xdr:col>12</xdr:col>
      <xdr:colOff>190498</xdr:colOff>
      <xdr:row>271</xdr:row>
      <xdr:rowOff>30483</xdr:rowOff>
    </xdr:to>
    <xdr:pic>
      <xdr:nvPicPr>
        <xdr:cNvPr id="13" name="Image 12" descr="20160521_152259.jpg"/>
        <xdr:cNvPicPr>
          <a:picLocks noChangeAspect="1"/>
        </xdr:cNvPicPr>
      </xdr:nvPicPr>
      <xdr:blipFill rotWithShape="1">
        <a:blip xmlns:r="http://schemas.openxmlformats.org/officeDocument/2006/relationships" r:embed="rId12" cstate="print"/>
        <a:srcRect l="21856" t="28000" r="26233" b="11068"/>
        <a:stretch/>
      </xdr:blipFill>
      <xdr:spPr>
        <a:xfrm rot="5400000">
          <a:off x="10723006" y="56044865"/>
          <a:ext cx="2545080" cy="167878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8708</xdr:rowOff>
    </xdr:from>
    <xdr:to>
      <xdr:col>5</xdr:col>
      <xdr:colOff>739140</xdr:colOff>
      <xdr:row>41</xdr:row>
      <xdr:rowOff>154063</xdr:rowOff>
    </xdr:to>
    <xdr:pic>
      <xdr:nvPicPr>
        <xdr:cNvPr id="2" name="Picture 4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 l="16177" t="8889" r="15257" b="4967"/>
        <a:stretch>
          <a:fillRect/>
        </a:stretch>
      </xdr:blipFill>
      <xdr:spPr bwMode="auto">
        <a:xfrm>
          <a:off x="0" y="4390208"/>
          <a:ext cx="4549140" cy="35743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45</xdr:row>
      <xdr:rowOff>114300</xdr:rowOff>
    </xdr:from>
    <xdr:to>
      <xdr:col>5</xdr:col>
      <xdr:colOff>670560</xdr:colOff>
      <xdr:row>64</xdr:row>
      <xdr:rowOff>20077</xdr:rowOff>
    </xdr:to>
    <xdr:pic>
      <xdr:nvPicPr>
        <xdr:cNvPr id="3" name="Picture 6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 l="16302" t="8981" r="15208" b="5278"/>
        <a:stretch>
          <a:fillRect/>
        </a:stretch>
      </xdr:blipFill>
      <xdr:spPr bwMode="auto">
        <a:xfrm>
          <a:off x="0" y="8686800"/>
          <a:ext cx="4480560" cy="35252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66</xdr:row>
      <xdr:rowOff>68579</xdr:rowOff>
    </xdr:from>
    <xdr:to>
      <xdr:col>5</xdr:col>
      <xdr:colOff>678180</xdr:colOff>
      <xdr:row>84</xdr:row>
      <xdr:rowOff>166260</xdr:rowOff>
    </xdr:to>
    <xdr:pic>
      <xdr:nvPicPr>
        <xdr:cNvPr id="4" name="Picture 7">
          <a:hlinkClick xmlns:r="http://schemas.openxmlformats.org/officeDocument/2006/relationships" r:id="rId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 l="16302" t="9074" r="15208" b="5093"/>
        <a:stretch>
          <a:fillRect/>
        </a:stretch>
      </xdr:blipFill>
      <xdr:spPr bwMode="auto">
        <a:xfrm>
          <a:off x="0" y="12641579"/>
          <a:ext cx="4488180" cy="352668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108</xdr:row>
      <xdr:rowOff>60960</xdr:rowOff>
    </xdr:from>
    <xdr:to>
      <xdr:col>5</xdr:col>
      <xdr:colOff>632460</xdr:colOff>
      <xdr:row>126</xdr:row>
      <xdr:rowOff>132590</xdr:rowOff>
    </xdr:to>
    <xdr:pic>
      <xdr:nvPicPr>
        <xdr:cNvPr id="5" name="Picture 8">
          <a:hlinkClick xmlns:r="http://schemas.openxmlformats.org/officeDocument/2006/relationships" r:id="rId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 l="16354" t="8889" r="15208" b="5185"/>
        <a:stretch>
          <a:fillRect/>
        </a:stretch>
      </xdr:blipFill>
      <xdr:spPr bwMode="auto">
        <a:xfrm>
          <a:off x="0" y="20634960"/>
          <a:ext cx="4442460" cy="35006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129</xdr:row>
      <xdr:rowOff>91439</xdr:rowOff>
    </xdr:from>
    <xdr:to>
      <xdr:col>5</xdr:col>
      <xdr:colOff>670560</xdr:colOff>
      <xdr:row>148</xdr:row>
      <xdr:rowOff>2961</xdr:rowOff>
    </xdr:to>
    <xdr:pic>
      <xdr:nvPicPr>
        <xdr:cNvPr id="6" name="Picture 9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 l="16250" t="8981" r="15156" b="5093"/>
        <a:stretch>
          <a:fillRect/>
        </a:stretch>
      </xdr:blipFill>
      <xdr:spPr bwMode="auto">
        <a:xfrm>
          <a:off x="0" y="24665939"/>
          <a:ext cx="4480560" cy="353102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174</xdr:row>
      <xdr:rowOff>121920</xdr:rowOff>
    </xdr:from>
    <xdr:to>
      <xdr:col>3</xdr:col>
      <xdr:colOff>525780</xdr:colOff>
      <xdr:row>198</xdr:row>
      <xdr:rowOff>78887</xdr:rowOff>
    </xdr:to>
    <xdr:pic>
      <xdr:nvPicPr>
        <xdr:cNvPr id="7" name="Picture 11">
          <a:hlinkClick xmlns:r="http://schemas.openxmlformats.org/officeDocument/2006/relationships" r:id="rId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l="33490" t="8981" r="32396" b="5185"/>
        <a:stretch>
          <a:fillRect/>
        </a:stretch>
      </xdr:blipFill>
      <xdr:spPr bwMode="auto">
        <a:xfrm>
          <a:off x="0" y="33268920"/>
          <a:ext cx="2811780" cy="452896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</xdr:colOff>
      <xdr:row>152</xdr:row>
      <xdr:rowOff>114300</xdr:rowOff>
    </xdr:from>
    <xdr:to>
      <xdr:col>5</xdr:col>
      <xdr:colOff>647701</xdr:colOff>
      <xdr:row>171</xdr:row>
      <xdr:rowOff>5466</xdr:rowOff>
    </xdr:to>
    <xdr:pic>
      <xdr:nvPicPr>
        <xdr:cNvPr id="8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 l="16406" t="9074" r="15208" b="5278"/>
        <a:stretch>
          <a:fillRect/>
        </a:stretch>
      </xdr:blipFill>
      <xdr:spPr bwMode="auto">
        <a:xfrm>
          <a:off x="1" y="29070300"/>
          <a:ext cx="4457700" cy="351066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</xdr:row>
      <xdr:rowOff>107576</xdr:rowOff>
    </xdr:from>
    <xdr:to>
      <xdr:col>5</xdr:col>
      <xdr:colOff>727651</xdr:colOff>
      <xdr:row>20</xdr:row>
      <xdr:rowOff>53788</xdr:rowOff>
    </xdr:to>
    <xdr:pic>
      <xdr:nvPicPr>
        <xdr:cNvPr id="9" name="Picture 1">
          <a:hlinkClick xmlns:r="http://schemas.openxmlformats.org/officeDocument/2006/relationships" r:id="rId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 l="16354" t="9167" r="15208" b="5278"/>
        <a:stretch>
          <a:fillRect/>
        </a:stretch>
      </xdr:blipFill>
      <xdr:spPr bwMode="auto">
        <a:xfrm>
          <a:off x="0" y="298076"/>
          <a:ext cx="4537651" cy="35657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87</xdr:row>
      <xdr:rowOff>53340</xdr:rowOff>
    </xdr:from>
    <xdr:to>
      <xdr:col>5</xdr:col>
      <xdr:colOff>693420</xdr:colOff>
      <xdr:row>105</xdr:row>
      <xdr:rowOff>157010</xdr:rowOff>
    </xdr:to>
    <xdr:pic>
      <xdr:nvPicPr>
        <xdr:cNvPr id="10" name="Picture 1">
          <a:hlinkClick xmlns:r="http://schemas.openxmlformats.org/officeDocument/2006/relationships" r:id="rId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 l="16354" t="9074" r="15208" b="5278"/>
        <a:stretch>
          <a:fillRect/>
        </a:stretch>
      </xdr:blipFill>
      <xdr:spPr bwMode="auto">
        <a:xfrm>
          <a:off x="0" y="16626840"/>
          <a:ext cx="4503420" cy="35326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absolute">
    <xdr:from>
      <xdr:col>8</xdr:col>
      <xdr:colOff>784225</xdr:colOff>
      <xdr:row>12</xdr:row>
      <xdr:rowOff>47625</xdr:rowOff>
    </xdr:from>
    <xdr:to>
      <xdr:col>10</xdr:col>
      <xdr:colOff>714375</xdr:colOff>
      <xdr:row>25</xdr:row>
      <xdr:rowOff>142875</xdr:rowOff>
    </xdr:to>
    <xdr:pic>
      <xdr:nvPicPr>
        <xdr:cNvPr id="2" name="Imag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0875" y="2333625"/>
          <a:ext cx="987425" cy="25717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9</xdr:col>
      <xdr:colOff>47625</xdr:colOff>
      <xdr:row>41</xdr:row>
      <xdr:rowOff>101600</xdr:rowOff>
    </xdr:from>
    <xdr:to>
      <xdr:col>12</xdr:col>
      <xdr:colOff>327025</xdr:colOff>
      <xdr:row>49</xdr:row>
      <xdr:rowOff>168275</xdr:rowOff>
    </xdr:to>
    <xdr:pic>
      <xdr:nvPicPr>
        <xdr:cNvPr id="3" name="Imag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0575" y="7912100"/>
          <a:ext cx="1765300" cy="15906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10</xdr:col>
      <xdr:colOff>82550</xdr:colOff>
      <xdr:row>66</xdr:row>
      <xdr:rowOff>142875</xdr:rowOff>
    </xdr:from>
    <xdr:to>
      <xdr:col>13</xdr:col>
      <xdr:colOff>53975</xdr:colOff>
      <xdr:row>75</xdr:row>
      <xdr:rowOff>76200</xdr:rowOff>
    </xdr:to>
    <xdr:pic>
      <xdr:nvPicPr>
        <xdr:cNvPr id="4" name="Imag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25200" y="13338175"/>
          <a:ext cx="2257425" cy="1647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9</xdr:col>
      <xdr:colOff>114300</xdr:colOff>
      <xdr:row>90</xdr:row>
      <xdr:rowOff>152400</xdr:rowOff>
    </xdr:from>
    <xdr:to>
      <xdr:col>12</xdr:col>
      <xdr:colOff>317500</xdr:colOff>
      <xdr:row>98</xdr:row>
      <xdr:rowOff>171450</xdr:rowOff>
    </xdr:to>
    <xdr:pic>
      <xdr:nvPicPr>
        <xdr:cNvPr id="5" name="Imag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17297400"/>
          <a:ext cx="1689100" cy="15430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9</xdr:col>
      <xdr:colOff>485775</xdr:colOff>
      <xdr:row>115</xdr:row>
      <xdr:rowOff>50800</xdr:rowOff>
    </xdr:from>
    <xdr:to>
      <xdr:col>12</xdr:col>
      <xdr:colOff>212725</xdr:colOff>
      <xdr:row>126</xdr:row>
      <xdr:rowOff>12700</xdr:rowOff>
    </xdr:to>
    <xdr:pic>
      <xdr:nvPicPr>
        <xdr:cNvPr id="6" name="Imag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0" y="21958300"/>
          <a:ext cx="1298575" cy="20574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9</xdr:col>
      <xdr:colOff>200025</xdr:colOff>
      <xdr:row>140</xdr:row>
      <xdr:rowOff>177800</xdr:rowOff>
    </xdr:from>
    <xdr:to>
      <xdr:col>12</xdr:col>
      <xdr:colOff>590550</xdr:colOff>
      <xdr:row>149</xdr:row>
      <xdr:rowOff>139700</xdr:rowOff>
    </xdr:to>
    <xdr:pic>
      <xdr:nvPicPr>
        <xdr:cNvPr id="7" name="Imag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26847800"/>
          <a:ext cx="1685925" cy="16764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9</xdr:col>
      <xdr:colOff>889000</xdr:colOff>
      <xdr:row>165</xdr:row>
      <xdr:rowOff>60325</xdr:rowOff>
    </xdr:from>
    <xdr:to>
      <xdr:col>12</xdr:col>
      <xdr:colOff>88900</xdr:colOff>
      <xdr:row>172</xdr:row>
      <xdr:rowOff>127000</xdr:rowOff>
    </xdr:to>
    <xdr:pic>
      <xdr:nvPicPr>
        <xdr:cNvPr id="8" name="Imag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2375" y="31492825"/>
          <a:ext cx="1095375" cy="14001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9</xdr:col>
      <xdr:colOff>603250</xdr:colOff>
      <xdr:row>212</xdr:row>
      <xdr:rowOff>76200</xdr:rowOff>
    </xdr:from>
    <xdr:to>
      <xdr:col>12</xdr:col>
      <xdr:colOff>415925</xdr:colOff>
      <xdr:row>223</xdr:row>
      <xdr:rowOff>38100</xdr:rowOff>
    </xdr:to>
    <xdr:pic>
      <xdr:nvPicPr>
        <xdr:cNvPr id="9" name="Imag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6175" y="40462200"/>
          <a:ext cx="1479550" cy="20574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9</xdr:col>
      <xdr:colOff>438150</xdr:colOff>
      <xdr:row>261</xdr:row>
      <xdr:rowOff>9525</xdr:rowOff>
    </xdr:from>
    <xdr:to>
      <xdr:col>11</xdr:col>
      <xdr:colOff>50800</xdr:colOff>
      <xdr:row>270</xdr:row>
      <xdr:rowOff>57150</xdr:rowOff>
    </xdr:to>
    <xdr:pic>
      <xdr:nvPicPr>
        <xdr:cNvPr id="10" name="Image 10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0" y="49730025"/>
          <a:ext cx="641350" cy="17621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10</xdr:col>
      <xdr:colOff>482600</xdr:colOff>
      <xdr:row>308</xdr:row>
      <xdr:rowOff>120650</xdr:rowOff>
    </xdr:from>
    <xdr:to>
      <xdr:col>13</xdr:col>
      <xdr:colOff>130175</xdr:colOff>
      <xdr:row>321</xdr:row>
      <xdr:rowOff>73025</xdr:rowOff>
    </xdr:to>
    <xdr:pic>
      <xdr:nvPicPr>
        <xdr:cNvPr id="11" name="Image 11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5125" y="58794650"/>
          <a:ext cx="1219200" cy="24288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9</xdr:col>
      <xdr:colOff>784225</xdr:colOff>
      <xdr:row>336</xdr:row>
      <xdr:rowOff>117475</xdr:rowOff>
    </xdr:from>
    <xdr:to>
      <xdr:col>13</xdr:col>
      <xdr:colOff>158750</xdr:colOff>
      <xdr:row>343</xdr:row>
      <xdr:rowOff>41275</xdr:rowOff>
    </xdr:to>
    <xdr:pic>
      <xdr:nvPicPr>
        <xdr:cNvPr id="12" name="Image 12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6175" y="64125475"/>
          <a:ext cx="1736725" cy="12573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10</xdr:col>
      <xdr:colOff>95250</xdr:colOff>
      <xdr:row>360</xdr:row>
      <xdr:rowOff>3175</xdr:rowOff>
    </xdr:from>
    <xdr:to>
      <xdr:col>12</xdr:col>
      <xdr:colOff>704850</xdr:colOff>
      <xdr:row>370</xdr:row>
      <xdr:rowOff>88900</xdr:rowOff>
    </xdr:to>
    <xdr:pic>
      <xdr:nvPicPr>
        <xdr:cNvPr id="13" name="Image 1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68583175"/>
          <a:ext cx="1295400" cy="19907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9</xdr:col>
      <xdr:colOff>511175</xdr:colOff>
      <xdr:row>237</xdr:row>
      <xdr:rowOff>19050</xdr:rowOff>
    </xdr:from>
    <xdr:to>
      <xdr:col>11</xdr:col>
      <xdr:colOff>466725</xdr:colOff>
      <xdr:row>246</xdr:row>
      <xdr:rowOff>66675</xdr:rowOff>
    </xdr:to>
    <xdr:pic>
      <xdr:nvPicPr>
        <xdr:cNvPr id="14" name="Image 9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9825" y="45167550"/>
          <a:ext cx="993775" cy="17621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10</xdr:col>
      <xdr:colOff>393700</xdr:colOff>
      <xdr:row>189</xdr:row>
      <xdr:rowOff>0</xdr:rowOff>
    </xdr:from>
    <xdr:to>
      <xdr:col>12</xdr:col>
      <xdr:colOff>174625</xdr:colOff>
      <xdr:row>195</xdr:row>
      <xdr:rowOff>9525</xdr:rowOff>
    </xdr:to>
    <xdr:pic>
      <xdr:nvPicPr>
        <xdr:cNvPr id="15" name="Image 14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1950" y="36004500"/>
          <a:ext cx="771525" cy="11525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171450</xdr:colOff>
      <xdr:row>1</xdr:row>
      <xdr:rowOff>133350</xdr:rowOff>
    </xdr:from>
    <xdr:to>
      <xdr:col>4</xdr:col>
      <xdr:colOff>409575</xdr:colOff>
      <xdr:row>12</xdr:row>
      <xdr:rowOff>66675</xdr:rowOff>
    </xdr:to>
    <xdr:pic>
      <xdr:nvPicPr>
        <xdr:cNvPr id="2" name="Image 15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3850"/>
          <a:ext cx="2447925" cy="2028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5</xdr:col>
      <xdr:colOff>104775</xdr:colOff>
      <xdr:row>1</xdr:row>
      <xdr:rowOff>123825</xdr:rowOff>
    </xdr:from>
    <xdr:to>
      <xdr:col>9</xdr:col>
      <xdr:colOff>323850</xdr:colOff>
      <xdr:row>12</xdr:row>
      <xdr:rowOff>57150</xdr:rowOff>
    </xdr:to>
    <xdr:pic>
      <xdr:nvPicPr>
        <xdr:cNvPr id="3" name="Image 15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5" y="314325"/>
          <a:ext cx="2428875" cy="2028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0</xdr:col>
      <xdr:colOff>161925</xdr:colOff>
      <xdr:row>14</xdr:row>
      <xdr:rowOff>142875</xdr:rowOff>
    </xdr:from>
    <xdr:to>
      <xdr:col>4</xdr:col>
      <xdr:colOff>400050</xdr:colOff>
      <xdr:row>25</xdr:row>
      <xdr:rowOff>76200</xdr:rowOff>
    </xdr:to>
    <xdr:pic>
      <xdr:nvPicPr>
        <xdr:cNvPr id="4" name="Image 15">
          <a:hlinkClick xmlns:r="http://schemas.openxmlformats.org/officeDocument/2006/relationships" r:id="rId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809875"/>
          <a:ext cx="2447925" cy="2028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5</xdr:col>
      <xdr:colOff>85725</xdr:colOff>
      <xdr:row>14</xdr:row>
      <xdr:rowOff>133350</xdr:rowOff>
    </xdr:from>
    <xdr:to>
      <xdr:col>9</xdr:col>
      <xdr:colOff>314325</xdr:colOff>
      <xdr:row>25</xdr:row>
      <xdr:rowOff>66675</xdr:rowOff>
    </xdr:to>
    <xdr:pic>
      <xdr:nvPicPr>
        <xdr:cNvPr id="5" name="Image 15">
          <a:hlinkClick xmlns:r="http://schemas.openxmlformats.org/officeDocument/2006/relationships" r:id="rId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2800350"/>
          <a:ext cx="2438400" cy="2028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0</xdr:col>
      <xdr:colOff>133350</xdr:colOff>
      <xdr:row>27</xdr:row>
      <xdr:rowOff>133350</xdr:rowOff>
    </xdr:from>
    <xdr:to>
      <xdr:col>4</xdr:col>
      <xdr:colOff>371475</xdr:colOff>
      <xdr:row>38</xdr:row>
      <xdr:rowOff>66675</xdr:rowOff>
    </xdr:to>
    <xdr:pic>
      <xdr:nvPicPr>
        <xdr:cNvPr id="6" name="Image 15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5276850"/>
          <a:ext cx="2447925" cy="2028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5</xdr:col>
      <xdr:colOff>66675</xdr:colOff>
      <xdr:row>27</xdr:row>
      <xdr:rowOff>123825</xdr:rowOff>
    </xdr:from>
    <xdr:to>
      <xdr:col>9</xdr:col>
      <xdr:colOff>285750</xdr:colOff>
      <xdr:row>38</xdr:row>
      <xdr:rowOff>57150</xdr:rowOff>
    </xdr:to>
    <xdr:pic>
      <xdr:nvPicPr>
        <xdr:cNvPr id="7" name="Image 15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8925" y="5267325"/>
          <a:ext cx="2428875" cy="2028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0</xdr:col>
      <xdr:colOff>161925</xdr:colOff>
      <xdr:row>28</xdr:row>
      <xdr:rowOff>2588</xdr:rowOff>
    </xdr:from>
    <xdr:to>
      <xdr:col>4</xdr:col>
      <xdr:colOff>400050</xdr:colOff>
      <xdr:row>38</xdr:row>
      <xdr:rowOff>6937</xdr:rowOff>
    </xdr:to>
    <xdr:pic>
      <xdr:nvPicPr>
        <xdr:cNvPr id="8" name="Image 15">
          <a:hlinkClick xmlns:r="http://schemas.openxmlformats.org/officeDocument/2006/relationships" r:id="rId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61925" y="5336588"/>
          <a:ext cx="2447925" cy="1909349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5</xdr:col>
      <xdr:colOff>85725</xdr:colOff>
      <xdr:row>27</xdr:row>
      <xdr:rowOff>182435</xdr:rowOff>
    </xdr:from>
    <xdr:to>
      <xdr:col>9</xdr:col>
      <xdr:colOff>314325</xdr:colOff>
      <xdr:row>37</xdr:row>
      <xdr:rowOff>189039</xdr:rowOff>
    </xdr:to>
    <xdr:pic>
      <xdr:nvPicPr>
        <xdr:cNvPr id="9" name="Image 15">
          <a:hlinkClick xmlns:r="http://schemas.openxmlformats.org/officeDocument/2006/relationships" r:id="rId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847975" y="5325935"/>
          <a:ext cx="2438400" cy="191160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0</xdr:col>
      <xdr:colOff>333375</xdr:colOff>
      <xdr:row>40</xdr:row>
      <xdr:rowOff>142875</xdr:rowOff>
    </xdr:from>
    <xdr:to>
      <xdr:col>3</xdr:col>
      <xdr:colOff>495300</xdr:colOff>
      <xdr:row>56</xdr:row>
      <xdr:rowOff>180975</xdr:rowOff>
    </xdr:to>
    <xdr:pic>
      <xdr:nvPicPr>
        <xdr:cNvPr id="10" name="Image 15">
          <a:hlinkClick xmlns:r="http://schemas.openxmlformats.org/officeDocument/2006/relationships" r:id="rId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762875"/>
          <a:ext cx="1819275" cy="30861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5</xdr:col>
      <xdr:colOff>133350</xdr:colOff>
      <xdr:row>40</xdr:row>
      <xdr:rowOff>104775</xdr:rowOff>
    </xdr:from>
    <xdr:to>
      <xdr:col>9</xdr:col>
      <xdr:colOff>361950</xdr:colOff>
      <xdr:row>51</xdr:row>
      <xdr:rowOff>38100</xdr:rowOff>
    </xdr:to>
    <xdr:pic>
      <xdr:nvPicPr>
        <xdr:cNvPr id="11" name="Image 15">
          <a:hlinkClick xmlns:r="http://schemas.openxmlformats.org/officeDocument/2006/relationships" r:id="rId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7724775"/>
          <a:ext cx="2438400" cy="2028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0</xdr:col>
      <xdr:colOff>209550</xdr:colOff>
      <xdr:row>58</xdr:row>
      <xdr:rowOff>76200</xdr:rowOff>
    </xdr:from>
    <xdr:to>
      <xdr:col>4</xdr:col>
      <xdr:colOff>447675</xdr:colOff>
      <xdr:row>69</xdr:row>
      <xdr:rowOff>9525</xdr:rowOff>
    </xdr:to>
    <xdr:pic>
      <xdr:nvPicPr>
        <xdr:cNvPr id="12" name="Image 15">
          <a:hlinkClick xmlns:r="http://schemas.openxmlformats.org/officeDocument/2006/relationships" r:id="rId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11125200"/>
          <a:ext cx="2447925" cy="2028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5</xdr:col>
      <xdr:colOff>457200</xdr:colOff>
      <xdr:row>58</xdr:row>
      <xdr:rowOff>85725</xdr:rowOff>
    </xdr:from>
    <xdr:to>
      <xdr:col>9</xdr:col>
      <xdr:colOff>38100</xdr:colOff>
      <xdr:row>74</xdr:row>
      <xdr:rowOff>114300</xdr:rowOff>
    </xdr:to>
    <xdr:pic>
      <xdr:nvPicPr>
        <xdr:cNvPr id="13" name="Image 15">
          <a:hlinkClick xmlns:r="http://schemas.openxmlformats.org/officeDocument/2006/relationships" r:id="rId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11134725"/>
          <a:ext cx="1790700" cy="30765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0</xdr:col>
      <xdr:colOff>419100</xdr:colOff>
      <xdr:row>76</xdr:row>
      <xdr:rowOff>95250</xdr:rowOff>
    </xdr:from>
    <xdr:to>
      <xdr:col>4</xdr:col>
      <xdr:colOff>19050</xdr:colOff>
      <xdr:row>92</xdr:row>
      <xdr:rowOff>123825</xdr:rowOff>
    </xdr:to>
    <xdr:pic>
      <xdr:nvPicPr>
        <xdr:cNvPr id="14" name="Image 15">
          <a:hlinkClick xmlns:r="http://schemas.openxmlformats.org/officeDocument/2006/relationships" r:id="rId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14573250"/>
          <a:ext cx="1809750" cy="30765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5</xdr:col>
      <xdr:colOff>419100</xdr:colOff>
      <xdr:row>76</xdr:row>
      <xdr:rowOff>95250</xdr:rowOff>
    </xdr:from>
    <xdr:to>
      <xdr:col>9</xdr:col>
      <xdr:colOff>0</xdr:colOff>
      <xdr:row>92</xdr:row>
      <xdr:rowOff>123825</xdr:rowOff>
    </xdr:to>
    <xdr:pic>
      <xdr:nvPicPr>
        <xdr:cNvPr id="15" name="Image 15">
          <a:hlinkClick xmlns:r="http://schemas.openxmlformats.org/officeDocument/2006/relationships" r:id="rId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14573250"/>
          <a:ext cx="1790700" cy="30765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absolute">
    <xdr:from>
      <xdr:col>0</xdr:col>
      <xdr:colOff>228600</xdr:colOff>
      <xdr:row>95</xdr:row>
      <xdr:rowOff>12113</xdr:rowOff>
    </xdr:from>
    <xdr:to>
      <xdr:col>4</xdr:col>
      <xdr:colOff>466725</xdr:colOff>
      <xdr:row>105</xdr:row>
      <xdr:rowOff>16462</xdr:rowOff>
    </xdr:to>
    <xdr:pic>
      <xdr:nvPicPr>
        <xdr:cNvPr id="16" name="Image 15">
          <a:hlinkClick xmlns:r="http://schemas.openxmlformats.org/officeDocument/2006/relationships" r:id="rId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28600" y="18109613"/>
          <a:ext cx="2447925" cy="1909349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 cap="flat">
              <a:solidFill>
                <a:srgbClr val="3465A4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587374</xdr:colOff>
      <xdr:row>15</xdr:row>
      <xdr:rowOff>128307</xdr:rowOff>
    </xdr:from>
    <xdr:to>
      <xdr:col>13</xdr:col>
      <xdr:colOff>389535</xdr:colOff>
      <xdr:row>29</xdr:row>
      <xdr:rowOff>91526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0374" y="3430307"/>
          <a:ext cx="3262911" cy="3963719"/>
        </a:xfrm>
        <a:prstGeom prst="rect">
          <a:avLst/>
        </a:prstGeom>
      </xdr:spPr>
    </xdr:pic>
    <xdr:clientData/>
  </xdr:twoCellAnchor>
  <xdr:twoCellAnchor editAs="oneCell">
    <xdr:from>
      <xdr:col>9</xdr:col>
      <xdr:colOff>148664</xdr:colOff>
      <xdr:row>45</xdr:row>
      <xdr:rowOff>33618</xdr:rowOff>
    </xdr:from>
    <xdr:to>
      <xdr:col>14</xdr:col>
      <xdr:colOff>92967</xdr:colOff>
      <xdr:row>50</xdr:row>
      <xdr:rowOff>0</xdr:rowOff>
    </xdr:to>
    <xdr:pic>
      <xdr:nvPicPr>
        <xdr:cNvPr id="3" name="Image 1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5064" y="8606118"/>
          <a:ext cx="2992303" cy="918882"/>
        </a:xfrm>
        <a:prstGeom prst="rect">
          <a:avLst/>
        </a:prstGeom>
      </xdr:spPr>
    </xdr:pic>
    <xdr:clientData/>
  </xdr:twoCellAnchor>
  <xdr:twoCellAnchor editAs="oneCell">
    <xdr:from>
      <xdr:col>9</xdr:col>
      <xdr:colOff>180787</xdr:colOff>
      <xdr:row>88</xdr:row>
      <xdr:rowOff>134469</xdr:rowOff>
    </xdr:from>
    <xdr:to>
      <xdr:col>13</xdr:col>
      <xdr:colOff>419417</xdr:colOff>
      <xdr:row>94</xdr:row>
      <xdr:rowOff>107800</xdr:rowOff>
    </xdr:to>
    <xdr:pic>
      <xdr:nvPicPr>
        <xdr:cNvPr id="4" name="Image 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7187" y="16898469"/>
          <a:ext cx="2677030" cy="1116331"/>
        </a:xfrm>
        <a:prstGeom prst="rect">
          <a:avLst/>
        </a:prstGeom>
      </xdr:spPr>
    </xdr:pic>
    <xdr:clientData/>
  </xdr:twoCellAnchor>
  <xdr:twoCellAnchor editAs="oneCell">
    <xdr:from>
      <xdr:col>9</xdr:col>
      <xdr:colOff>163605</xdr:colOff>
      <xdr:row>108</xdr:row>
      <xdr:rowOff>100105</xdr:rowOff>
    </xdr:from>
    <xdr:to>
      <xdr:col>11</xdr:col>
      <xdr:colOff>672351</xdr:colOff>
      <xdr:row>118</xdr:row>
      <xdr:rowOff>43126</xdr:rowOff>
    </xdr:to>
    <xdr:pic>
      <xdr:nvPicPr>
        <xdr:cNvPr id="5" name="Image 1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50005" y="20674105"/>
          <a:ext cx="1661272" cy="1848021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78442</xdr:colOff>
      <xdr:row>198</xdr:row>
      <xdr:rowOff>100854</xdr:rowOff>
    </xdr:from>
    <xdr:to>
      <xdr:col>12</xdr:col>
      <xdr:colOff>933955</xdr:colOff>
      <xdr:row>205</xdr:row>
      <xdr:rowOff>34559</xdr:rowOff>
    </xdr:to>
    <xdr:pic>
      <xdr:nvPicPr>
        <xdr:cNvPr id="6" name="Image 1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4442" y="37819854"/>
          <a:ext cx="1750863" cy="1267205"/>
        </a:xfrm>
        <a:prstGeom prst="rect">
          <a:avLst/>
        </a:prstGeom>
      </xdr:spPr>
    </xdr:pic>
    <xdr:clientData/>
  </xdr:twoCellAnchor>
  <xdr:twoCellAnchor editAs="oneCell">
    <xdr:from>
      <xdr:col>9</xdr:col>
      <xdr:colOff>100853</xdr:colOff>
      <xdr:row>218</xdr:row>
      <xdr:rowOff>112059</xdr:rowOff>
    </xdr:from>
    <xdr:to>
      <xdr:col>11</xdr:col>
      <xdr:colOff>573806</xdr:colOff>
      <xdr:row>225</xdr:row>
      <xdr:rowOff>78441</xdr:rowOff>
    </xdr:to>
    <xdr:pic>
      <xdr:nvPicPr>
        <xdr:cNvPr id="7" name="Image 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7253" y="41641059"/>
          <a:ext cx="1692154" cy="1299882"/>
        </a:xfrm>
        <a:prstGeom prst="rect">
          <a:avLst/>
        </a:prstGeom>
      </xdr:spPr>
    </xdr:pic>
    <xdr:clientData/>
  </xdr:twoCellAnchor>
  <xdr:twoCellAnchor editAs="oneCell">
    <xdr:from>
      <xdr:col>9</xdr:col>
      <xdr:colOff>448234</xdr:colOff>
      <xdr:row>239</xdr:row>
      <xdr:rowOff>78443</xdr:rowOff>
    </xdr:from>
    <xdr:to>
      <xdr:col>12</xdr:col>
      <xdr:colOff>274674</xdr:colOff>
      <xdr:row>246</xdr:row>
      <xdr:rowOff>120189</xdr:rowOff>
    </xdr:to>
    <xdr:pic>
      <xdr:nvPicPr>
        <xdr:cNvPr id="8" name="Image 2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634" y="45607943"/>
          <a:ext cx="1655240" cy="1375246"/>
        </a:xfrm>
        <a:prstGeom prst="rect">
          <a:avLst/>
        </a:prstGeom>
      </xdr:spPr>
    </xdr:pic>
    <xdr:clientData/>
  </xdr:twoCellAnchor>
  <xdr:twoCellAnchor editAs="oneCell">
    <xdr:from>
      <xdr:col>9</xdr:col>
      <xdr:colOff>509869</xdr:colOff>
      <xdr:row>260</xdr:row>
      <xdr:rowOff>100853</xdr:rowOff>
    </xdr:from>
    <xdr:to>
      <xdr:col>13</xdr:col>
      <xdr:colOff>438976</xdr:colOff>
      <xdr:row>270</xdr:row>
      <xdr:rowOff>176892</xdr:rowOff>
    </xdr:to>
    <xdr:pic>
      <xdr:nvPicPr>
        <xdr:cNvPr id="9" name="Image 1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96269" y="49630853"/>
          <a:ext cx="2367507" cy="1981039"/>
        </a:xfrm>
        <a:prstGeom prst="rect">
          <a:avLst/>
        </a:prstGeom>
      </xdr:spPr>
    </xdr:pic>
    <xdr:clientData/>
  </xdr:twoCellAnchor>
  <xdr:twoCellAnchor editAs="oneCell">
    <xdr:from>
      <xdr:col>9</xdr:col>
      <xdr:colOff>201705</xdr:colOff>
      <xdr:row>389</xdr:row>
      <xdr:rowOff>67236</xdr:rowOff>
    </xdr:from>
    <xdr:to>
      <xdr:col>11</xdr:col>
      <xdr:colOff>268939</xdr:colOff>
      <xdr:row>396</xdr:row>
      <xdr:rowOff>100853</xdr:rowOff>
    </xdr:to>
    <xdr:pic>
      <xdr:nvPicPr>
        <xdr:cNvPr id="10" name="Imag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09" t="17157" r="17065" b="18301"/>
        <a:stretch>
          <a:fillRect/>
        </a:stretch>
      </xdr:blipFill>
      <xdr:spPr bwMode="auto">
        <a:xfrm>
          <a:off x="5688105" y="74171736"/>
          <a:ext cx="1286435" cy="1367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100853</xdr:colOff>
      <xdr:row>370</xdr:row>
      <xdr:rowOff>1</xdr:rowOff>
    </xdr:from>
    <xdr:to>
      <xdr:col>11</xdr:col>
      <xdr:colOff>616322</xdr:colOff>
      <xdr:row>376</xdr:row>
      <xdr:rowOff>96480</xdr:rowOff>
    </xdr:to>
    <xdr:pic>
      <xdr:nvPicPr>
        <xdr:cNvPr id="11" name="Imag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70" t="22190" r="20873" b="27151"/>
        <a:stretch>
          <a:fillRect/>
        </a:stretch>
      </xdr:blipFill>
      <xdr:spPr bwMode="auto">
        <a:xfrm>
          <a:off x="5587253" y="70485001"/>
          <a:ext cx="1725145" cy="1239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235324</xdr:colOff>
      <xdr:row>350</xdr:row>
      <xdr:rowOff>33618</xdr:rowOff>
    </xdr:from>
    <xdr:to>
      <xdr:col>11</xdr:col>
      <xdr:colOff>22410</xdr:colOff>
      <xdr:row>356</xdr:row>
      <xdr:rowOff>177358</xdr:rowOff>
    </xdr:to>
    <xdr:pic>
      <xdr:nvPicPr>
        <xdr:cNvPr id="1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5721724" y="66708618"/>
          <a:ext cx="1006287" cy="12867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188282</xdr:colOff>
      <xdr:row>433</xdr:row>
      <xdr:rowOff>89648</xdr:rowOff>
    </xdr:from>
    <xdr:to>
      <xdr:col>12</xdr:col>
      <xdr:colOff>105653</xdr:colOff>
      <xdr:row>440</xdr:row>
      <xdr:rowOff>189063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682" y="82576148"/>
          <a:ext cx="1746171" cy="1432915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381000</xdr:colOff>
      <xdr:row>493</xdr:row>
      <xdr:rowOff>64127</xdr:rowOff>
    </xdr:from>
    <xdr:to>
      <xdr:col>11</xdr:col>
      <xdr:colOff>233454</xdr:colOff>
      <xdr:row>497</xdr:row>
      <xdr:rowOff>153011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ackgroundRemoval t="2065" b="97345" l="1146" r="99509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0" y="93980627"/>
          <a:ext cx="1071655" cy="850884"/>
        </a:xfrm>
        <a:prstGeom prst="rect">
          <a:avLst/>
        </a:prstGeom>
      </xdr:spPr>
    </xdr:pic>
    <xdr:clientData/>
  </xdr:twoCellAnchor>
  <xdr:twoCellAnchor editAs="oneCell">
    <xdr:from>
      <xdr:col>9</xdr:col>
      <xdr:colOff>280148</xdr:colOff>
      <xdr:row>410</xdr:row>
      <xdr:rowOff>89647</xdr:rowOff>
    </xdr:from>
    <xdr:to>
      <xdr:col>12</xdr:col>
      <xdr:colOff>565095</xdr:colOff>
      <xdr:row>418</xdr:row>
      <xdr:rowOff>139098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66548" y="78194647"/>
          <a:ext cx="2113747" cy="1573451"/>
        </a:xfrm>
        <a:prstGeom prst="rect">
          <a:avLst/>
        </a:prstGeom>
      </xdr:spPr>
    </xdr:pic>
    <xdr:clientData/>
  </xdr:twoCellAnchor>
  <xdr:twoCellAnchor editAs="oneCell">
    <xdr:from>
      <xdr:col>9</xdr:col>
      <xdr:colOff>268941</xdr:colOff>
      <xdr:row>453</xdr:row>
      <xdr:rowOff>67234</xdr:rowOff>
    </xdr:from>
    <xdr:to>
      <xdr:col>11</xdr:col>
      <xdr:colOff>369793</xdr:colOff>
      <xdr:row>460</xdr:row>
      <xdr:rowOff>181523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55341" y="86363734"/>
          <a:ext cx="1320053" cy="1447789"/>
        </a:xfrm>
        <a:prstGeom prst="rect">
          <a:avLst/>
        </a:prstGeom>
      </xdr:spPr>
    </xdr:pic>
    <xdr:clientData/>
  </xdr:twoCellAnchor>
  <xdr:twoCellAnchor editAs="oneCell">
    <xdr:from>
      <xdr:col>9</xdr:col>
      <xdr:colOff>793750</xdr:colOff>
      <xdr:row>474</xdr:row>
      <xdr:rowOff>58974</xdr:rowOff>
    </xdr:from>
    <xdr:to>
      <xdr:col>11</xdr:col>
      <xdr:colOff>261671</xdr:colOff>
      <xdr:row>480</xdr:row>
      <xdr:rowOff>63500</xdr:rowOff>
    </xdr:to>
    <xdr:pic>
      <xdr:nvPicPr>
        <xdr:cNvPr id="18" name="Image 17" descr="https://scontent-frt3-1.xx.fbcdn.net/v/t34.0-12/13281862_10209159233558986_1273824521_n.png?oh=155690ec5c905512c2b76802bc1b6a7b&amp;oe=574645DE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6750" y="103849724"/>
          <a:ext cx="1150671" cy="15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33130</xdr:colOff>
      <xdr:row>1</xdr:row>
      <xdr:rowOff>33131</xdr:rowOff>
    </xdr:from>
    <xdr:to>
      <xdr:col>4</xdr:col>
      <xdr:colOff>30526</xdr:colOff>
      <xdr:row>15</xdr:row>
      <xdr:rowOff>128380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30" y="223631"/>
          <a:ext cx="3045396" cy="2762249"/>
        </a:xfrm>
        <a:prstGeom prst="rect">
          <a:avLst/>
        </a:prstGeom>
      </xdr:spPr>
    </xdr:pic>
    <xdr:clientData/>
  </xdr:twoCellAnchor>
  <xdr:twoCellAnchor editAs="oneCell">
    <xdr:from>
      <xdr:col>4</xdr:col>
      <xdr:colOff>430696</xdr:colOff>
      <xdr:row>1</xdr:row>
      <xdr:rowOff>24847</xdr:rowOff>
    </xdr:from>
    <xdr:to>
      <xdr:col>8</xdr:col>
      <xdr:colOff>402816</xdr:colOff>
      <xdr:row>15</xdr:row>
      <xdr:rowOff>124238</xdr:rowOff>
    </xdr:to>
    <xdr:pic>
      <xdr:nvPicPr>
        <xdr:cNvPr id="3" name="Image 2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8696" y="215347"/>
          <a:ext cx="3020120" cy="27663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4</xdr:col>
      <xdr:colOff>74543</xdr:colOff>
      <xdr:row>32</xdr:row>
      <xdr:rowOff>145287</xdr:rowOff>
    </xdr:to>
    <xdr:pic>
      <xdr:nvPicPr>
        <xdr:cNvPr id="4" name="Image 3">
          <a:hlinkClick xmlns:r="http://schemas.openxmlformats.org/officeDocument/2006/relationships" r:id="rId5"/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0"/>
          <a:ext cx="3122543" cy="2812287"/>
        </a:xfrm>
        <a:prstGeom prst="rect">
          <a:avLst/>
        </a:prstGeom>
      </xdr:spPr>
    </xdr:pic>
    <xdr:clientData/>
  </xdr:twoCellAnchor>
  <xdr:twoCellAnchor editAs="oneCell">
    <xdr:from>
      <xdr:col>4</xdr:col>
      <xdr:colOff>486319</xdr:colOff>
      <xdr:row>18</xdr:row>
      <xdr:rowOff>49696</xdr:rowOff>
    </xdr:from>
    <xdr:to>
      <xdr:col>8</xdr:col>
      <xdr:colOff>354081</xdr:colOff>
      <xdr:row>32</xdr:row>
      <xdr:rowOff>75137</xdr:rowOff>
    </xdr:to>
    <xdr:pic>
      <xdr:nvPicPr>
        <xdr:cNvPr id="5" name="Image 4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34319" y="3478696"/>
          <a:ext cx="2915762" cy="2692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306456</xdr:colOff>
      <xdr:row>65</xdr:row>
      <xdr:rowOff>129645</xdr:rowOff>
    </xdr:to>
    <xdr:pic>
      <xdr:nvPicPr>
        <xdr:cNvPr id="6" name="Image 5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25000"/>
          <a:ext cx="3354456" cy="2987145"/>
        </a:xfrm>
        <a:prstGeom prst="rect">
          <a:avLst/>
        </a:prstGeom>
      </xdr:spPr>
    </xdr:pic>
    <xdr:clientData/>
  </xdr:twoCellAnchor>
  <xdr:twoCellAnchor editAs="oneCell">
    <xdr:from>
      <xdr:col>4</xdr:col>
      <xdr:colOff>331303</xdr:colOff>
      <xdr:row>50</xdr:row>
      <xdr:rowOff>8284</xdr:rowOff>
    </xdr:from>
    <xdr:to>
      <xdr:col>8</xdr:col>
      <xdr:colOff>564459</xdr:colOff>
      <xdr:row>65</xdr:row>
      <xdr:rowOff>107192</xdr:rowOff>
    </xdr:to>
    <xdr:pic>
      <xdr:nvPicPr>
        <xdr:cNvPr id="7" name="Image 6">
          <a:hlinkClick xmlns:r="http://schemas.openxmlformats.org/officeDocument/2006/relationships" r:id="rId11"/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79303" y="9533284"/>
          <a:ext cx="3281156" cy="29564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4</xdr:col>
      <xdr:colOff>109873</xdr:colOff>
      <xdr:row>49</xdr:row>
      <xdr:rowOff>1</xdr:rowOff>
    </xdr:to>
    <xdr:pic>
      <xdr:nvPicPr>
        <xdr:cNvPr id="8" name="Image 7">
          <a:hlinkClick xmlns:r="http://schemas.openxmlformats.org/officeDocument/2006/relationships" r:id="rId13"/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1"/>
          <a:ext cx="3157873" cy="2857500"/>
        </a:xfrm>
        <a:prstGeom prst="rect">
          <a:avLst/>
        </a:prstGeom>
      </xdr:spPr>
    </xdr:pic>
    <xdr:clientData/>
  </xdr:twoCellAnchor>
  <xdr:twoCellAnchor editAs="oneCell">
    <xdr:from>
      <xdr:col>4</xdr:col>
      <xdr:colOff>359650</xdr:colOff>
      <xdr:row>67</xdr:row>
      <xdr:rowOff>1</xdr:rowOff>
    </xdr:from>
    <xdr:to>
      <xdr:col>8</xdr:col>
      <xdr:colOff>514277</xdr:colOff>
      <xdr:row>82</xdr:row>
      <xdr:rowOff>47625</xdr:rowOff>
    </xdr:to>
    <xdr:pic>
      <xdr:nvPicPr>
        <xdr:cNvPr id="9" name="Image 8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7650" y="12763501"/>
          <a:ext cx="3202627" cy="290512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67</xdr:row>
      <xdr:rowOff>1</xdr:rowOff>
    </xdr:from>
    <xdr:to>
      <xdr:col>4</xdr:col>
      <xdr:colOff>107278</xdr:colOff>
      <xdr:row>81</xdr:row>
      <xdr:rowOff>171451</xdr:rowOff>
    </xdr:to>
    <xdr:pic>
      <xdr:nvPicPr>
        <xdr:cNvPr id="10" name="Image 9">
          <a:hlinkClick xmlns:r="http://schemas.openxmlformats.org/officeDocument/2006/relationships" r:id="rId17"/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2763501"/>
          <a:ext cx="3155277" cy="2838450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34</xdr:row>
      <xdr:rowOff>9525</xdr:rowOff>
    </xdr:from>
    <xdr:to>
      <xdr:col>8</xdr:col>
      <xdr:colOff>438150</xdr:colOff>
      <xdr:row>49</xdr:row>
      <xdr:rowOff>35256</xdr:rowOff>
    </xdr:to>
    <xdr:pic>
      <xdr:nvPicPr>
        <xdr:cNvPr id="11" name="Image 10">
          <a:hlinkClick xmlns:r="http://schemas.openxmlformats.org/officeDocument/2006/relationships" r:id="rId19"/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2325" y="6486525"/>
          <a:ext cx="3171825" cy="288323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673100</xdr:colOff>
      <xdr:row>13</xdr:row>
      <xdr:rowOff>12700</xdr:rowOff>
    </xdr:from>
    <xdr:to>
      <xdr:col>12</xdr:col>
      <xdr:colOff>521495</xdr:colOff>
      <xdr:row>21</xdr:row>
      <xdr:rowOff>149225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2825" y="2489200"/>
          <a:ext cx="1889126" cy="1660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38</xdr:row>
      <xdr:rowOff>0</xdr:rowOff>
    </xdr:from>
    <xdr:to>
      <xdr:col>12</xdr:col>
      <xdr:colOff>673894</xdr:colOff>
      <xdr:row>46</xdr:row>
      <xdr:rowOff>0</xdr:rowOff>
    </xdr:to>
    <xdr:pic>
      <xdr:nvPicPr>
        <xdr:cNvPr id="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239000"/>
          <a:ext cx="2038351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317500</xdr:colOff>
      <xdr:row>81</xdr:row>
      <xdr:rowOff>177800</xdr:rowOff>
    </xdr:from>
    <xdr:to>
      <xdr:col>11</xdr:col>
      <xdr:colOff>431801</xdr:colOff>
      <xdr:row>89</xdr:row>
      <xdr:rowOff>9525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3900" y="15608300"/>
          <a:ext cx="1333500" cy="135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317500</xdr:colOff>
      <xdr:row>102</xdr:row>
      <xdr:rowOff>177800</xdr:rowOff>
    </xdr:from>
    <xdr:to>
      <xdr:col>11</xdr:col>
      <xdr:colOff>431801</xdr:colOff>
      <xdr:row>110</xdr:row>
      <xdr:rowOff>9525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5803900" y="19608800"/>
          <a:ext cx="1333500" cy="135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520700</xdr:colOff>
      <xdr:row>125</xdr:row>
      <xdr:rowOff>152400</xdr:rowOff>
    </xdr:from>
    <xdr:to>
      <xdr:col>11</xdr:col>
      <xdr:colOff>683419</xdr:colOff>
      <xdr:row>129</xdr:row>
      <xdr:rowOff>142875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6700" y="23964900"/>
          <a:ext cx="774701" cy="75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177800</xdr:colOff>
      <xdr:row>146</xdr:row>
      <xdr:rowOff>152400</xdr:rowOff>
    </xdr:from>
    <xdr:to>
      <xdr:col>12</xdr:col>
      <xdr:colOff>120650</xdr:colOff>
      <xdr:row>152</xdr:row>
      <xdr:rowOff>161925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73800" y="27965400"/>
          <a:ext cx="1304926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170</xdr:row>
      <xdr:rowOff>0</xdr:rowOff>
    </xdr:from>
    <xdr:to>
      <xdr:col>12</xdr:col>
      <xdr:colOff>171450</xdr:colOff>
      <xdr:row>177</xdr:row>
      <xdr:rowOff>47625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2385000"/>
          <a:ext cx="1533526" cy="1381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673100</xdr:colOff>
      <xdr:row>195</xdr:row>
      <xdr:rowOff>12700</xdr:rowOff>
    </xdr:from>
    <xdr:to>
      <xdr:col>12</xdr:col>
      <xdr:colOff>521495</xdr:colOff>
      <xdr:row>202</xdr:row>
      <xdr:rowOff>88900</xdr:rowOff>
    </xdr:to>
    <xdr:pic>
      <xdr:nvPicPr>
        <xdr:cNvPr id="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2825" y="37160200"/>
          <a:ext cx="1889126" cy="1409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220</xdr:row>
      <xdr:rowOff>0</xdr:rowOff>
    </xdr:from>
    <xdr:to>
      <xdr:col>12</xdr:col>
      <xdr:colOff>797719</xdr:colOff>
      <xdr:row>229</xdr:row>
      <xdr:rowOff>104775</xdr:rowOff>
    </xdr:to>
    <xdr:pic>
      <xdr:nvPicPr>
        <xdr:cNvPr id="1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1910000"/>
          <a:ext cx="2162176" cy="1819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317500</xdr:colOff>
      <xdr:row>260</xdr:row>
      <xdr:rowOff>177800</xdr:rowOff>
    </xdr:from>
    <xdr:to>
      <xdr:col>11</xdr:col>
      <xdr:colOff>431801</xdr:colOff>
      <xdr:row>268</xdr:row>
      <xdr:rowOff>9525</xdr:rowOff>
    </xdr:to>
    <xdr:pic>
      <xdr:nvPicPr>
        <xdr:cNvPr id="11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5803900" y="49707800"/>
          <a:ext cx="1333500" cy="135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317500</xdr:colOff>
      <xdr:row>281</xdr:row>
      <xdr:rowOff>177800</xdr:rowOff>
    </xdr:from>
    <xdr:to>
      <xdr:col>11</xdr:col>
      <xdr:colOff>431801</xdr:colOff>
      <xdr:row>289</xdr:row>
      <xdr:rowOff>9525</xdr:rowOff>
    </xdr:to>
    <xdr:pic>
      <xdr:nvPicPr>
        <xdr:cNvPr id="1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5803900" y="53708300"/>
          <a:ext cx="1333500" cy="135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520700</xdr:colOff>
      <xdr:row>304</xdr:row>
      <xdr:rowOff>152400</xdr:rowOff>
    </xdr:from>
    <xdr:to>
      <xdr:col>11</xdr:col>
      <xdr:colOff>654844</xdr:colOff>
      <xdr:row>308</xdr:row>
      <xdr:rowOff>25400</xdr:rowOff>
    </xdr:to>
    <xdr:pic>
      <xdr:nvPicPr>
        <xdr:cNvPr id="1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6700" y="58064400"/>
          <a:ext cx="746126" cy="635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326</xdr:row>
      <xdr:rowOff>0</xdr:rowOff>
    </xdr:from>
    <xdr:to>
      <xdr:col>12</xdr:col>
      <xdr:colOff>38100</xdr:colOff>
      <xdr:row>333</xdr:row>
      <xdr:rowOff>152400</xdr:rowOff>
    </xdr:to>
    <xdr:pic>
      <xdr:nvPicPr>
        <xdr:cNvPr id="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2103000"/>
          <a:ext cx="1400176" cy="1485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292100</xdr:colOff>
      <xdr:row>350</xdr:row>
      <xdr:rowOff>203200</xdr:rowOff>
    </xdr:from>
    <xdr:to>
      <xdr:col>12</xdr:col>
      <xdr:colOff>390525</xdr:colOff>
      <xdr:row>355</xdr:row>
      <xdr:rowOff>165100</xdr:rowOff>
    </xdr:to>
    <xdr:pic>
      <xdr:nvPicPr>
        <xdr:cNvPr id="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8100" y="66868675"/>
          <a:ext cx="1460501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101599</xdr:colOff>
      <xdr:row>766</xdr:row>
      <xdr:rowOff>152400</xdr:rowOff>
    </xdr:from>
    <xdr:to>
      <xdr:col>12</xdr:col>
      <xdr:colOff>208877</xdr:colOff>
      <xdr:row>771</xdr:row>
      <xdr:rowOff>50800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7599" y="146075400"/>
          <a:ext cx="1469354" cy="850900"/>
        </a:xfrm>
        <a:prstGeom prst="rect">
          <a:avLst/>
        </a:prstGeom>
      </xdr:spPr>
    </xdr:pic>
    <xdr:clientData/>
  </xdr:twoCellAnchor>
  <xdr:twoCellAnchor editAs="oneCell">
    <xdr:from>
      <xdr:col>9</xdr:col>
      <xdr:colOff>787400</xdr:colOff>
      <xdr:row>790</xdr:row>
      <xdr:rowOff>38099</xdr:rowOff>
    </xdr:from>
    <xdr:to>
      <xdr:col>11</xdr:col>
      <xdr:colOff>469901</xdr:colOff>
      <xdr:row>794</xdr:row>
      <xdr:rowOff>35130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2825" y="150533099"/>
          <a:ext cx="1082675" cy="759031"/>
        </a:xfrm>
        <a:prstGeom prst="rect">
          <a:avLst/>
        </a:prstGeom>
      </xdr:spPr>
    </xdr:pic>
    <xdr:clientData/>
  </xdr:twoCellAnchor>
  <xdr:twoCellAnchor editAs="oneCell">
    <xdr:from>
      <xdr:col>9</xdr:col>
      <xdr:colOff>622300</xdr:colOff>
      <xdr:row>994</xdr:row>
      <xdr:rowOff>88900</xdr:rowOff>
    </xdr:from>
    <xdr:to>
      <xdr:col>11</xdr:col>
      <xdr:colOff>304801</xdr:colOff>
      <xdr:row>997</xdr:row>
      <xdr:rowOff>85931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9175" y="189445900"/>
          <a:ext cx="911225" cy="568531"/>
        </a:xfrm>
        <a:prstGeom prst="rect">
          <a:avLst/>
        </a:prstGeom>
      </xdr:spPr>
    </xdr:pic>
    <xdr:clientData/>
  </xdr:twoCellAnchor>
  <xdr:twoCellAnchor editAs="oneCell">
    <xdr:from>
      <xdr:col>10</xdr:col>
      <xdr:colOff>50800</xdr:colOff>
      <xdr:row>970</xdr:row>
      <xdr:rowOff>127000</xdr:rowOff>
    </xdr:from>
    <xdr:to>
      <xdr:col>12</xdr:col>
      <xdr:colOff>359103</xdr:colOff>
      <xdr:row>976</xdr:row>
      <xdr:rowOff>177800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6800" y="184912000"/>
          <a:ext cx="1670379" cy="1193800"/>
        </a:xfrm>
        <a:prstGeom prst="rect">
          <a:avLst/>
        </a:prstGeom>
      </xdr:spPr>
    </xdr:pic>
    <xdr:clientData/>
  </xdr:twoCellAnchor>
  <xdr:twoCellAnchor editAs="oneCell">
    <xdr:from>
      <xdr:col>9</xdr:col>
      <xdr:colOff>520700</xdr:colOff>
      <xdr:row>1342</xdr:row>
      <xdr:rowOff>36071</xdr:rowOff>
    </xdr:from>
    <xdr:to>
      <xdr:col>11</xdr:col>
      <xdr:colOff>606426</xdr:colOff>
      <xdr:row>1352</xdr:row>
      <xdr:rowOff>40938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7100" y="255687071"/>
          <a:ext cx="1304925" cy="1909867"/>
        </a:xfrm>
        <a:prstGeom prst="rect">
          <a:avLst/>
        </a:prstGeom>
      </xdr:spPr>
    </xdr:pic>
    <xdr:clientData/>
  </xdr:twoCellAnchor>
  <xdr:twoCellAnchor editAs="oneCell">
    <xdr:from>
      <xdr:col>10</xdr:col>
      <xdr:colOff>330200</xdr:colOff>
      <xdr:row>1369</xdr:row>
      <xdr:rowOff>12700</xdr:rowOff>
    </xdr:from>
    <xdr:to>
      <xdr:col>11</xdr:col>
      <xdr:colOff>648352</xdr:colOff>
      <xdr:row>1374</xdr:row>
      <xdr:rowOff>79176</xdr:rowOff>
    </xdr:to>
    <xdr:pic>
      <xdr:nvPicPr>
        <xdr:cNvPr id="21" name="Image 20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26200" y="260807200"/>
          <a:ext cx="930134" cy="1018976"/>
        </a:xfrm>
        <a:prstGeom prst="rect">
          <a:avLst/>
        </a:prstGeom>
      </xdr:spPr>
    </xdr:pic>
    <xdr:clientData/>
  </xdr:twoCellAnchor>
  <xdr:twoCellAnchor editAs="oneCell">
    <xdr:from>
      <xdr:col>10</xdr:col>
      <xdr:colOff>88900</xdr:colOff>
      <xdr:row>1392</xdr:row>
      <xdr:rowOff>114300</xdr:rowOff>
    </xdr:from>
    <xdr:to>
      <xdr:col>11</xdr:col>
      <xdr:colOff>730862</xdr:colOff>
      <xdr:row>1397</xdr:row>
      <xdr:rowOff>85538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84900" y="265290300"/>
          <a:ext cx="1253944" cy="923738"/>
        </a:xfrm>
        <a:prstGeom prst="rect">
          <a:avLst/>
        </a:prstGeom>
      </xdr:spPr>
    </xdr:pic>
    <xdr:clientData/>
  </xdr:twoCellAnchor>
  <xdr:twoCellAnchor editAs="oneCell">
    <xdr:from>
      <xdr:col>9</xdr:col>
      <xdr:colOff>546100</xdr:colOff>
      <xdr:row>1412</xdr:row>
      <xdr:rowOff>165100</xdr:rowOff>
    </xdr:from>
    <xdr:to>
      <xdr:col>11</xdr:col>
      <xdr:colOff>371306</xdr:colOff>
      <xdr:row>1417</xdr:row>
      <xdr:rowOff>155410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32500" y="269151100"/>
          <a:ext cx="1044405" cy="942810"/>
        </a:xfrm>
        <a:prstGeom prst="rect">
          <a:avLst/>
        </a:prstGeom>
      </xdr:spPr>
    </xdr:pic>
    <xdr:clientData/>
  </xdr:twoCellAnchor>
  <xdr:twoCellAnchor editAs="oneCell">
    <xdr:from>
      <xdr:col>9</xdr:col>
      <xdr:colOff>584200</xdr:colOff>
      <xdr:row>1432</xdr:row>
      <xdr:rowOff>165100</xdr:rowOff>
    </xdr:from>
    <xdr:to>
      <xdr:col>11</xdr:col>
      <xdr:colOff>266701</xdr:colOff>
      <xdr:row>1436</xdr:row>
      <xdr:rowOff>162131</xdr:rowOff>
    </xdr:to>
    <xdr:pic>
      <xdr:nvPicPr>
        <xdr:cNvPr id="24" name="Image 2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70600" y="272961100"/>
          <a:ext cx="901700" cy="759031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1452</xdr:row>
      <xdr:rowOff>152400</xdr:rowOff>
    </xdr:from>
    <xdr:to>
      <xdr:col>11</xdr:col>
      <xdr:colOff>177801</xdr:colOff>
      <xdr:row>1456</xdr:row>
      <xdr:rowOff>149431</xdr:rowOff>
    </xdr:to>
    <xdr:pic>
      <xdr:nvPicPr>
        <xdr:cNvPr id="25" name="Image 24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1700" y="276758400"/>
          <a:ext cx="901700" cy="759031"/>
        </a:xfrm>
        <a:prstGeom prst="rect">
          <a:avLst/>
        </a:prstGeom>
      </xdr:spPr>
    </xdr:pic>
    <xdr:clientData/>
  </xdr:twoCellAnchor>
  <xdr:twoCellAnchor editAs="oneCell">
    <xdr:from>
      <xdr:col>9</xdr:col>
      <xdr:colOff>673100</xdr:colOff>
      <xdr:row>374</xdr:row>
      <xdr:rowOff>12700</xdr:rowOff>
    </xdr:from>
    <xdr:to>
      <xdr:col>12</xdr:col>
      <xdr:colOff>521495</xdr:colOff>
      <xdr:row>380</xdr:row>
      <xdr:rowOff>368300</xdr:rowOff>
    </xdr:to>
    <xdr:pic>
      <xdr:nvPicPr>
        <xdr:cNvPr id="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2825" y="71259700"/>
          <a:ext cx="1889126" cy="131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317500</xdr:colOff>
      <xdr:row>439</xdr:row>
      <xdr:rowOff>177800</xdr:rowOff>
    </xdr:from>
    <xdr:to>
      <xdr:col>11</xdr:col>
      <xdr:colOff>431801</xdr:colOff>
      <xdr:row>447</xdr:row>
      <xdr:rowOff>9525</xdr:rowOff>
    </xdr:to>
    <xdr:pic>
      <xdr:nvPicPr>
        <xdr:cNvPr id="2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5803900" y="83807300"/>
          <a:ext cx="1333500" cy="135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317500</xdr:colOff>
      <xdr:row>460</xdr:row>
      <xdr:rowOff>177800</xdr:rowOff>
    </xdr:from>
    <xdr:to>
      <xdr:col>11</xdr:col>
      <xdr:colOff>431801</xdr:colOff>
      <xdr:row>468</xdr:row>
      <xdr:rowOff>9525</xdr:rowOff>
    </xdr:to>
    <xdr:pic>
      <xdr:nvPicPr>
        <xdr:cNvPr id="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5803900" y="87807800"/>
          <a:ext cx="1333500" cy="135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520700</xdr:colOff>
      <xdr:row>483</xdr:row>
      <xdr:rowOff>152400</xdr:rowOff>
    </xdr:from>
    <xdr:to>
      <xdr:col>11</xdr:col>
      <xdr:colOff>654844</xdr:colOff>
      <xdr:row>486</xdr:row>
      <xdr:rowOff>177800</xdr:rowOff>
    </xdr:to>
    <xdr:pic>
      <xdr:nvPicPr>
        <xdr:cNvPr id="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6700" y="92163900"/>
          <a:ext cx="746126" cy="596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444500</xdr:colOff>
      <xdr:row>399</xdr:row>
      <xdr:rowOff>50800</xdr:rowOff>
    </xdr:from>
    <xdr:to>
      <xdr:col>12</xdr:col>
      <xdr:colOff>565944</xdr:colOff>
      <xdr:row>403</xdr:row>
      <xdr:rowOff>212725</xdr:rowOff>
    </xdr:to>
    <xdr:pic>
      <xdr:nvPicPr>
        <xdr:cNvPr id="3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6540500" y="76060300"/>
          <a:ext cx="1485901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505</xdr:row>
      <xdr:rowOff>0</xdr:rowOff>
    </xdr:from>
    <xdr:to>
      <xdr:col>12</xdr:col>
      <xdr:colOff>190500</xdr:colOff>
      <xdr:row>511</xdr:row>
      <xdr:rowOff>180975</xdr:rowOff>
    </xdr:to>
    <xdr:pic>
      <xdr:nvPicPr>
        <xdr:cNvPr id="3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6096000" y="96202500"/>
          <a:ext cx="1552576" cy="1323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529</xdr:row>
      <xdr:rowOff>0</xdr:rowOff>
    </xdr:from>
    <xdr:to>
      <xdr:col>12</xdr:col>
      <xdr:colOff>304800</xdr:colOff>
      <xdr:row>536</xdr:row>
      <xdr:rowOff>38100</xdr:rowOff>
    </xdr:to>
    <xdr:pic>
      <xdr:nvPicPr>
        <xdr:cNvPr id="3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6096000" y="100774500"/>
          <a:ext cx="1666876" cy="1371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673100</xdr:colOff>
      <xdr:row>553</xdr:row>
      <xdr:rowOff>12700</xdr:rowOff>
    </xdr:from>
    <xdr:to>
      <xdr:col>12</xdr:col>
      <xdr:colOff>521495</xdr:colOff>
      <xdr:row>559</xdr:row>
      <xdr:rowOff>50800</xdr:rowOff>
    </xdr:to>
    <xdr:pic>
      <xdr:nvPicPr>
        <xdr:cNvPr id="3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2825" y="105359200"/>
          <a:ext cx="1889126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317500</xdr:colOff>
      <xdr:row>621</xdr:row>
      <xdr:rowOff>177800</xdr:rowOff>
    </xdr:from>
    <xdr:to>
      <xdr:col>11</xdr:col>
      <xdr:colOff>431801</xdr:colOff>
      <xdr:row>629</xdr:row>
      <xdr:rowOff>9525</xdr:rowOff>
    </xdr:to>
    <xdr:pic>
      <xdr:nvPicPr>
        <xdr:cNvPr id="3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5803900" y="118478300"/>
          <a:ext cx="1333500" cy="135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317500</xdr:colOff>
      <xdr:row>642</xdr:row>
      <xdr:rowOff>177800</xdr:rowOff>
    </xdr:from>
    <xdr:to>
      <xdr:col>11</xdr:col>
      <xdr:colOff>431801</xdr:colOff>
      <xdr:row>650</xdr:row>
      <xdr:rowOff>9525</xdr:rowOff>
    </xdr:to>
    <xdr:pic>
      <xdr:nvPicPr>
        <xdr:cNvPr id="3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5803900" y="122478800"/>
          <a:ext cx="1333500" cy="135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520700</xdr:colOff>
      <xdr:row>665</xdr:row>
      <xdr:rowOff>152400</xdr:rowOff>
    </xdr:from>
    <xdr:to>
      <xdr:col>11</xdr:col>
      <xdr:colOff>654844</xdr:colOff>
      <xdr:row>668</xdr:row>
      <xdr:rowOff>127000</xdr:rowOff>
    </xdr:to>
    <xdr:pic>
      <xdr:nvPicPr>
        <xdr:cNvPr id="3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6700" y="126834900"/>
          <a:ext cx="746126" cy="546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431800</xdr:colOff>
      <xdr:row>577</xdr:row>
      <xdr:rowOff>235140</xdr:rowOff>
    </xdr:from>
    <xdr:to>
      <xdr:col>12</xdr:col>
      <xdr:colOff>553245</xdr:colOff>
      <xdr:row>585</xdr:row>
      <xdr:rowOff>92075</xdr:rowOff>
    </xdr:to>
    <xdr:pic>
      <xdr:nvPicPr>
        <xdr:cNvPr id="3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5918200" y="110106015"/>
          <a:ext cx="2095501" cy="14285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687</xdr:row>
      <xdr:rowOff>0</xdr:rowOff>
    </xdr:from>
    <xdr:to>
      <xdr:col>12</xdr:col>
      <xdr:colOff>462994</xdr:colOff>
      <xdr:row>693</xdr:row>
      <xdr:rowOff>76200</xdr:rowOff>
    </xdr:to>
    <xdr:pic>
      <xdr:nvPicPr>
        <xdr:cNvPr id="3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6705600" y="130873500"/>
          <a:ext cx="1215470" cy="1219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711</xdr:row>
      <xdr:rowOff>0</xdr:rowOff>
    </xdr:from>
    <xdr:to>
      <xdr:col>12</xdr:col>
      <xdr:colOff>171450</xdr:colOff>
      <xdr:row>719</xdr:row>
      <xdr:rowOff>95250</xdr:rowOff>
    </xdr:to>
    <xdr:pic>
      <xdr:nvPicPr>
        <xdr:cNvPr id="3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6096000" y="135445500"/>
          <a:ext cx="1533526" cy="1619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749300</xdr:colOff>
      <xdr:row>1474</xdr:row>
      <xdr:rowOff>12700</xdr:rowOff>
    </xdr:from>
    <xdr:to>
      <xdr:col>12</xdr:col>
      <xdr:colOff>168050</xdr:colOff>
      <xdr:row>1481</xdr:row>
      <xdr:rowOff>155272</xdr:rowOff>
    </xdr:to>
    <xdr:pic>
      <xdr:nvPicPr>
        <xdr:cNvPr id="40" name="Image 39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6092825" y="280809700"/>
          <a:ext cx="1533300" cy="1476072"/>
        </a:xfrm>
        <a:prstGeom prst="rect">
          <a:avLst/>
        </a:prstGeom>
      </xdr:spPr>
    </xdr:pic>
    <xdr:clientData/>
  </xdr:twoCellAnchor>
  <xdr:twoCellAnchor editAs="oneCell">
    <xdr:from>
      <xdr:col>9</xdr:col>
      <xdr:colOff>698500</xdr:colOff>
      <xdr:row>1498</xdr:row>
      <xdr:rowOff>0</xdr:rowOff>
    </xdr:from>
    <xdr:to>
      <xdr:col>11</xdr:col>
      <xdr:colOff>609417</xdr:colOff>
      <xdr:row>1502</xdr:row>
      <xdr:rowOff>95072</xdr:rowOff>
    </xdr:to>
    <xdr:pic>
      <xdr:nvPicPr>
        <xdr:cNvPr id="41" name="Image 40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099175" y="285369000"/>
          <a:ext cx="1215841" cy="857072"/>
        </a:xfrm>
        <a:prstGeom prst="rect">
          <a:avLst/>
        </a:prstGeom>
      </xdr:spPr>
    </xdr:pic>
    <xdr:clientData/>
  </xdr:twoCellAnchor>
  <xdr:twoCellAnchor editAs="oneCell">
    <xdr:from>
      <xdr:col>9</xdr:col>
      <xdr:colOff>520700</xdr:colOff>
      <xdr:row>1519</xdr:row>
      <xdr:rowOff>76200</xdr:rowOff>
    </xdr:from>
    <xdr:to>
      <xdr:col>11</xdr:col>
      <xdr:colOff>345906</xdr:colOff>
      <xdr:row>1524</xdr:row>
      <xdr:rowOff>66510</xdr:rowOff>
    </xdr:to>
    <xdr:pic>
      <xdr:nvPicPr>
        <xdr:cNvPr id="42" name="Image 41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07100" y="289445700"/>
          <a:ext cx="1044405" cy="942810"/>
        </a:xfrm>
        <a:prstGeom prst="rect">
          <a:avLst/>
        </a:prstGeom>
      </xdr:spPr>
    </xdr:pic>
    <xdr:clientData/>
  </xdr:twoCellAnchor>
  <xdr:twoCellAnchor editAs="oneCell">
    <xdr:from>
      <xdr:col>9</xdr:col>
      <xdr:colOff>736600</xdr:colOff>
      <xdr:row>1539</xdr:row>
      <xdr:rowOff>38100</xdr:rowOff>
    </xdr:from>
    <xdr:to>
      <xdr:col>11</xdr:col>
      <xdr:colOff>419101</xdr:colOff>
      <xdr:row>1543</xdr:row>
      <xdr:rowOff>35131</xdr:rowOff>
    </xdr:to>
    <xdr:pic>
      <xdr:nvPicPr>
        <xdr:cNvPr id="43" name="Image 42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9175" y="293217600"/>
          <a:ext cx="1025525" cy="759031"/>
        </a:xfrm>
        <a:prstGeom prst="rect">
          <a:avLst/>
        </a:prstGeom>
      </xdr:spPr>
    </xdr:pic>
    <xdr:clientData/>
  </xdr:twoCellAnchor>
  <xdr:twoCellAnchor editAs="oneCell">
    <xdr:from>
      <xdr:col>9</xdr:col>
      <xdr:colOff>749300</xdr:colOff>
      <xdr:row>1559</xdr:row>
      <xdr:rowOff>38100</xdr:rowOff>
    </xdr:from>
    <xdr:to>
      <xdr:col>11</xdr:col>
      <xdr:colOff>431801</xdr:colOff>
      <xdr:row>1563</xdr:row>
      <xdr:rowOff>35131</xdr:rowOff>
    </xdr:to>
    <xdr:pic>
      <xdr:nvPicPr>
        <xdr:cNvPr id="44" name="Image 4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2825" y="297027600"/>
          <a:ext cx="1044575" cy="75903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873</xdr:row>
      <xdr:rowOff>0</xdr:rowOff>
    </xdr:from>
    <xdr:to>
      <xdr:col>12</xdr:col>
      <xdr:colOff>597387</xdr:colOff>
      <xdr:row>881</xdr:row>
      <xdr:rowOff>171214</xdr:rowOff>
    </xdr:to>
    <xdr:pic>
      <xdr:nvPicPr>
        <xdr:cNvPr id="45" name="Image 44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210300" y="166306500"/>
          <a:ext cx="1847544" cy="1695214"/>
        </a:xfrm>
        <a:prstGeom prst="rect">
          <a:avLst/>
        </a:prstGeom>
      </xdr:spPr>
    </xdr:pic>
    <xdr:clientData/>
  </xdr:twoCellAnchor>
  <xdr:twoCellAnchor editAs="oneCell">
    <xdr:from>
      <xdr:col>9</xdr:col>
      <xdr:colOff>802822</xdr:colOff>
      <xdr:row>1075</xdr:row>
      <xdr:rowOff>136071</xdr:rowOff>
    </xdr:from>
    <xdr:to>
      <xdr:col>12</xdr:col>
      <xdr:colOff>658595</xdr:colOff>
      <xdr:row>1086</xdr:row>
      <xdr:rowOff>88166</xdr:rowOff>
    </xdr:to>
    <xdr:pic>
      <xdr:nvPicPr>
        <xdr:cNvPr id="46" name="Image 45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6098722" y="204923571"/>
          <a:ext cx="2020329" cy="2047595"/>
        </a:xfrm>
        <a:prstGeom prst="rect">
          <a:avLst/>
        </a:prstGeom>
      </xdr:spPr>
    </xdr:pic>
    <xdr:clientData/>
  </xdr:twoCellAnchor>
  <xdr:twoCellAnchor editAs="oneCell">
    <xdr:from>
      <xdr:col>10</xdr:col>
      <xdr:colOff>326572</xdr:colOff>
      <xdr:row>811</xdr:row>
      <xdr:rowOff>13606</xdr:rowOff>
    </xdr:from>
    <xdr:to>
      <xdr:col>11</xdr:col>
      <xdr:colOff>609599</xdr:colOff>
      <xdr:row>816</xdr:row>
      <xdr:rowOff>26092</xdr:rowOff>
    </xdr:to>
    <xdr:pic>
      <xdr:nvPicPr>
        <xdr:cNvPr id="4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6422572" y="154509106"/>
          <a:ext cx="892627" cy="9649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734786</xdr:colOff>
      <xdr:row>895</xdr:row>
      <xdr:rowOff>95249</xdr:rowOff>
    </xdr:from>
    <xdr:to>
      <xdr:col>11</xdr:col>
      <xdr:colOff>585108</xdr:colOff>
      <xdr:row>901</xdr:row>
      <xdr:rowOff>91326</xdr:rowOff>
    </xdr:to>
    <xdr:pic>
      <xdr:nvPicPr>
        <xdr:cNvPr id="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6097361" y="170592749"/>
          <a:ext cx="1193346" cy="11390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</xdr:colOff>
      <xdr:row>915</xdr:row>
      <xdr:rowOff>95250</xdr:rowOff>
    </xdr:from>
    <xdr:to>
      <xdr:col>12</xdr:col>
      <xdr:colOff>468077</xdr:colOff>
      <xdr:row>920</xdr:row>
      <xdr:rowOff>151123</xdr:rowOff>
    </xdr:to>
    <xdr:pic>
      <xdr:nvPicPr>
        <xdr:cNvPr id="49" name="Image 48"/>
        <xdr:cNvPicPr>
          <a:picLocks noChangeAspect="1"/>
        </xdr:cNvPicPr>
      </xdr:nvPicPr>
      <xdr:blipFill>
        <a:blip xmlns:r="http://schemas.openxmlformats.org/officeDocument/2006/relationships" r:embed="rId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1" y="174402750"/>
          <a:ext cx="1832533" cy="1008373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285751</xdr:colOff>
      <xdr:row>1119</xdr:row>
      <xdr:rowOff>122464</xdr:rowOff>
    </xdr:from>
    <xdr:to>
      <xdr:col>11</xdr:col>
      <xdr:colOff>624560</xdr:colOff>
      <xdr:row>1124</xdr:row>
      <xdr:rowOff>30477</xdr:rowOff>
    </xdr:to>
    <xdr:pic>
      <xdr:nvPicPr>
        <xdr:cNvPr id="50" name="Image 49"/>
        <xdr:cNvPicPr>
          <a:picLocks noChangeAspect="1"/>
        </xdr:cNvPicPr>
      </xdr:nvPicPr>
      <xdr:blipFill>
        <a:blip xmlns:r="http://schemas.openxmlformats.org/officeDocument/2006/relationships" r:embed="rId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72151" y="213291964"/>
          <a:ext cx="1560390" cy="860513"/>
        </a:xfrm>
        <a:prstGeom prst="rect">
          <a:avLst/>
        </a:prstGeom>
      </xdr:spPr>
    </xdr:pic>
    <xdr:clientData/>
  </xdr:twoCellAnchor>
  <xdr:twoCellAnchor editAs="oneCell">
    <xdr:from>
      <xdr:col>9</xdr:col>
      <xdr:colOff>557895</xdr:colOff>
      <xdr:row>1143</xdr:row>
      <xdr:rowOff>54429</xdr:rowOff>
    </xdr:from>
    <xdr:to>
      <xdr:col>12</xdr:col>
      <xdr:colOff>346984</xdr:colOff>
      <xdr:row>1148</xdr:row>
      <xdr:rowOff>107598</xdr:rowOff>
    </xdr:to>
    <xdr:pic>
      <xdr:nvPicPr>
        <xdr:cNvPr id="51" name="Image 50"/>
        <xdr:cNvPicPr>
          <a:picLocks noChangeAspect="1"/>
        </xdr:cNvPicPr>
      </xdr:nvPicPr>
      <xdr:blipFill>
        <a:blip xmlns:r="http://schemas.openxmlformats.org/officeDocument/2006/relationships" r:embed="rId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44295" y="217795929"/>
          <a:ext cx="1760764" cy="1005669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680356</xdr:colOff>
      <xdr:row>1099</xdr:row>
      <xdr:rowOff>149679</xdr:rowOff>
    </xdr:from>
    <xdr:to>
      <xdr:col>11</xdr:col>
      <xdr:colOff>530678</xdr:colOff>
      <xdr:row>1105</xdr:row>
      <xdr:rowOff>145756</xdr:rowOff>
    </xdr:to>
    <xdr:pic>
      <xdr:nvPicPr>
        <xdr:cNvPr id="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6100081" y="209509179"/>
          <a:ext cx="1136196" cy="11390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653143</xdr:colOff>
      <xdr:row>1164</xdr:row>
      <xdr:rowOff>176893</xdr:rowOff>
    </xdr:from>
    <xdr:to>
      <xdr:col>11</xdr:col>
      <xdr:colOff>503465</xdr:colOff>
      <xdr:row>1170</xdr:row>
      <xdr:rowOff>172970</xdr:rowOff>
    </xdr:to>
    <xdr:pic>
      <xdr:nvPicPr>
        <xdr:cNvPr id="5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6091918" y="221918893"/>
          <a:ext cx="1117146" cy="11390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1186</xdr:row>
      <xdr:rowOff>0</xdr:rowOff>
    </xdr:from>
    <xdr:to>
      <xdr:col>12</xdr:col>
      <xdr:colOff>43863</xdr:colOff>
      <xdr:row>1192</xdr:row>
      <xdr:rowOff>108857</xdr:rowOff>
    </xdr:to>
    <xdr:pic>
      <xdr:nvPicPr>
        <xdr:cNvPr id="5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6096000" y="225933000"/>
          <a:ext cx="1405939" cy="125185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149679</xdr:colOff>
      <xdr:row>1014</xdr:row>
      <xdr:rowOff>95250</xdr:rowOff>
    </xdr:from>
    <xdr:to>
      <xdr:col>11</xdr:col>
      <xdr:colOff>528055</xdr:colOff>
      <xdr:row>1019</xdr:row>
      <xdr:rowOff>13608</xdr:rowOff>
    </xdr:to>
    <xdr:pic>
      <xdr:nvPicPr>
        <xdr:cNvPr id="5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6245679" y="193262250"/>
          <a:ext cx="987976" cy="87085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475887</xdr:colOff>
      <xdr:row>1222</xdr:row>
      <xdr:rowOff>68327</xdr:rowOff>
    </xdr:from>
    <xdr:to>
      <xdr:col>12</xdr:col>
      <xdr:colOff>468133</xdr:colOff>
      <xdr:row>1227</xdr:row>
      <xdr:rowOff>140027</xdr:rowOff>
    </xdr:to>
    <xdr:pic>
      <xdr:nvPicPr>
        <xdr:cNvPr id="56" name="Image 55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BEBA8EAE-BF5A-486C-A8C5-ECC9F3942E4B}">
              <a14:imgProps xmlns:a14="http://schemas.microsoft.com/office/drawing/2010/main">
                <a14:imgLayer r:embed="rId34">
                  <a14:imgEffect>
                    <a14:backgroundRemoval t="5574" b="98142" l="7385" r="97538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3366572">
          <a:off x="6433338" y="232388276"/>
          <a:ext cx="1024200" cy="1966302"/>
        </a:xfrm>
        <a:prstGeom prst="rect">
          <a:avLst/>
        </a:prstGeom>
      </xdr:spPr>
    </xdr:pic>
    <xdr:clientData/>
  </xdr:twoCellAnchor>
  <xdr:twoCellAnchor editAs="oneCell">
    <xdr:from>
      <xdr:col>9</xdr:col>
      <xdr:colOff>503464</xdr:colOff>
      <xdr:row>1241</xdr:row>
      <xdr:rowOff>95249</xdr:rowOff>
    </xdr:from>
    <xdr:to>
      <xdr:col>11</xdr:col>
      <xdr:colOff>204106</xdr:colOff>
      <xdr:row>1248</xdr:row>
      <xdr:rowOff>41659</xdr:rowOff>
    </xdr:to>
    <xdr:pic>
      <xdr:nvPicPr>
        <xdr:cNvPr id="57" name="Image 56"/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BEBA8EAE-BF5A-486C-A8C5-ECC9F3942E4B}">
              <a14:imgProps xmlns:a14="http://schemas.microsoft.com/office/drawing/2010/main">
                <a14:imgLayer r:embed="rId36">
                  <a14:imgEffect>
                    <a14:backgroundRemoval t="4217" b="97892" l="0" r="95294"/>
                  </a14:imgEffect>
                </a14:imgLayer>
              </a14:imgProps>
            </a:ext>
          </a:extLst>
        </a:blip>
        <a:srcRect t="9700" r="4637" b="2648"/>
        <a:stretch/>
      </xdr:blipFill>
      <xdr:spPr>
        <a:xfrm rot="2292124">
          <a:off x="5989864" y="236505749"/>
          <a:ext cx="919841" cy="1279910"/>
        </a:xfrm>
        <a:prstGeom prst="rect">
          <a:avLst/>
        </a:prstGeom>
      </xdr:spPr>
    </xdr:pic>
    <xdr:clientData/>
  </xdr:twoCellAnchor>
  <xdr:twoCellAnchor editAs="oneCell">
    <xdr:from>
      <xdr:col>9</xdr:col>
      <xdr:colOff>449036</xdr:colOff>
      <xdr:row>1281</xdr:row>
      <xdr:rowOff>155600</xdr:rowOff>
    </xdr:from>
    <xdr:to>
      <xdr:col>12</xdr:col>
      <xdr:colOff>129268</xdr:colOff>
      <xdr:row>1287</xdr:row>
      <xdr:rowOff>132116</xdr:rowOff>
    </xdr:to>
    <xdr:pic>
      <xdr:nvPicPr>
        <xdr:cNvPr id="58" name="Image 57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5436" y="244186100"/>
          <a:ext cx="1651907" cy="1119516"/>
        </a:xfrm>
        <a:prstGeom prst="rect">
          <a:avLst/>
        </a:prstGeom>
      </xdr:spPr>
    </xdr:pic>
    <xdr:clientData/>
  </xdr:twoCellAnchor>
  <xdr:twoCellAnchor editAs="oneCell">
    <xdr:from>
      <xdr:col>9</xdr:col>
      <xdr:colOff>517072</xdr:colOff>
      <xdr:row>1322</xdr:row>
      <xdr:rowOff>77040</xdr:rowOff>
    </xdr:from>
    <xdr:to>
      <xdr:col>11</xdr:col>
      <xdr:colOff>743291</xdr:colOff>
      <xdr:row>1326</xdr:row>
      <xdr:rowOff>93991</xdr:rowOff>
    </xdr:to>
    <xdr:pic>
      <xdr:nvPicPr>
        <xdr:cNvPr id="59" name="Image 58"/>
        <xdr:cNvPicPr>
          <a:picLocks noChangeAspect="1"/>
        </xdr:cNvPicPr>
      </xdr:nvPicPr>
      <xdr:blipFill>
        <a:blip xmlns:r="http://schemas.openxmlformats.org/officeDocument/2006/relationships" r:embed="rId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03472" y="251918040"/>
          <a:ext cx="1447800" cy="77895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145</xdr:row>
      <xdr:rowOff>0</xdr:rowOff>
    </xdr:from>
    <xdr:to>
      <xdr:col>11</xdr:col>
      <xdr:colOff>666750</xdr:colOff>
      <xdr:row>179</xdr:row>
      <xdr:rowOff>76200</xdr:rowOff>
    </xdr:to>
    <xdr:pic>
      <xdr:nvPicPr>
        <xdr:cNvPr id="2" name="Picture 2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622500"/>
          <a:ext cx="9048750" cy="6553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</xdr:row>
      <xdr:rowOff>28575</xdr:rowOff>
    </xdr:from>
    <xdr:to>
      <xdr:col>11</xdr:col>
      <xdr:colOff>666750</xdr:colOff>
      <xdr:row>35</xdr:row>
      <xdr:rowOff>85725</xdr:rowOff>
    </xdr:to>
    <xdr:pic>
      <xdr:nvPicPr>
        <xdr:cNvPr id="3" name="Picture 1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9075"/>
          <a:ext cx="9048750" cy="6534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11</xdr:col>
      <xdr:colOff>666750</xdr:colOff>
      <xdr:row>71</xdr:row>
      <xdr:rowOff>57150</xdr:rowOff>
    </xdr:to>
    <xdr:pic>
      <xdr:nvPicPr>
        <xdr:cNvPr id="4" name="Picture 2">
          <a:hlinkClick xmlns:r="http://schemas.openxmlformats.org/officeDocument/2006/relationships" r:id="rId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48500"/>
          <a:ext cx="9048750" cy="6534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24</xdr:col>
      <xdr:colOff>752475</xdr:colOff>
      <xdr:row>35</xdr:row>
      <xdr:rowOff>57150</xdr:rowOff>
    </xdr:to>
    <xdr:pic>
      <xdr:nvPicPr>
        <xdr:cNvPr id="5" name="Picture 3">
          <a:hlinkClick xmlns:r="http://schemas.openxmlformats.org/officeDocument/2006/relationships" r:id="rId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0" y="190500"/>
          <a:ext cx="9134475" cy="6534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37</xdr:row>
      <xdr:rowOff>0</xdr:rowOff>
    </xdr:from>
    <xdr:to>
      <xdr:col>24</xdr:col>
      <xdr:colOff>714375</xdr:colOff>
      <xdr:row>71</xdr:row>
      <xdr:rowOff>66675</xdr:rowOff>
    </xdr:to>
    <xdr:pic>
      <xdr:nvPicPr>
        <xdr:cNvPr id="6" name="Picture 4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0" y="7048500"/>
          <a:ext cx="9096375" cy="6543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11</xdr:col>
      <xdr:colOff>666750</xdr:colOff>
      <xdr:row>107</xdr:row>
      <xdr:rowOff>66675</xdr:rowOff>
    </xdr:to>
    <xdr:pic>
      <xdr:nvPicPr>
        <xdr:cNvPr id="7" name="Picture 1">
          <a:hlinkClick xmlns:r="http://schemas.openxmlformats.org/officeDocument/2006/relationships" r:id="rId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06500"/>
          <a:ext cx="9048750" cy="6543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73</xdr:row>
      <xdr:rowOff>0</xdr:rowOff>
    </xdr:from>
    <xdr:to>
      <xdr:col>24</xdr:col>
      <xdr:colOff>695325</xdr:colOff>
      <xdr:row>107</xdr:row>
      <xdr:rowOff>57150</xdr:rowOff>
    </xdr:to>
    <xdr:pic>
      <xdr:nvPicPr>
        <xdr:cNvPr id="8" name="Picture 2">
          <a:hlinkClick xmlns:r="http://schemas.openxmlformats.org/officeDocument/2006/relationships" r:id="rId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0" y="13906500"/>
          <a:ext cx="9077325" cy="6534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11</xdr:col>
      <xdr:colOff>638175</xdr:colOff>
      <xdr:row>143</xdr:row>
      <xdr:rowOff>28575</xdr:rowOff>
    </xdr:to>
    <xdr:pic>
      <xdr:nvPicPr>
        <xdr:cNvPr id="9" name="Picture 3">
          <a:hlinkClick xmlns:r="http://schemas.openxmlformats.org/officeDocument/2006/relationships" r:id="rId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9020175" cy="6505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255</xdr:row>
      <xdr:rowOff>50930</xdr:rowOff>
    </xdr:from>
    <xdr:to>
      <xdr:col>11</xdr:col>
      <xdr:colOff>606104</xdr:colOff>
      <xdr:row>289</xdr:row>
      <xdr:rowOff>40821</xdr:rowOff>
    </xdr:to>
    <xdr:pic>
      <xdr:nvPicPr>
        <xdr:cNvPr id="10" name="Image 9">
          <a:hlinkClick xmlns:r="http://schemas.openxmlformats.org/officeDocument/2006/relationships" r:id="rId17"/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28430"/>
          <a:ext cx="8988104" cy="64668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436</xdr:row>
      <xdr:rowOff>149677</xdr:rowOff>
    </xdr:from>
    <xdr:to>
      <xdr:col>11</xdr:col>
      <xdr:colOff>544286</xdr:colOff>
      <xdr:row>470</xdr:row>
      <xdr:rowOff>87572</xdr:rowOff>
    </xdr:to>
    <xdr:pic>
      <xdr:nvPicPr>
        <xdr:cNvPr id="11" name="Image 10">
          <a:hlinkClick xmlns:r="http://schemas.openxmlformats.org/officeDocument/2006/relationships" r:id="rId19"/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3207677"/>
          <a:ext cx="8926286" cy="6414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474</xdr:row>
      <xdr:rowOff>0</xdr:rowOff>
    </xdr:from>
    <xdr:to>
      <xdr:col>11</xdr:col>
      <xdr:colOff>22060</xdr:colOff>
      <xdr:row>505</xdr:row>
      <xdr:rowOff>161167</xdr:rowOff>
    </xdr:to>
    <xdr:pic>
      <xdr:nvPicPr>
        <xdr:cNvPr id="12" name="Image 11">
          <a:hlinkClick xmlns:r="http://schemas.openxmlformats.org/officeDocument/2006/relationships" r:id="rId21"/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0297000"/>
          <a:ext cx="8404060" cy="606666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474</xdr:row>
      <xdr:rowOff>0</xdr:rowOff>
    </xdr:from>
    <xdr:to>
      <xdr:col>19</xdr:col>
      <xdr:colOff>295917</xdr:colOff>
      <xdr:row>495</xdr:row>
      <xdr:rowOff>66167</xdr:rowOff>
    </xdr:to>
    <xdr:pic>
      <xdr:nvPicPr>
        <xdr:cNvPr id="13" name="Image 12">
          <a:hlinkClick xmlns:r="http://schemas.openxmlformats.org/officeDocument/2006/relationships" r:id="rId23"/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0" y="90297000"/>
          <a:ext cx="5629917" cy="4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508</xdr:row>
      <xdr:rowOff>0</xdr:rowOff>
    </xdr:from>
    <xdr:to>
      <xdr:col>7</xdr:col>
      <xdr:colOff>574822</xdr:colOff>
      <xdr:row>530</xdr:row>
      <xdr:rowOff>94715</xdr:rowOff>
    </xdr:to>
    <xdr:pic>
      <xdr:nvPicPr>
        <xdr:cNvPr id="14" name="Image 13">
          <a:hlinkClick xmlns:r="http://schemas.openxmlformats.org/officeDocument/2006/relationships" r:id="rId25"/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6774000"/>
          <a:ext cx="5908822" cy="428571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109</xdr:row>
      <xdr:rowOff>0</xdr:rowOff>
    </xdr:from>
    <xdr:to>
      <xdr:col>24</xdr:col>
      <xdr:colOff>742950</xdr:colOff>
      <xdr:row>143</xdr:row>
      <xdr:rowOff>85725</xdr:rowOff>
    </xdr:to>
    <xdr:pic>
      <xdr:nvPicPr>
        <xdr:cNvPr id="15" name="Picture 1">
          <a:hlinkClick xmlns:r="http://schemas.openxmlformats.org/officeDocument/2006/relationships" r:id="rId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9906000" y="20764500"/>
          <a:ext cx="9124950" cy="6562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145</xdr:row>
      <xdr:rowOff>0</xdr:rowOff>
    </xdr:from>
    <xdr:to>
      <xdr:col>24</xdr:col>
      <xdr:colOff>695325</xdr:colOff>
      <xdr:row>179</xdr:row>
      <xdr:rowOff>19050</xdr:rowOff>
    </xdr:to>
    <xdr:pic>
      <xdr:nvPicPr>
        <xdr:cNvPr id="16" name="Picture 3">
          <a:hlinkClick xmlns:r="http://schemas.openxmlformats.org/officeDocument/2006/relationships" r:id="rId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9906000" y="27622500"/>
          <a:ext cx="9077325" cy="6496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182</xdr:row>
      <xdr:rowOff>54428</xdr:rowOff>
    </xdr:from>
    <xdr:to>
      <xdr:col>11</xdr:col>
      <xdr:colOff>661307</xdr:colOff>
      <xdr:row>216</xdr:row>
      <xdr:rowOff>111578</xdr:rowOff>
    </xdr:to>
    <xdr:pic>
      <xdr:nvPicPr>
        <xdr:cNvPr id="17" name="Picture 4">
          <a:hlinkClick xmlns:r="http://schemas.openxmlformats.org/officeDocument/2006/relationships" r:id="rId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0" y="34725428"/>
          <a:ext cx="9043307" cy="6534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183</xdr:row>
      <xdr:rowOff>0</xdr:rowOff>
    </xdr:from>
    <xdr:to>
      <xdr:col>24</xdr:col>
      <xdr:colOff>733425</xdr:colOff>
      <xdr:row>217</xdr:row>
      <xdr:rowOff>9525</xdr:rowOff>
    </xdr:to>
    <xdr:pic>
      <xdr:nvPicPr>
        <xdr:cNvPr id="18" name="Picture 5">
          <a:hlinkClick xmlns:r="http://schemas.openxmlformats.org/officeDocument/2006/relationships" r:id="rId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9906000" y="34861500"/>
          <a:ext cx="9115425" cy="6486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13607</xdr:colOff>
      <xdr:row>219</xdr:row>
      <xdr:rowOff>68035</xdr:rowOff>
    </xdr:from>
    <xdr:to>
      <xdr:col>11</xdr:col>
      <xdr:colOff>670832</xdr:colOff>
      <xdr:row>253</xdr:row>
      <xdr:rowOff>106135</xdr:rowOff>
    </xdr:to>
    <xdr:pic>
      <xdr:nvPicPr>
        <xdr:cNvPr id="19" name="Picture 6">
          <a:hlinkClick xmlns:r="http://schemas.openxmlformats.org/officeDocument/2006/relationships" r:id="rId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13607" y="41787535"/>
          <a:ext cx="9039225" cy="6515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190500</xdr:colOff>
      <xdr:row>533</xdr:row>
      <xdr:rowOff>136071</xdr:rowOff>
    </xdr:from>
    <xdr:to>
      <xdr:col>7</xdr:col>
      <xdr:colOff>460560</xdr:colOff>
      <xdr:row>555</xdr:row>
      <xdr:rowOff>30786</xdr:rowOff>
    </xdr:to>
    <xdr:pic>
      <xdr:nvPicPr>
        <xdr:cNvPr id="20" name="Image 19">
          <a:hlinkClick xmlns:r="http://schemas.openxmlformats.org/officeDocument/2006/relationships" r:id="rId37"/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190500" y="101672571"/>
          <a:ext cx="5604060" cy="4085715"/>
        </a:xfrm>
        <a:prstGeom prst="rect">
          <a:avLst/>
        </a:prstGeom>
      </xdr:spPr>
    </xdr:pic>
    <xdr:clientData/>
  </xdr:twoCellAnchor>
  <xdr:twoCellAnchor editAs="oneCell">
    <xdr:from>
      <xdr:col>8</xdr:col>
      <xdr:colOff>122465</xdr:colOff>
      <xdr:row>533</xdr:row>
      <xdr:rowOff>95250</xdr:rowOff>
    </xdr:from>
    <xdr:to>
      <xdr:col>16</xdr:col>
      <xdr:colOff>18287</xdr:colOff>
      <xdr:row>556</xdr:row>
      <xdr:rowOff>8988</xdr:rowOff>
    </xdr:to>
    <xdr:pic>
      <xdr:nvPicPr>
        <xdr:cNvPr id="21" name="Image 20">
          <a:hlinkClick xmlns:r="http://schemas.openxmlformats.org/officeDocument/2006/relationships" r:id="rId39"/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6218465" y="101631750"/>
          <a:ext cx="5991822" cy="4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108858</xdr:colOff>
      <xdr:row>292</xdr:row>
      <xdr:rowOff>108857</xdr:rowOff>
    </xdr:from>
    <xdr:to>
      <xdr:col>11</xdr:col>
      <xdr:colOff>272426</xdr:colOff>
      <xdr:row>324</xdr:row>
      <xdr:rowOff>132857</xdr:rowOff>
    </xdr:to>
    <xdr:pic>
      <xdr:nvPicPr>
        <xdr:cNvPr id="22" name="Image 21">
          <a:hlinkClick xmlns:r="http://schemas.openxmlformats.org/officeDocument/2006/relationships" r:id="rId41"/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08858" y="55734857"/>
          <a:ext cx="8545568" cy="612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293</xdr:row>
      <xdr:rowOff>0</xdr:rowOff>
    </xdr:from>
    <xdr:to>
      <xdr:col>23</xdr:col>
      <xdr:colOff>191008</xdr:colOff>
      <xdr:row>325</xdr:row>
      <xdr:rowOff>24000</xdr:rowOff>
    </xdr:to>
    <xdr:pic>
      <xdr:nvPicPr>
        <xdr:cNvPr id="23" name="Image 22">
          <a:hlinkClick xmlns:r="http://schemas.openxmlformats.org/officeDocument/2006/relationships" r:id="rId43"/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9144000" y="55816500"/>
          <a:ext cx="8573008" cy="612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363</xdr:row>
      <xdr:rowOff>0</xdr:rowOff>
    </xdr:from>
    <xdr:to>
      <xdr:col>11</xdr:col>
      <xdr:colOff>109961</xdr:colOff>
      <xdr:row>395</xdr:row>
      <xdr:rowOff>24000</xdr:rowOff>
    </xdr:to>
    <xdr:pic>
      <xdr:nvPicPr>
        <xdr:cNvPr id="24" name="Image 23">
          <a:hlinkClick xmlns:r="http://schemas.openxmlformats.org/officeDocument/2006/relationships" r:id="rId45"/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69151500"/>
          <a:ext cx="8491961" cy="612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363</xdr:row>
      <xdr:rowOff>0</xdr:rowOff>
    </xdr:from>
    <xdr:to>
      <xdr:col>23</xdr:col>
      <xdr:colOff>172165</xdr:colOff>
      <xdr:row>395</xdr:row>
      <xdr:rowOff>24000</xdr:rowOff>
    </xdr:to>
    <xdr:pic>
      <xdr:nvPicPr>
        <xdr:cNvPr id="25" name="Image 24">
          <a:hlinkClick xmlns:r="http://schemas.openxmlformats.org/officeDocument/2006/relationships" r:id="rId47"/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9144001" y="69151500"/>
          <a:ext cx="8554164" cy="612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399</xdr:row>
      <xdr:rowOff>0</xdr:rowOff>
    </xdr:from>
    <xdr:to>
      <xdr:col>23</xdr:col>
      <xdr:colOff>352597</xdr:colOff>
      <xdr:row>431</xdr:row>
      <xdr:rowOff>155864</xdr:rowOff>
    </xdr:to>
    <xdr:pic>
      <xdr:nvPicPr>
        <xdr:cNvPr id="26" name="Image 25">
          <a:hlinkClick xmlns:r="http://schemas.openxmlformats.org/officeDocument/2006/relationships" r:id="rId49"/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0" y="76009500"/>
          <a:ext cx="8734597" cy="625186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437</xdr:row>
      <xdr:rowOff>0</xdr:rowOff>
    </xdr:from>
    <xdr:to>
      <xdr:col>23</xdr:col>
      <xdr:colOff>704850</xdr:colOff>
      <xdr:row>471</xdr:row>
      <xdr:rowOff>47625</xdr:rowOff>
    </xdr:to>
    <xdr:pic>
      <xdr:nvPicPr>
        <xdr:cNvPr id="27" name="Picture 1">
          <a:hlinkClick xmlns:r="http://schemas.openxmlformats.org/officeDocument/2006/relationships" r:id="rId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9144000" y="83248500"/>
          <a:ext cx="9086850" cy="6524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203200</xdr:colOff>
      <xdr:row>54</xdr:row>
      <xdr:rowOff>141482</xdr:rowOff>
    </xdr:from>
    <xdr:to>
      <xdr:col>13</xdr:col>
      <xdr:colOff>457200</xdr:colOff>
      <xdr:row>63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299200" y="10428482"/>
          <a:ext cx="2082800" cy="163969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94</xdr:row>
      <xdr:rowOff>0</xdr:rowOff>
    </xdr:from>
    <xdr:to>
      <xdr:col>13</xdr:col>
      <xdr:colOff>12700</xdr:colOff>
      <xdr:row>101</xdr:row>
      <xdr:rowOff>352425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0" y="17907000"/>
          <a:ext cx="18415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12701</xdr:colOff>
      <xdr:row>118</xdr:row>
      <xdr:rowOff>90628</xdr:rowOff>
    </xdr:from>
    <xdr:to>
      <xdr:col>13</xdr:col>
      <xdr:colOff>482601</xdr:colOff>
      <xdr:row>127</xdr:row>
      <xdr:rowOff>9525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108701" y="22569628"/>
          <a:ext cx="2298700" cy="16333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701674</xdr:colOff>
      <xdr:row>158</xdr:row>
      <xdr:rowOff>0</xdr:rowOff>
    </xdr:from>
    <xdr:to>
      <xdr:col>13</xdr:col>
      <xdr:colOff>3175</xdr:colOff>
      <xdr:row>165</xdr:row>
      <xdr:rowOff>292100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2824" y="30099000"/>
          <a:ext cx="1828801" cy="1520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405493</xdr:colOff>
      <xdr:row>3</xdr:row>
      <xdr:rowOff>173968</xdr:rowOff>
    </xdr:from>
    <xdr:to>
      <xdr:col>14</xdr:col>
      <xdr:colOff>252600</xdr:colOff>
      <xdr:row>43</xdr:row>
      <xdr:rowOff>86356</xdr:rowOff>
    </xdr:to>
    <xdr:pic>
      <xdr:nvPicPr>
        <xdr:cNvPr id="2" name="Picture1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05493" y="745468"/>
          <a:ext cx="10515107" cy="75323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701648</xdr:colOff>
      <xdr:row>3</xdr:row>
      <xdr:rowOff>150047</xdr:rowOff>
    </xdr:from>
    <xdr:to>
      <xdr:col>28</xdr:col>
      <xdr:colOff>568765</xdr:colOff>
      <xdr:row>43</xdr:row>
      <xdr:rowOff>86356</xdr:rowOff>
    </xdr:to>
    <xdr:pic>
      <xdr:nvPicPr>
        <xdr:cNvPr id="3" name="Picture2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1369648" y="721547"/>
          <a:ext cx="10535117" cy="75563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405493</xdr:colOff>
      <xdr:row>46</xdr:row>
      <xdr:rowOff>127325</xdr:rowOff>
    </xdr:from>
    <xdr:to>
      <xdr:col>14</xdr:col>
      <xdr:colOff>252600</xdr:colOff>
      <xdr:row>86</xdr:row>
      <xdr:rowOff>65750</xdr:rowOff>
    </xdr:to>
    <xdr:pic>
      <xdr:nvPicPr>
        <xdr:cNvPr id="4" name="Picture3">
          <a:hlinkClick xmlns:r="http://schemas.openxmlformats.org/officeDocument/2006/relationships" r:id="rId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405493" y="8890325"/>
          <a:ext cx="10515107" cy="7558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701648</xdr:colOff>
      <xdr:row>46</xdr:row>
      <xdr:rowOff>125989</xdr:rowOff>
    </xdr:from>
    <xdr:to>
      <xdr:col>28</xdr:col>
      <xdr:colOff>568765</xdr:colOff>
      <xdr:row>86</xdr:row>
      <xdr:rowOff>65750</xdr:rowOff>
    </xdr:to>
    <xdr:pic>
      <xdr:nvPicPr>
        <xdr:cNvPr id="5" name="Picture4">
          <a:hlinkClick xmlns:r="http://schemas.openxmlformats.org/officeDocument/2006/relationships" r:id="rId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1369648" y="8888989"/>
          <a:ext cx="10535117" cy="755976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718344</xdr:colOff>
      <xdr:row>197</xdr:row>
      <xdr:rowOff>83343</xdr:rowOff>
    </xdr:from>
    <xdr:to>
      <xdr:col>11</xdr:col>
      <xdr:colOff>3829</xdr:colOff>
      <xdr:row>204</xdr:row>
      <xdr:rowOff>14687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9969" y="37611843"/>
          <a:ext cx="609461" cy="1264844"/>
        </a:xfrm>
        <a:prstGeom prst="rect">
          <a:avLst/>
        </a:prstGeom>
      </xdr:spPr>
    </xdr:pic>
    <xdr:clientData/>
  </xdr:twoCellAnchor>
  <xdr:twoCellAnchor editAs="oneCell">
    <xdr:from>
      <xdr:col>9</xdr:col>
      <xdr:colOff>697232</xdr:colOff>
      <xdr:row>259</xdr:row>
      <xdr:rowOff>144004</xdr:rowOff>
    </xdr:from>
    <xdr:to>
      <xdr:col>11</xdr:col>
      <xdr:colOff>362903</xdr:colOff>
      <xdr:row>267</xdr:row>
      <xdr:rowOff>54105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7907" y="49483504"/>
          <a:ext cx="970597" cy="1434101"/>
        </a:xfrm>
        <a:prstGeom prst="rect">
          <a:avLst/>
        </a:prstGeom>
      </xdr:spPr>
    </xdr:pic>
    <xdr:clientData/>
  </xdr:twoCellAnchor>
  <xdr:twoCellAnchor editAs="oneCell">
    <xdr:from>
      <xdr:col>9</xdr:col>
      <xdr:colOff>550862</xdr:colOff>
      <xdr:row>11</xdr:row>
      <xdr:rowOff>67627</xdr:rowOff>
    </xdr:from>
    <xdr:to>
      <xdr:col>11</xdr:col>
      <xdr:colOff>246798</xdr:colOff>
      <xdr:row>18</xdr:row>
      <xdr:rowOff>95249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37262" y="2163127"/>
          <a:ext cx="915137" cy="1361122"/>
        </a:xfrm>
        <a:prstGeom prst="rect">
          <a:avLst/>
        </a:prstGeom>
      </xdr:spPr>
    </xdr:pic>
    <xdr:clientData/>
  </xdr:twoCellAnchor>
  <xdr:twoCellAnchor editAs="oneCell">
    <xdr:from>
      <xdr:col>9</xdr:col>
      <xdr:colOff>878683</xdr:colOff>
      <xdr:row>32</xdr:row>
      <xdr:rowOff>71436</xdr:rowOff>
    </xdr:from>
    <xdr:to>
      <xdr:col>11</xdr:col>
      <xdr:colOff>288693</xdr:colOff>
      <xdr:row>38</xdr:row>
      <xdr:rowOff>33413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8383" y="6167436"/>
          <a:ext cx="895911" cy="1104977"/>
        </a:xfrm>
        <a:prstGeom prst="rect">
          <a:avLst/>
        </a:prstGeom>
      </xdr:spPr>
    </xdr:pic>
    <xdr:clientData/>
  </xdr:twoCellAnchor>
  <xdr:twoCellAnchor editAs="oneCell">
    <xdr:from>
      <xdr:col>10</xdr:col>
      <xdr:colOff>53816</xdr:colOff>
      <xdr:row>136</xdr:row>
      <xdr:rowOff>75000</xdr:rowOff>
    </xdr:from>
    <xdr:to>
      <xdr:col>11</xdr:col>
      <xdr:colOff>369093</xdr:colOff>
      <xdr:row>142</xdr:row>
      <xdr:rowOff>22899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49816" y="25983000"/>
          <a:ext cx="924877" cy="1090899"/>
        </a:xfrm>
        <a:prstGeom prst="rect">
          <a:avLst/>
        </a:prstGeom>
      </xdr:spPr>
    </xdr:pic>
    <xdr:clientData/>
  </xdr:twoCellAnchor>
  <xdr:twoCellAnchor editAs="oneCell">
    <xdr:from>
      <xdr:col>10</xdr:col>
      <xdr:colOff>11905</xdr:colOff>
      <xdr:row>155</xdr:row>
      <xdr:rowOff>119062</xdr:rowOff>
    </xdr:from>
    <xdr:to>
      <xdr:col>11</xdr:col>
      <xdr:colOff>405930</xdr:colOff>
      <xdr:row>161</xdr:row>
      <xdr:rowOff>82466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07905" y="29646562"/>
          <a:ext cx="1003625" cy="1106404"/>
        </a:xfrm>
        <a:prstGeom prst="rect">
          <a:avLst/>
        </a:prstGeom>
      </xdr:spPr>
    </xdr:pic>
    <xdr:clientData/>
  </xdr:twoCellAnchor>
  <xdr:twoCellAnchor editAs="oneCell">
    <xdr:from>
      <xdr:col>9</xdr:col>
      <xdr:colOff>784115</xdr:colOff>
      <xdr:row>93</xdr:row>
      <xdr:rowOff>178595</xdr:rowOff>
    </xdr:from>
    <xdr:to>
      <xdr:col>11</xdr:col>
      <xdr:colOff>481219</xdr:colOff>
      <xdr:row>100</xdr:row>
      <xdr:rowOff>42811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9065" y="17895095"/>
          <a:ext cx="1087755" cy="1197716"/>
        </a:xfrm>
        <a:prstGeom prst="rect">
          <a:avLst/>
        </a:prstGeom>
      </xdr:spPr>
    </xdr:pic>
    <xdr:clientData/>
  </xdr:twoCellAnchor>
  <xdr:twoCellAnchor editAs="oneCell">
    <xdr:from>
      <xdr:col>9</xdr:col>
      <xdr:colOff>622527</xdr:colOff>
      <xdr:row>116</xdr:row>
      <xdr:rowOff>71438</xdr:rowOff>
    </xdr:from>
    <xdr:to>
      <xdr:col>12</xdr:col>
      <xdr:colOff>4762</xdr:colOff>
      <xdr:row>120</xdr:row>
      <xdr:rowOff>164578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9402" y="22169438"/>
          <a:ext cx="1220560" cy="855140"/>
        </a:xfrm>
        <a:prstGeom prst="rect">
          <a:avLst/>
        </a:prstGeom>
      </xdr:spPr>
    </xdr:pic>
    <xdr:clientData/>
  </xdr:twoCellAnchor>
  <xdr:oneCellAnchor>
    <xdr:from>
      <xdr:col>9</xdr:col>
      <xdr:colOff>693965</xdr:colOff>
      <xdr:row>240</xdr:row>
      <xdr:rowOff>11907</xdr:rowOff>
    </xdr:from>
    <xdr:ext cx="1771106" cy="1188243"/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4640" y="45731907"/>
          <a:ext cx="1771106" cy="1188243"/>
        </a:xfrm>
        <a:prstGeom prst="rect">
          <a:avLst/>
        </a:prstGeom>
      </xdr:spPr>
    </xdr:pic>
    <xdr:clientData/>
  </xdr:oneCellAnchor>
  <xdr:twoCellAnchor editAs="oneCell">
    <xdr:from>
      <xdr:col>9</xdr:col>
      <xdr:colOff>734448</xdr:colOff>
      <xdr:row>218</xdr:row>
      <xdr:rowOff>35718</xdr:rowOff>
    </xdr:from>
    <xdr:to>
      <xdr:col>11</xdr:col>
      <xdr:colOff>185802</xdr:colOff>
      <xdr:row>223</xdr:row>
      <xdr:rowOff>95197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7023" y="41564718"/>
          <a:ext cx="794380" cy="1011979"/>
        </a:xfrm>
        <a:prstGeom prst="rect">
          <a:avLst/>
        </a:prstGeom>
      </xdr:spPr>
    </xdr:pic>
    <xdr:clientData/>
  </xdr:twoCellAnchor>
  <xdr:twoCellAnchor editAs="oneCell">
    <xdr:from>
      <xdr:col>8</xdr:col>
      <xdr:colOff>1061018</xdr:colOff>
      <xdr:row>176</xdr:row>
      <xdr:rowOff>47625</xdr:rowOff>
    </xdr:from>
    <xdr:to>
      <xdr:col>10</xdr:col>
      <xdr:colOff>247764</xdr:colOff>
      <xdr:row>183</xdr:row>
      <xdr:rowOff>58300</xdr:rowOff>
    </xdr:to>
    <xdr:pic>
      <xdr:nvPicPr>
        <xdr:cNvPr id="12" name="Image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90143" y="33575625"/>
          <a:ext cx="853621" cy="1344175"/>
        </a:xfrm>
        <a:prstGeom prst="rect">
          <a:avLst/>
        </a:prstGeom>
      </xdr:spPr>
    </xdr:pic>
    <xdr:clientData/>
  </xdr:twoCellAnchor>
  <xdr:twoCellAnchor editAs="oneCell">
    <xdr:from>
      <xdr:col>9</xdr:col>
      <xdr:colOff>415361</xdr:colOff>
      <xdr:row>72</xdr:row>
      <xdr:rowOff>181642</xdr:rowOff>
    </xdr:from>
    <xdr:to>
      <xdr:col>11</xdr:col>
      <xdr:colOff>23811</xdr:colOff>
      <xdr:row>79</xdr:row>
      <xdr:rowOff>121026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01761" y="13897642"/>
          <a:ext cx="827651" cy="1272884"/>
        </a:xfrm>
        <a:prstGeom prst="rect">
          <a:avLst/>
        </a:prstGeom>
      </xdr:spPr>
    </xdr:pic>
    <xdr:clientData/>
  </xdr:twoCellAnchor>
  <xdr:twoCellAnchor editAs="oneCell">
    <xdr:from>
      <xdr:col>9</xdr:col>
      <xdr:colOff>64973</xdr:colOff>
      <xdr:row>52</xdr:row>
      <xdr:rowOff>57532</xdr:rowOff>
    </xdr:from>
    <xdr:to>
      <xdr:col>10</xdr:col>
      <xdr:colOff>607216</xdr:colOff>
      <xdr:row>58</xdr:row>
      <xdr:rowOff>107059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51373" y="9963532"/>
          <a:ext cx="1151844" cy="1192527"/>
        </a:xfrm>
        <a:prstGeom prst="rect">
          <a:avLst/>
        </a:prstGeom>
      </xdr:spPr>
    </xdr:pic>
    <xdr:clientData/>
  </xdr:twoCellAnchor>
  <xdr:twoCellAnchor editAs="oneCell">
    <xdr:from>
      <xdr:col>9</xdr:col>
      <xdr:colOff>802823</xdr:colOff>
      <xdr:row>281</xdr:row>
      <xdr:rowOff>139244</xdr:rowOff>
    </xdr:from>
    <xdr:to>
      <xdr:col>11</xdr:col>
      <xdr:colOff>523874</xdr:colOff>
      <xdr:row>288</xdr:row>
      <xdr:rowOff>8683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8723" y="53669744"/>
          <a:ext cx="1130752" cy="1202939"/>
        </a:xfrm>
        <a:prstGeom prst="rect">
          <a:avLst/>
        </a:prstGeom>
      </xdr:spPr>
    </xdr:pic>
    <xdr:clientData/>
  </xdr:twoCellAnchor>
  <xdr:twoCellAnchor editAs="oneCell">
    <xdr:from>
      <xdr:col>10</xdr:col>
      <xdr:colOff>63614</xdr:colOff>
      <xdr:row>352</xdr:row>
      <xdr:rowOff>72115</xdr:rowOff>
    </xdr:from>
    <xdr:to>
      <xdr:col>11</xdr:col>
      <xdr:colOff>550749</xdr:colOff>
      <xdr:row>358</xdr:row>
      <xdr:rowOff>185048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59614" y="67128115"/>
          <a:ext cx="1096735" cy="12559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38099</xdr:colOff>
      <xdr:row>313</xdr:row>
      <xdr:rowOff>12700</xdr:rowOff>
    </xdr:from>
    <xdr:to>
      <xdr:col>13</xdr:col>
      <xdr:colOff>615476</xdr:colOff>
      <xdr:row>326</xdr:row>
      <xdr:rowOff>127000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34099" y="59639200"/>
          <a:ext cx="2401945" cy="2590800"/>
        </a:xfrm>
        <a:prstGeom prst="rect">
          <a:avLst/>
        </a:prstGeom>
      </xdr:spPr>
    </xdr:pic>
    <xdr:clientData/>
  </xdr:twoCellAnchor>
  <xdr:twoCellAnchor editAs="oneCell">
    <xdr:from>
      <xdr:col>10</xdr:col>
      <xdr:colOff>355600</xdr:colOff>
      <xdr:row>608</xdr:row>
      <xdr:rowOff>88900</xdr:rowOff>
    </xdr:from>
    <xdr:to>
      <xdr:col>13</xdr:col>
      <xdr:colOff>34647</xdr:colOff>
      <xdr:row>614</xdr:row>
      <xdr:rowOff>22067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51600" y="115912900"/>
          <a:ext cx="1507848" cy="10761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584201</xdr:colOff>
      <xdr:row>41</xdr:row>
      <xdr:rowOff>89108</xdr:rowOff>
    </xdr:from>
    <xdr:to>
      <xdr:col>13</xdr:col>
      <xdr:colOff>520700</xdr:colOff>
      <xdr:row>55</xdr:row>
      <xdr:rowOff>76199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070601" y="7899608"/>
          <a:ext cx="2374900" cy="26540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254000</xdr:colOff>
      <xdr:row>11</xdr:row>
      <xdr:rowOff>177800</xdr:rowOff>
    </xdr:from>
    <xdr:to>
      <xdr:col>10</xdr:col>
      <xdr:colOff>536241</xdr:colOff>
      <xdr:row>25</xdr:row>
      <xdr:rowOff>53657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30800" y="2273300"/>
          <a:ext cx="1501442" cy="25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825500</xdr:colOff>
      <xdr:row>70</xdr:row>
      <xdr:rowOff>138906</xdr:rowOff>
    </xdr:from>
    <xdr:to>
      <xdr:col>13</xdr:col>
      <xdr:colOff>596899</xdr:colOff>
      <xdr:row>80</xdr:row>
      <xdr:rowOff>123825</xdr:rowOff>
    </xdr:to>
    <xdr:pic>
      <xdr:nvPicPr>
        <xdr:cNvPr id="4" name="Image 1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092825" y="13473906"/>
          <a:ext cx="2428875" cy="18899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596900</xdr:colOff>
      <xdr:row>96</xdr:row>
      <xdr:rowOff>148504</xdr:rowOff>
    </xdr:from>
    <xdr:to>
      <xdr:col>13</xdr:col>
      <xdr:colOff>634999</xdr:colOff>
      <xdr:row>105</xdr:row>
      <xdr:rowOff>107949</xdr:rowOff>
    </xdr:to>
    <xdr:pic>
      <xdr:nvPicPr>
        <xdr:cNvPr id="5" name="Image 1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083300" y="18436504"/>
          <a:ext cx="2447925" cy="16739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914401</xdr:colOff>
      <xdr:row>120</xdr:row>
      <xdr:rowOff>164656</xdr:rowOff>
    </xdr:from>
    <xdr:to>
      <xdr:col>13</xdr:col>
      <xdr:colOff>698500</xdr:colOff>
      <xdr:row>131</xdr:row>
      <xdr:rowOff>117009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1" y="23024656"/>
          <a:ext cx="2441575" cy="2047853"/>
        </a:xfrm>
        <a:prstGeom prst="rect">
          <a:avLst/>
        </a:prstGeom>
      </xdr:spPr>
    </xdr:pic>
    <xdr:clientData/>
  </xdr:twoCellAnchor>
  <xdr:twoCellAnchor editAs="oneCell">
    <xdr:from>
      <xdr:col>10</xdr:col>
      <xdr:colOff>186892</xdr:colOff>
      <xdr:row>157</xdr:row>
      <xdr:rowOff>76200</xdr:rowOff>
    </xdr:from>
    <xdr:to>
      <xdr:col>14</xdr:col>
      <xdr:colOff>38099</xdr:colOff>
      <xdr:row>164</xdr:row>
      <xdr:rowOff>3175</xdr:rowOff>
    </xdr:to>
    <xdr:pic>
      <xdr:nvPicPr>
        <xdr:cNvPr id="7" name="Image 1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282892" y="29984700"/>
          <a:ext cx="2289607" cy="1260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355600</xdr:colOff>
      <xdr:row>178</xdr:row>
      <xdr:rowOff>105467</xdr:rowOff>
    </xdr:from>
    <xdr:to>
      <xdr:col>11</xdr:col>
      <xdr:colOff>720724</xdr:colOff>
      <xdr:row>187</xdr:row>
      <xdr:rowOff>41071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42000" y="34014467"/>
          <a:ext cx="1470025" cy="1650104"/>
        </a:xfrm>
        <a:prstGeom prst="rect">
          <a:avLst/>
        </a:prstGeom>
      </xdr:spPr>
    </xdr:pic>
    <xdr:clientData/>
  </xdr:twoCellAnchor>
  <xdr:twoCellAnchor editAs="oneCell">
    <xdr:from>
      <xdr:col>10</xdr:col>
      <xdr:colOff>469901</xdr:colOff>
      <xdr:row>201</xdr:row>
      <xdr:rowOff>169455</xdr:rowOff>
    </xdr:from>
    <xdr:to>
      <xdr:col>13</xdr:col>
      <xdr:colOff>0</xdr:colOff>
      <xdr:row>208</xdr:row>
      <xdr:rowOff>69581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65901" y="38459955"/>
          <a:ext cx="1358899" cy="12336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546100</xdr:colOff>
      <xdr:row>222</xdr:row>
      <xdr:rowOff>86617</xdr:rowOff>
    </xdr:from>
    <xdr:to>
      <xdr:col>13</xdr:col>
      <xdr:colOff>3175</xdr:colOff>
      <xdr:row>235</xdr:row>
      <xdr:rowOff>132904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42100" y="42377617"/>
          <a:ext cx="1285875" cy="2522787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251</xdr:row>
      <xdr:rowOff>189226</xdr:rowOff>
    </xdr:from>
    <xdr:to>
      <xdr:col>13</xdr:col>
      <xdr:colOff>381000</xdr:colOff>
      <xdr:row>263</xdr:row>
      <xdr:rowOff>53529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3500" y="48004726"/>
          <a:ext cx="1892300" cy="2150303"/>
        </a:xfrm>
        <a:prstGeom prst="rect">
          <a:avLst/>
        </a:prstGeom>
      </xdr:spPr>
    </xdr:pic>
    <xdr:clientData/>
  </xdr:twoCellAnchor>
  <xdr:twoCellAnchor editAs="oneCell">
    <xdr:from>
      <xdr:col>9</xdr:col>
      <xdr:colOff>812800</xdr:colOff>
      <xdr:row>278</xdr:row>
      <xdr:rowOff>88900</xdr:rowOff>
    </xdr:from>
    <xdr:to>
      <xdr:col>13</xdr:col>
      <xdr:colOff>266699</xdr:colOff>
      <xdr:row>288</xdr:row>
      <xdr:rowOff>97984</xdr:rowOff>
    </xdr:to>
    <xdr:pic>
      <xdr:nvPicPr>
        <xdr:cNvPr id="12" name="Image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9175" y="53047900"/>
          <a:ext cx="2092325" cy="1914084"/>
        </a:xfrm>
        <a:prstGeom prst="rect">
          <a:avLst/>
        </a:prstGeom>
      </xdr:spPr>
    </xdr:pic>
    <xdr:clientData/>
  </xdr:twoCellAnchor>
  <xdr:twoCellAnchor editAs="oneCell">
    <xdr:from>
      <xdr:col>9</xdr:col>
      <xdr:colOff>584200</xdr:colOff>
      <xdr:row>304</xdr:row>
      <xdr:rowOff>177800</xdr:rowOff>
    </xdr:from>
    <xdr:to>
      <xdr:col>11</xdr:col>
      <xdr:colOff>723899</xdr:colOff>
      <xdr:row>314</xdr:row>
      <xdr:rowOff>41662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70600" y="58089800"/>
          <a:ext cx="1244600" cy="1768862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328</xdr:row>
      <xdr:rowOff>177800</xdr:rowOff>
    </xdr:from>
    <xdr:to>
      <xdr:col>13</xdr:col>
      <xdr:colOff>2991</xdr:colOff>
      <xdr:row>339</xdr:row>
      <xdr:rowOff>63253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43700" y="62661800"/>
          <a:ext cx="1184091" cy="1980953"/>
        </a:xfrm>
        <a:prstGeom prst="rect">
          <a:avLst/>
        </a:prstGeom>
      </xdr:spPr>
    </xdr:pic>
    <xdr:clientData/>
  </xdr:twoCellAnchor>
  <xdr:twoCellAnchor editAs="oneCell">
    <xdr:from>
      <xdr:col>9</xdr:col>
      <xdr:colOff>584200</xdr:colOff>
      <xdr:row>393</xdr:row>
      <xdr:rowOff>63500</xdr:rowOff>
    </xdr:from>
    <xdr:to>
      <xdr:col>13</xdr:col>
      <xdr:colOff>586937</xdr:colOff>
      <xdr:row>403</xdr:row>
      <xdr:rowOff>187043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70600" y="74930000"/>
          <a:ext cx="2441138" cy="2028543"/>
        </a:xfrm>
        <a:prstGeom prst="rect">
          <a:avLst/>
        </a:prstGeom>
      </xdr:spPr>
    </xdr:pic>
    <xdr:clientData/>
  </xdr:twoCellAnchor>
  <xdr:twoCellAnchor editAs="oneCell">
    <xdr:from>
      <xdr:col>11</xdr:col>
      <xdr:colOff>393700</xdr:colOff>
      <xdr:row>430</xdr:row>
      <xdr:rowOff>266700</xdr:rowOff>
    </xdr:from>
    <xdr:to>
      <xdr:col>13</xdr:col>
      <xdr:colOff>101600</xdr:colOff>
      <xdr:row>443</xdr:row>
      <xdr:rowOff>174284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099300" y="82105500"/>
          <a:ext cx="927100" cy="2460284"/>
        </a:xfrm>
        <a:prstGeom prst="rect">
          <a:avLst/>
        </a:prstGeom>
      </xdr:spPr>
    </xdr:pic>
    <xdr:clientData/>
  </xdr:twoCellAnchor>
  <xdr:twoCellAnchor editAs="oneCell">
    <xdr:from>
      <xdr:col>10</xdr:col>
      <xdr:colOff>635000</xdr:colOff>
      <xdr:row>463</xdr:row>
      <xdr:rowOff>139700</xdr:rowOff>
    </xdr:from>
    <xdr:to>
      <xdr:col>13</xdr:col>
      <xdr:colOff>2962</xdr:colOff>
      <xdr:row>469</xdr:row>
      <xdr:rowOff>187105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02425" y="88341200"/>
          <a:ext cx="1225337" cy="1190405"/>
        </a:xfrm>
        <a:prstGeom prst="rect">
          <a:avLst/>
        </a:prstGeom>
      </xdr:spPr>
    </xdr:pic>
    <xdr:clientData/>
  </xdr:twoCellAnchor>
  <xdr:twoCellAnchor editAs="oneCell">
    <xdr:from>
      <xdr:col>9</xdr:col>
      <xdr:colOff>241300</xdr:colOff>
      <xdr:row>484</xdr:row>
      <xdr:rowOff>63500</xdr:rowOff>
    </xdr:from>
    <xdr:to>
      <xdr:col>11</xdr:col>
      <xdr:colOff>682562</xdr:colOff>
      <xdr:row>492</xdr:row>
      <xdr:rowOff>121863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27700" y="92265500"/>
          <a:ext cx="1584263" cy="1582363"/>
        </a:xfrm>
        <a:prstGeom prst="rect">
          <a:avLst/>
        </a:prstGeom>
      </xdr:spPr>
    </xdr:pic>
    <xdr:clientData/>
  </xdr:twoCellAnchor>
  <xdr:twoCellAnchor editAs="oneCell">
    <xdr:from>
      <xdr:col>11</xdr:col>
      <xdr:colOff>165100</xdr:colOff>
      <xdr:row>509</xdr:row>
      <xdr:rowOff>114300</xdr:rowOff>
    </xdr:from>
    <xdr:to>
      <xdr:col>12</xdr:col>
      <xdr:colOff>558648</xdr:colOff>
      <xdr:row>514</xdr:row>
      <xdr:rowOff>76062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70700" y="97078800"/>
          <a:ext cx="1003148" cy="914262"/>
        </a:xfrm>
        <a:prstGeom prst="rect">
          <a:avLst/>
        </a:prstGeom>
      </xdr:spPr>
    </xdr:pic>
    <xdr:clientData/>
  </xdr:twoCellAnchor>
  <xdr:twoCellAnchor editAs="oneCell">
    <xdr:from>
      <xdr:col>9</xdr:col>
      <xdr:colOff>787400</xdr:colOff>
      <xdr:row>530</xdr:row>
      <xdr:rowOff>50800</xdr:rowOff>
    </xdr:from>
    <xdr:to>
      <xdr:col>11</xdr:col>
      <xdr:colOff>669732</xdr:colOff>
      <xdr:row>535</xdr:row>
      <xdr:rowOff>107800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2825" y="101015800"/>
          <a:ext cx="1225358" cy="1009500"/>
        </a:xfrm>
        <a:prstGeom prst="rect">
          <a:avLst/>
        </a:prstGeom>
      </xdr:spPr>
    </xdr:pic>
    <xdr:clientData/>
  </xdr:twoCellAnchor>
  <xdr:twoCellAnchor editAs="oneCell">
    <xdr:from>
      <xdr:col>9</xdr:col>
      <xdr:colOff>558800</xdr:colOff>
      <xdr:row>583</xdr:row>
      <xdr:rowOff>0</xdr:rowOff>
    </xdr:from>
    <xdr:to>
      <xdr:col>11</xdr:col>
      <xdr:colOff>441132</xdr:colOff>
      <xdr:row>588</xdr:row>
      <xdr:rowOff>57000</xdr:rowOff>
    </xdr:to>
    <xdr:pic>
      <xdr:nvPicPr>
        <xdr:cNvPr id="21" name="Image 2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45200" y="111061500"/>
          <a:ext cx="1101533" cy="1009500"/>
        </a:xfrm>
        <a:prstGeom prst="rect">
          <a:avLst/>
        </a:prstGeom>
      </xdr:spPr>
    </xdr:pic>
    <xdr:clientData/>
  </xdr:twoCellAnchor>
  <xdr:twoCellAnchor editAs="oneCell">
    <xdr:from>
      <xdr:col>9</xdr:col>
      <xdr:colOff>520700</xdr:colOff>
      <xdr:row>555</xdr:row>
      <xdr:rowOff>190500</xdr:rowOff>
    </xdr:from>
    <xdr:to>
      <xdr:col>13</xdr:col>
      <xdr:colOff>644171</xdr:colOff>
      <xdr:row>561</xdr:row>
      <xdr:rowOff>63500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07100" y="105918000"/>
          <a:ext cx="2523772" cy="1016000"/>
        </a:xfrm>
        <a:prstGeom prst="rect">
          <a:avLst/>
        </a:prstGeom>
      </xdr:spPr>
    </xdr:pic>
    <xdr:clientData/>
  </xdr:twoCellAnchor>
  <xdr:twoCellAnchor editAs="oneCell">
    <xdr:from>
      <xdr:col>9</xdr:col>
      <xdr:colOff>722207</xdr:colOff>
      <xdr:row>605</xdr:row>
      <xdr:rowOff>165100</xdr:rowOff>
    </xdr:from>
    <xdr:to>
      <xdr:col>12</xdr:col>
      <xdr:colOff>107949</xdr:colOff>
      <xdr:row>610</xdr:row>
      <xdr:rowOff>76200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4307" y="115417600"/>
          <a:ext cx="1328843" cy="863600"/>
        </a:xfrm>
        <a:prstGeom prst="rect">
          <a:avLst/>
        </a:prstGeom>
      </xdr:spPr>
    </xdr:pic>
    <xdr:clientData/>
  </xdr:twoCellAnchor>
  <xdr:twoCellAnchor editAs="oneCell">
    <xdr:from>
      <xdr:col>9</xdr:col>
      <xdr:colOff>635000</xdr:colOff>
      <xdr:row>625</xdr:row>
      <xdr:rowOff>152400</xdr:rowOff>
    </xdr:from>
    <xdr:to>
      <xdr:col>11</xdr:col>
      <xdr:colOff>613995</xdr:colOff>
      <xdr:row>631</xdr:row>
      <xdr:rowOff>152856</xdr:rowOff>
    </xdr:to>
    <xdr:pic>
      <xdr:nvPicPr>
        <xdr:cNvPr id="24" name="Image 23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2825" y="119214900"/>
          <a:ext cx="1226771" cy="1143456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646</xdr:row>
      <xdr:rowOff>63500</xdr:rowOff>
    </xdr:from>
    <xdr:to>
      <xdr:col>11</xdr:col>
      <xdr:colOff>603056</xdr:colOff>
      <xdr:row>653</xdr:row>
      <xdr:rowOff>72833</xdr:rowOff>
    </xdr:to>
    <xdr:pic>
      <xdr:nvPicPr>
        <xdr:cNvPr id="25" name="Image 2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2825" y="123126500"/>
          <a:ext cx="1215832" cy="1342833"/>
        </a:xfrm>
        <a:prstGeom prst="rect">
          <a:avLst/>
        </a:prstGeom>
      </xdr:spPr>
    </xdr:pic>
    <xdr:clientData/>
  </xdr:twoCellAnchor>
  <xdr:twoCellAnchor editAs="oneCell">
    <xdr:from>
      <xdr:col>9</xdr:col>
      <xdr:colOff>622300</xdr:colOff>
      <xdr:row>667</xdr:row>
      <xdr:rowOff>114300</xdr:rowOff>
    </xdr:from>
    <xdr:to>
      <xdr:col>11</xdr:col>
      <xdr:colOff>533399</xdr:colOff>
      <xdr:row>673</xdr:row>
      <xdr:rowOff>189968</xdr:rowOff>
    </xdr:to>
    <xdr:pic>
      <xdr:nvPicPr>
        <xdr:cNvPr id="26" name="Image 2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9175" y="127177800"/>
          <a:ext cx="1139825" cy="1218668"/>
        </a:xfrm>
        <a:prstGeom prst="rect">
          <a:avLst/>
        </a:prstGeom>
      </xdr:spPr>
    </xdr:pic>
    <xdr:clientData/>
  </xdr:twoCellAnchor>
  <xdr:twoCellAnchor editAs="oneCell">
    <xdr:from>
      <xdr:col>9</xdr:col>
      <xdr:colOff>749301</xdr:colOff>
      <xdr:row>687</xdr:row>
      <xdr:rowOff>12700</xdr:rowOff>
    </xdr:from>
    <xdr:to>
      <xdr:col>11</xdr:col>
      <xdr:colOff>469900</xdr:colOff>
      <xdr:row>693</xdr:row>
      <xdr:rowOff>183111</xdr:rowOff>
    </xdr:to>
    <xdr:pic>
      <xdr:nvPicPr>
        <xdr:cNvPr id="27" name="Image 26"/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2826" y="130886200"/>
          <a:ext cx="1082675" cy="1313411"/>
        </a:xfrm>
        <a:prstGeom prst="rect">
          <a:avLst/>
        </a:prstGeom>
      </xdr:spPr>
    </xdr:pic>
    <xdr:clientData/>
  </xdr:twoCellAnchor>
  <xdr:twoCellAnchor editAs="oneCell">
    <xdr:from>
      <xdr:col>9</xdr:col>
      <xdr:colOff>482600</xdr:colOff>
      <xdr:row>707</xdr:row>
      <xdr:rowOff>165100</xdr:rowOff>
    </xdr:from>
    <xdr:to>
      <xdr:col>11</xdr:col>
      <xdr:colOff>763269</xdr:colOff>
      <xdr:row>712</xdr:row>
      <xdr:rowOff>165100</xdr:rowOff>
    </xdr:to>
    <xdr:pic>
      <xdr:nvPicPr>
        <xdr:cNvPr id="28" name="Image 27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69000" y="134848600"/>
          <a:ext cx="1347470" cy="952500"/>
        </a:xfrm>
        <a:prstGeom prst="rect">
          <a:avLst/>
        </a:prstGeom>
      </xdr:spPr>
    </xdr:pic>
    <xdr:clientData/>
  </xdr:twoCellAnchor>
  <xdr:twoCellAnchor editAs="oneCell">
    <xdr:from>
      <xdr:col>9</xdr:col>
      <xdr:colOff>431800</xdr:colOff>
      <xdr:row>726</xdr:row>
      <xdr:rowOff>101600</xdr:rowOff>
    </xdr:from>
    <xdr:to>
      <xdr:col>11</xdr:col>
      <xdr:colOff>488274</xdr:colOff>
      <xdr:row>732</xdr:row>
      <xdr:rowOff>88900</xdr:rowOff>
    </xdr:to>
    <xdr:pic>
      <xdr:nvPicPr>
        <xdr:cNvPr id="29" name="Image 28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18200" y="138404600"/>
          <a:ext cx="1275675" cy="1130300"/>
        </a:xfrm>
        <a:prstGeom prst="rect">
          <a:avLst/>
        </a:prstGeom>
      </xdr:spPr>
    </xdr:pic>
    <xdr:clientData/>
  </xdr:twoCellAnchor>
  <xdr:twoCellAnchor editAs="oneCell">
    <xdr:from>
      <xdr:col>9</xdr:col>
      <xdr:colOff>660400</xdr:colOff>
      <xdr:row>745</xdr:row>
      <xdr:rowOff>165100</xdr:rowOff>
    </xdr:from>
    <xdr:to>
      <xdr:col>11</xdr:col>
      <xdr:colOff>323685</xdr:colOff>
      <xdr:row>751</xdr:row>
      <xdr:rowOff>126862</xdr:rowOff>
    </xdr:to>
    <xdr:pic>
      <xdr:nvPicPr>
        <xdr:cNvPr id="30" name="Image 29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9175" y="142087600"/>
          <a:ext cx="930111" cy="11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596900</xdr:colOff>
      <xdr:row>766</xdr:row>
      <xdr:rowOff>50800</xdr:rowOff>
    </xdr:from>
    <xdr:to>
      <xdr:col>12</xdr:col>
      <xdr:colOff>260485</xdr:colOff>
      <xdr:row>771</xdr:row>
      <xdr:rowOff>50800</xdr:rowOff>
    </xdr:to>
    <xdr:pic>
      <xdr:nvPicPr>
        <xdr:cNvPr id="31" name="Image 30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83300" y="145973800"/>
          <a:ext cx="1492386" cy="952500"/>
        </a:xfrm>
        <a:prstGeom prst="rect">
          <a:avLst/>
        </a:prstGeom>
      </xdr:spPr>
    </xdr:pic>
    <xdr:clientData/>
  </xdr:twoCellAnchor>
  <xdr:twoCellAnchor editAs="oneCell">
    <xdr:from>
      <xdr:col>9</xdr:col>
      <xdr:colOff>685800</xdr:colOff>
      <xdr:row>1003</xdr:row>
      <xdr:rowOff>177800</xdr:rowOff>
    </xdr:from>
    <xdr:to>
      <xdr:col>11</xdr:col>
      <xdr:colOff>263371</xdr:colOff>
      <xdr:row>1010</xdr:row>
      <xdr:rowOff>53800</xdr:rowOff>
    </xdr:to>
    <xdr:pic>
      <xdr:nvPicPr>
        <xdr:cNvPr id="32" name="Image 31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0" y="191249300"/>
          <a:ext cx="872972" cy="1209500"/>
        </a:xfrm>
        <a:prstGeom prst="rect">
          <a:avLst/>
        </a:prstGeom>
      </xdr:spPr>
    </xdr:pic>
    <xdr:clientData/>
  </xdr:twoCellAnchor>
  <xdr:twoCellAnchor editAs="oneCell">
    <xdr:from>
      <xdr:col>10</xdr:col>
      <xdr:colOff>482600</xdr:colOff>
      <xdr:row>1126</xdr:row>
      <xdr:rowOff>190500</xdr:rowOff>
    </xdr:from>
    <xdr:to>
      <xdr:col>12</xdr:col>
      <xdr:colOff>520700</xdr:colOff>
      <xdr:row>1133</xdr:row>
      <xdr:rowOff>371182</xdr:rowOff>
    </xdr:to>
    <xdr:pic>
      <xdr:nvPicPr>
        <xdr:cNvPr id="33" name="Image 32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78600" y="214693500"/>
          <a:ext cx="1257300" cy="1333207"/>
        </a:xfrm>
        <a:prstGeom prst="rect">
          <a:avLst/>
        </a:prstGeom>
      </xdr:spPr>
    </xdr:pic>
    <xdr:clientData/>
  </xdr:twoCellAnchor>
  <xdr:twoCellAnchor editAs="oneCell">
    <xdr:from>
      <xdr:col>9</xdr:col>
      <xdr:colOff>685800</xdr:colOff>
      <xdr:row>1154</xdr:row>
      <xdr:rowOff>76200</xdr:rowOff>
    </xdr:from>
    <xdr:to>
      <xdr:col>11</xdr:col>
      <xdr:colOff>491942</xdr:colOff>
      <xdr:row>1160</xdr:row>
      <xdr:rowOff>180795</xdr:rowOff>
    </xdr:to>
    <xdr:pic>
      <xdr:nvPicPr>
        <xdr:cNvPr id="34" name="Image 33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0" y="219913200"/>
          <a:ext cx="1101543" cy="1247595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1175</xdr:row>
      <xdr:rowOff>152400</xdr:rowOff>
    </xdr:from>
    <xdr:to>
      <xdr:col>11</xdr:col>
      <xdr:colOff>320490</xdr:colOff>
      <xdr:row>1183</xdr:row>
      <xdr:rowOff>28376</xdr:rowOff>
    </xdr:to>
    <xdr:pic>
      <xdr:nvPicPr>
        <xdr:cNvPr id="35" name="Image 3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81700" y="223989900"/>
          <a:ext cx="1044391" cy="1399976"/>
        </a:xfrm>
        <a:prstGeom prst="rect">
          <a:avLst/>
        </a:prstGeom>
      </xdr:spPr>
    </xdr:pic>
    <xdr:clientData/>
  </xdr:twoCellAnchor>
  <xdr:twoCellAnchor editAs="oneCell">
    <xdr:from>
      <xdr:col>9</xdr:col>
      <xdr:colOff>723900</xdr:colOff>
      <xdr:row>1199</xdr:row>
      <xdr:rowOff>114300</xdr:rowOff>
    </xdr:from>
    <xdr:to>
      <xdr:col>11</xdr:col>
      <xdr:colOff>393699</xdr:colOff>
      <xdr:row>1205</xdr:row>
      <xdr:rowOff>113943</xdr:rowOff>
    </xdr:to>
    <xdr:pic>
      <xdr:nvPicPr>
        <xdr:cNvPr id="36" name="Image 35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0" y="228523800"/>
          <a:ext cx="1003300" cy="1142643"/>
        </a:xfrm>
        <a:prstGeom prst="rect">
          <a:avLst/>
        </a:prstGeom>
      </xdr:spPr>
    </xdr:pic>
    <xdr:clientData/>
  </xdr:twoCellAnchor>
  <xdr:twoCellAnchor editAs="oneCell">
    <xdr:from>
      <xdr:col>9</xdr:col>
      <xdr:colOff>723900</xdr:colOff>
      <xdr:row>1244</xdr:row>
      <xdr:rowOff>203200</xdr:rowOff>
    </xdr:from>
    <xdr:to>
      <xdr:col>11</xdr:col>
      <xdr:colOff>596709</xdr:colOff>
      <xdr:row>1250</xdr:row>
      <xdr:rowOff>164938</xdr:rowOff>
    </xdr:to>
    <xdr:pic>
      <xdr:nvPicPr>
        <xdr:cNvPr id="37" name="Image 36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0" y="237175675"/>
          <a:ext cx="1206310" cy="1114263"/>
        </a:xfrm>
        <a:prstGeom prst="rect">
          <a:avLst/>
        </a:prstGeom>
      </xdr:spPr>
    </xdr:pic>
    <xdr:clientData/>
  </xdr:twoCellAnchor>
  <xdr:twoCellAnchor editAs="oneCell">
    <xdr:from>
      <xdr:col>9</xdr:col>
      <xdr:colOff>469900</xdr:colOff>
      <xdr:row>1289</xdr:row>
      <xdr:rowOff>114300</xdr:rowOff>
    </xdr:from>
    <xdr:to>
      <xdr:col>11</xdr:col>
      <xdr:colOff>428423</xdr:colOff>
      <xdr:row>1294</xdr:row>
      <xdr:rowOff>161776</xdr:rowOff>
    </xdr:to>
    <xdr:pic>
      <xdr:nvPicPr>
        <xdr:cNvPr id="38" name="Image 37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56300" y="245668800"/>
          <a:ext cx="1177724" cy="999976"/>
        </a:xfrm>
        <a:prstGeom prst="rect">
          <a:avLst/>
        </a:prstGeom>
      </xdr:spPr>
    </xdr:pic>
    <xdr:clientData/>
  </xdr:twoCellAnchor>
  <xdr:twoCellAnchor editAs="oneCell">
    <xdr:from>
      <xdr:col>9</xdr:col>
      <xdr:colOff>698500</xdr:colOff>
      <xdr:row>1310</xdr:row>
      <xdr:rowOff>101600</xdr:rowOff>
    </xdr:from>
    <xdr:to>
      <xdr:col>12</xdr:col>
      <xdr:colOff>266699</xdr:colOff>
      <xdr:row>1315</xdr:row>
      <xdr:rowOff>103631</xdr:rowOff>
    </xdr:to>
    <xdr:pic>
      <xdr:nvPicPr>
        <xdr:cNvPr id="39" name="Image 38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9175" y="249656600"/>
          <a:ext cx="1482725" cy="954531"/>
        </a:xfrm>
        <a:prstGeom prst="rect">
          <a:avLst/>
        </a:prstGeom>
      </xdr:spPr>
    </xdr:pic>
    <xdr:clientData/>
  </xdr:twoCellAnchor>
  <xdr:twoCellAnchor editAs="oneCell">
    <xdr:from>
      <xdr:col>9</xdr:col>
      <xdr:colOff>635000</xdr:colOff>
      <xdr:row>1331</xdr:row>
      <xdr:rowOff>76200</xdr:rowOff>
    </xdr:from>
    <xdr:to>
      <xdr:col>12</xdr:col>
      <xdr:colOff>76199</xdr:colOff>
      <xdr:row>1336</xdr:row>
      <xdr:rowOff>118445</xdr:rowOff>
    </xdr:to>
    <xdr:pic>
      <xdr:nvPicPr>
        <xdr:cNvPr id="40" name="Image 39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2825" y="253631700"/>
          <a:ext cx="1298575" cy="994745"/>
        </a:xfrm>
        <a:prstGeom prst="rect">
          <a:avLst/>
        </a:prstGeom>
      </xdr:spPr>
    </xdr:pic>
    <xdr:clientData/>
  </xdr:twoCellAnchor>
  <xdr:twoCellAnchor editAs="oneCell">
    <xdr:from>
      <xdr:col>11</xdr:col>
      <xdr:colOff>12700</xdr:colOff>
      <xdr:row>1355</xdr:row>
      <xdr:rowOff>127000</xdr:rowOff>
    </xdr:from>
    <xdr:to>
      <xdr:col>12</xdr:col>
      <xdr:colOff>606200</xdr:colOff>
      <xdr:row>1363</xdr:row>
      <xdr:rowOff>155381</xdr:rowOff>
    </xdr:to>
    <xdr:pic>
      <xdr:nvPicPr>
        <xdr:cNvPr id="41" name="Image 40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18300" y="258254500"/>
          <a:ext cx="1203100" cy="1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698500</xdr:colOff>
      <xdr:row>1268</xdr:row>
      <xdr:rowOff>114300</xdr:rowOff>
    </xdr:from>
    <xdr:to>
      <xdr:col>13</xdr:col>
      <xdr:colOff>495002</xdr:colOff>
      <xdr:row>1273</xdr:row>
      <xdr:rowOff>76200</xdr:rowOff>
    </xdr:to>
    <xdr:pic>
      <xdr:nvPicPr>
        <xdr:cNvPr id="42" name="Image 41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9175" y="241668300"/>
          <a:ext cx="2320628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63500</xdr:colOff>
      <xdr:row>1394</xdr:row>
      <xdr:rowOff>203200</xdr:rowOff>
    </xdr:from>
    <xdr:to>
      <xdr:col>13</xdr:col>
      <xdr:colOff>418601</xdr:colOff>
      <xdr:row>1400</xdr:row>
      <xdr:rowOff>12700</xdr:rowOff>
    </xdr:to>
    <xdr:pic>
      <xdr:nvPicPr>
        <xdr:cNvPr id="43" name="Image 42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59500" y="265750675"/>
          <a:ext cx="2183901" cy="962025"/>
        </a:xfrm>
        <a:prstGeom prst="rect">
          <a:avLst/>
        </a:prstGeom>
      </xdr:spPr>
    </xdr:pic>
    <xdr:clientData/>
  </xdr:twoCellAnchor>
  <xdr:twoCellAnchor editAs="oneCell">
    <xdr:from>
      <xdr:col>9</xdr:col>
      <xdr:colOff>876300</xdr:colOff>
      <xdr:row>1440</xdr:row>
      <xdr:rowOff>139700</xdr:rowOff>
    </xdr:from>
    <xdr:to>
      <xdr:col>13</xdr:col>
      <xdr:colOff>2085</xdr:colOff>
      <xdr:row>1447</xdr:row>
      <xdr:rowOff>187054</xdr:rowOff>
    </xdr:to>
    <xdr:pic>
      <xdr:nvPicPr>
        <xdr:cNvPr id="44" name="Image 43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0" y="274459700"/>
          <a:ext cx="1828505" cy="1523729"/>
        </a:xfrm>
        <a:prstGeom prst="rect">
          <a:avLst/>
        </a:prstGeom>
      </xdr:spPr>
    </xdr:pic>
    <xdr:clientData/>
  </xdr:twoCellAnchor>
  <xdr:twoCellAnchor editAs="oneCell">
    <xdr:from>
      <xdr:col>9</xdr:col>
      <xdr:colOff>660400</xdr:colOff>
      <xdr:row>1463</xdr:row>
      <xdr:rowOff>76200</xdr:rowOff>
    </xdr:from>
    <xdr:to>
      <xdr:col>11</xdr:col>
      <xdr:colOff>799875</xdr:colOff>
      <xdr:row>1470</xdr:row>
      <xdr:rowOff>21986</xdr:rowOff>
    </xdr:to>
    <xdr:pic>
      <xdr:nvPicPr>
        <xdr:cNvPr id="45" name="Image 44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9175" y="278777700"/>
          <a:ext cx="1215801" cy="1279286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1486</xdr:row>
      <xdr:rowOff>114300</xdr:rowOff>
    </xdr:from>
    <xdr:to>
      <xdr:col>11</xdr:col>
      <xdr:colOff>698329</xdr:colOff>
      <xdr:row>1492</xdr:row>
      <xdr:rowOff>37919</xdr:rowOff>
    </xdr:to>
    <xdr:pic>
      <xdr:nvPicPr>
        <xdr:cNvPr id="46" name="Image 45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34100" y="283197300"/>
          <a:ext cx="1184104" cy="1066619"/>
        </a:xfrm>
        <a:prstGeom prst="rect">
          <a:avLst/>
        </a:prstGeom>
      </xdr:spPr>
    </xdr:pic>
    <xdr:clientData/>
  </xdr:twoCellAnchor>
  <xdr:twoCellAnchor editAs="oneCell">
    <xdr:from>
      <xdr:col>9</xdr:col>
      <xdr:colOff>927100</xdr:colOff>
      <xdr:row>1508</xdr:row>
      <xdr:rowOff>38100</xdr:rowOff>
    </xdr:from>
    <xdr:to>
      <xdr:col>11</xdr:col>
      <xdr:colOff>561813</xdr:colOff>
      <xdr:row>1513</xdr:row>
      <xdr:rowOff>133172</xdr:rowOff>
    </xdr:to>
    <xdr:pic>
      <xdr:nvPicPr>
        <xdr:cNvPr id="47" name="Image 46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9175" y="287312100"/>
          <a:ext cx="1168239" cy="1047572"/>
        </a:xfrm>
        <a:prstGeom prst="rect">
          <a:avLst/>
        </a:prstGeom>
      </xdr:spPr>
    </xdr:pic>
    <xdr:clientData/>
  </xdr:twoCellAnchor>
  <xdr:twoCellAnchor editAs="oneCell">
    <xdr:from>
      <xdr:col>10</xdr:col>
      <xdr:colOff>254000</xdr:colOff>
      <xdr:row>1530</xdr:row>
      <xdr:rowOff>190500</xdr:rowOff>
    </xdr:from>
    <xdr:to>
      <xdr:col>12</xdr:col>
      <xdr:colOff>422062</xdr:colOff>
      <xdr:row>1535</xdr:row>
      <xdr:rowOff>142643</xdr:rowOff>
    </xdr:to>
    <xdr:pic>
      <xdr:nvPicPr>
        <xdr:cNvPr id="48" name="Image 47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0000" y="291655500"/>
          <a:ext cx="1387262" cy="904643"/>
        </a:xfrm>
        <a:prstGeom prst="rect">
          <a:avLst/>
        </a:prstGeom>
      </xdr:spPr>
    </xdr:pic>
    <xdr:clientData/>
  </xdr:twoCellAnchor>
  <xdr:twoCellAnchor editAs="oneCell">
    <xdr:from>
      <xdr:col>10</xdr:col>
      <xdr:colOff>254000</xdr:colOff>
      <xdr:row>1553</xdr:row>
      <xdr:rowOff>241300</xdr:rowOff>
    </xdr:from>
    <xdr:to>
      <xdr:col>12</xdr:col>
      <xdr:colOff>542000</xdr:colOff>
      <xdr:row>1558</xdr:row>
      <xdr:rowOff>127000</xdr:rowOff>
    </xdr:to>
    <xdr:pic>
      <xdr:nvPicPr>
        <xdr:cNvPr id="49" name="Image 48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0000" y="296040175"/>
          <a:ext cx="1507200" cy="885825"/>
        </a:xfrm>
        <a:prstGeom prst="rect">
          <a:avLst/>
        </a:prstGeom>
      </xdr:spPr>
    </xdr:pic>
    <xdr:clientData/>
  </xdr:twoCellAnchor>
  <xdr:twoCellAnchor editAs="oneCell">
    <xdr:from>
      <xdr:col>10</xdr:col>
      <xdr:colOff>279400</xdr:colOff>
      <xdr:row>1576</xdr:row>
      <xdr:rowOff>203200</xdr:rowOff>
    </xdr:from>
    <xdr:to>
      <xdr:col>12</xdr:col>
      <xdr:colOff>456986</xdr:colOff>
      <xdr:row>1579</xdr:row>
      <xdr:rowOff>41105</xdr:rowOff>
    </xdr:to>
    <xdr:pic>
      <xdr:nvPicPr>
        <xdr:cNvPr id="50" name="Imag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375400" y="300421675"/>
          <a:ext cx="1396786" cy="418930"/>
        </a:xfrm>
        <a:prstGeom prst="rect">
          <a:avLst/>
        </a:prstGeom>
      </xdr:spPr>
    </xdr:pic>
    <xdr:clientData/>
  </xdr:twoCellAnchor>
  <xdr:twoCellAnchor editAs="oneCell">
    <xdr:from>
      <xdr:col>9</xdr:col>
      <xdr:colOff>863600</xdr:colOff>
      <xdr:row>1622</xdr:row>
      <xdr:rowOff>177800</xdr:rowOff>
    </xdr:from>
    <xdr:to>
      <xdr:col>13</xdr:col>
      <xdr:colOff>18718</xdr:colOff>
      <xdr:row>1625</xdr:row>
      <xdr:rowOff>177681</xdr:rowOff>
    </xdr:to>
    <xdr:pic>
      <xdr:nvPicPr>
        <xdr:cNvPr id="51" name="Imag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092825" y="309168800"/>
          <a:ext cx="1850694" cy="571381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228600</xdr:colOff>
      <xdr:row>1665</xdr:row>
      <xdr:rowOff>114300</xdr:rowOff>
    </xdr:from>
    <xdr:to>
      <xdr:col>12</xdr:col>
      <xdr:colOff>215900</xdr:colOff>
      <xdr:row>1671</xdr:row>
      <xdr:rowOff>114300</xdr:rowOff>
    </xdr:to>
    <xdr:pic>
      <xdr:nvPicPr>
        <xdr:cNvPr id="52" name="Imag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324600" y="317296800"/>
          <a:ext cx="1206500" cy="1143000"/>
        </a:xfrm>
        <a:prstGeom prst="rect">
          <a:avLst/>
        </a:prstGeom>
      </xdr:spPr>
    </xdr:pic>
    <xdr:clientData/>
  </xdr:twoCellAnchor>
  <xdr:twoCellAnchor editAs="oneCell">
    <xdr:from>
      <xdr:col>9</xdr:col>
      <xdr:colOff>660400</xdr:colOff>
      <xdr:row>1687</xdr:row>
      <xdr:rowOff>165100</xdr:rowOff>
    </xdr:from>
    <xdr:to>
      <xdr:col>11</xdr:col>
      <xdr:colOff>495113</xdr:colOff>
      <xdr:row>1693</xdr:row>
      <xdr:rowOff>126814</xdr:rowOff>
    </xdr:to>
    <xdr:pic>
      <xdr:nvPicPr>
        <xdr:cNvPr id="53" name="Imag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099175" y="321538600"/>
          <a:ext cx="1101539" cy="110471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1710</xdr:row>
      <xdr:rowOff>152400</xdr:rowOff>
    </xdr:from>
    <xdr:to>
      <xdr:col>11</xdr:col>
      <xdr:colOff>784038</xdr:colOff>
      <xdr:row>1717</xdr:row>
      <xdr:rowOff>123614</xdr:rowOff>
    </xdr:to>
    <xdr:pic>
      <xdr:nvPicPr>
        <xdr:cNvPr id="54" name="Imag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096000" y="325907400"/>
          <a:ext cx="1222188" cy="1304714"/>
        </a:xfrm>
        <a:prstGeom prst="rect">
          <a:avLst/>
        </a:prstGeom>
      </xdr:spPr>
    </xdr:pic>
    <xdr:clientData/>
  </xdr:twoCellAnchor>
  <xdr:twoCellAnchor editAs="oneCell">
    <xdr:from>
      <xdr:col>10</xdr:col>
      <xdr:colOff>139700</xdr:colOff>
      <xdr:row>1734</xdr:row>
      <xdr:rowOff>0</xdr:rowOff>
    </xdr:from>
    <xdr:to>
      <xdr:col>13</xdr:col>
      <xdr:colOff>3175</xdr:colOff>
      <xdr:row>1741</xdr:row>
      <xdr:rowOff>142499</xdr:rowOff>
    </xdr:to>
    <xdr:pic>
      <xdr:nvPicPr>
        <xdr:cNvPr id="55" name="Imag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235700" y="330327000"/>
          <a:ext cx="1692275" cy="1475999"/>
        </a:xfrm>
        <a:prstGeom prst="rect">
          <a:avLst/>
        </a:prstGeom>
      </xdr:spPr>
    </xdr:pic>
    <xdr:clientData/>
  </xdr:twoCellAnchor>
  <xdr:twoCellAnchor editAs="oneCell">
    <xdr:from>
      <xdr:col>9</xdr:col>
      <xdr:colOff>876300</xdr:colOff>
      <xdr:row>1779</xdr:row>
      <xdr:rowOff>63500</xdr:rowOff>
    </xdr:from>
    <xdr:to>
      <xdr:col>11</xdr:col>
      <xdr:colOff>415775</xdr:colOff>
      <xdr:row>1783</xdr:row>
      <xdr:rowOff>34762</xdr:rowOff>
    </xdr:to>
    <xdr:pic>
      <xdr:nvPicPr>
        <xdr:cNvPr id="56" name="Imag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096000" y="338963000"/>
          <a:ext cx="1025376" cy="73326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390526</xdr:colOff>
      <xdr:row>1</xdr:row>
      <xdr:rowOff>85726</xdr:rowOff>
    </xdr:from>
    <xdr:to>
      <xdr:col>3</xdr:col>
      <xdr:colOff>600076</xdr:colOff>
      <xdr:row>21</xdr:row>
      <xdr:rowOff>102292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90526" y="276226"/>
          <a:ext cx="2495550" cy="3826566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</xdr:row>
      <xdr:rowOff>161925</xdr:rowOff>
    </xdr:from>
    <xdr:to>
      <xdr:col>14</xdr:col>
      <xdr:colOff>400050</xdr:colOff>
      <xdr:row>20</xdr:row>
      <xdr:rowOff>141257</xdr:rowOff>
    </xdr:to>
    <xdr:pic>
      <xdr:nvPicPr>
        <xdr:cNvPr id="3" name="Image 2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15050" y="352425"/>
          <a:ext cx="4953000" cy="35988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114300</xdr:rowOff>
    </xdr:from>
    <xdr:to>
      <xdr:col>7</xdr:col>
      <xdr:colOff>599312</xdr:colOff>
      <xdr:row>46</xdr:row>
      <xdr:rowOff>8991</xdr:rowOff>
    </xdr:to>
    <xdr:pic>
      <xdr:nvPicPr>
        <xdr:cNvPr id="4" name="Image 3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4495800"/>
          <a:ext cx="5933312" cy="4276191"/>
        </a:xfrm>
        <a:prstGeom prst="rect">
          <a:avLst/>
        </a:prstGeom>
      </xdr:spPr>
    </xdr:pic>
    <xdr:clientData/>
  </xdr:twoCellAnchor>
  <xdr:twoCellAnchor editAs="oneCell">
    <xdr:from>
      <xdr:col>8</xdr:col>
      <xdr:colOff>66675</xdr:colOff>
      <xdr:row>23</xdr:row>
      <xdr:rowOff>114300</xdr:rowOff>
    </xdr:from>
    <xdr:to>
      <xdr:col>15</xdr:col>
      <xdr:colOff>665992</xdr:colOff>
      <xdr:row>45</xdr:row>
      <xdr:rowOff>189967</xdr:rowOff>
    </xdr:to>
    <xdr:pic>
      <xdr:nvPicPr>
        <xdr:cNvPr id="5" name="Image 4">
          <a:hlinkClick xmlns:r="http://schemas.openxmlformats.org/officeDocument/2006/relationships" r:id="rId6"/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62675" y="4495800"/>
          <a:ext cx="5933317" cy="4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7</xdr:col>
      <xdr:colOff>237408</xdr:colOff>
      <xdr:row>70</xdr:row>
      <xdr:rowOff>47119</xdr:rowOff>
    </xdr:to>
    <xdr:pic>
      <xdr:nvPicPr>
        <xdr:cNvPr id="6" name="Image 5">
          <a:hlinkClick xmlns:r="http://schemas.openxmlformats.org/officeDocument/2006/relationships" r:id="rId8"/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9334500"/>
          <a:ext cx="5571408" cy="4047619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48</xdr:row>
      <xdr:rowOff>85725</xdr:rowOff>
    </xdr:from>
    <xdr:to>
      <xdr:col>15</xdr:col>
      <xdr:colOff>732660</xdr:colOff>
      <xdr:row>71</xdr:row>
      <xdr:rowOff>18511</xdr:rowOff>
    </xdr:to>
    <xdr:pic>
      <xdr:nvPicPr>
        <xdr:cNvPr id="7" name="Image 6">
          <a:hlinkClick xmlns:r="http://schemas.openxmlformats.org/officeDocument/2006/relationships" r:id="rId8"/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72200" y="9229725"/>
          <a:ext cx="5990460" cy="4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73</xdr:row>
      <xdr:rowOff>123825</xdr:rowOff>
    </xdr:from>
    <xdr:to>
      <xdr:col>7</xdr:col>
      <xdr:colOff>713614</xdr:colOff>
      <xdr:row>96</xdr:row>
      <xdr:rowOff>66135</xdr:rowOff>
    </xdr:to>
    <xdr:pic>
      <xdr:nvPicPr>
        <xdr:cNvPr id="8" name="Image 7">
          <a:hlinkClick xmlns:r="http://schemas.openxmlformats.org/officeDocument/2006/relationships" r:id="rId8"/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3825" y="14030325"/>
          <a:ext cx="5923789" cy="4323810"/>
        </a:xfrm>
        <a:prstGeom prst="rect">
          <a:avLst/>
        </a:prstGeom>
      </xdr:spPr>
    </xdr:pic>
    <xdr:clientData/>
  </xdr:twoCellAnchor>
  <xdr:twoCellAnchor editAs="oneCell">
    <xdr:from>
      <xdr:col>8</xdr:col>
      <xdr:colOff>266700</xdr:colOff>
      <xdr:row>74</xdr:row>
      <xdr:rowOff>66675</xdr:rowOff>
    </xdr:from>
    <xdr:to>
      <xdr:col>15</xdr:col>
      <xdr:colOff>561255</xdr:colOff>
      <xdr:row>95</xdr:row>
      <xdr:rowOff>113794</xdr:rowOff>
    </xdr:to>
    <xdr:pic>
      <xdr:nvPicPr>
        <xdr:cNvPr id="9" name="Image 8">
          <a:hlinkClick xmlns:r="http://schemas.openxmlformats.org/officeDocument/2006/relationships" r:id="rId8"/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62700" y="14163675"/>
          <a:ext cx="5628555" cy="4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98</xdr:row>
      <xdr:rowOff>123825</xdr:rowOff>
    </xdr:from>
    <xdr:to>
      <xdr:col>7</xdr:col>
      <xdr:colOff>656465</xdr:colOff>
      <xdr:row>121</xdr:row>
      <xdr:rowOff>56611</xdr:rowOff>
    </xdr:to>
    <xdr:pic>
      <xdr:nvPicPr>
        <xdr:cNvPr id="10" name="Image 9">
          <a:hlinkClick xmlns:r="http://schemas.openxmlformats.org/officeDocument/2006/relationships" r:id="rId13"/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0" y="18792825"/>
          <a:ext cx="5914265" cy="4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7</xdr:col>
      <xdr:colOff>551646</xdr:colOff>
      <xdr:row>146</xdr:row>
      <xdr:rowOff>95250</xdr:rowOff>
    </xdr:to>
    <xdr:pic>
      <xdr:nvPicPr>
        <xdr:cNvPr id="11" name="Image 10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3622000"/>
          <a:ext cx="5885646" cy="428625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124</xdr:row>
      <xdr:rowOff>47625</xdr:rowOff>
    </xdr:from>
    <xdr:to>
      <xdr:col>15</xdr:col>
      <xdr:colOff>570784</xdr:colOff>
      <xdr:row>145</xdr:row>
      <xdr:rowOff>75697</xdr:rowOff>
    </xdr:to>
    <xdr:pic>
      <xdr:nvPicPr>
        <xdr:cNvPr id="12" name="Image 11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00800" y="23669625"/>
          <a:ext cx="5599984" cy="4028572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149</xdr:row>
      <xdr:rowOff>85725</xdr:rowOff>
    </xdr:from>
    <xdr:to>
      <xdr:col>7</xdr:col>
      <xdr:colOff>380281</xdr:colOff>
      <xdr:row>170</xdr:row>
      <xdr:rowOff>142368</xdr:rowOff>
    </xdr:to>
    <xdr:pic>
      <xdr:nvPicPr>
        <xdr:cNvPr id="13" name="Image 12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50" y="28470225"/>
          <a:ext cx="5580931" cy="4057143"/>
        </a:xfrm>
        <a:prstGeom prst="rect">
          <a:avLst/>
        </a:prstGeom>
      </xdr:spPr>
    </xdr:pic>
    <xdr:clientData/>
  </xdr:twoCellAnchor>
  <xdr:twoCellAnchor editAs="oneCell">
    <xdr:from>
      <xdr:col>8</xdr:col>
      <xdr:colOff>266700</xdr:colOff>
      <xdr:row>149</xdr:row>
      <xdr:rowOff>180975</xdr:rowOff>
    </xdr:from>
    <xdr:to>
      <xdr:col>16</xdr:col>
      <xdr:colOff>113541</xdr:colOff>
      <xdr:row>172</xdr:row>
      <xdr:rowOff>104237</xdr:rowOff>
    </xdr:to>
    <xdr:pic>
      <xdr:nvPicPr>
        <xdr:cNvPr id="14" name="Image 13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62700" y="28565475"/>
          <a:ext cx="5942841" cy="4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676275</xdr:colOff>
      <xdr:row>174</xdr:row>
      <xdr:rowOff>47625</xdr:rowOff>
    </xdr:from>
    <xdr:to>
      <xdr:col>4</xdr:col>
      <xdr:colOff>304444</xdr:colOff>
      <xdr:row>195</xdr:row>
      <xdr:rowOff>94744</xdr:rowOff>
    </xdr:to>
    <xdr:pic>
      <xdr:nvPicPr>
        <xdr:cNvPr id="15" name="Image 14">
          <a:hlinkClick xmlns:r="http://schemas.openxmlformats.org/officeDocument/2006/relationships" r:id="rId20"/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6275" y="33194625"/>
          <a:ext cx="2676169" cy="40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609600</xdr:colOff>
      <xdr:row>174</xdr:row>
      <xdr:rowOff>38100</xdr:rowOff>
    </xdr:from>
    <xdr:to>
      <xdr:col>13</xdr:col>
      <xdr:colOff>399695</xdr:colOff>
      <xdr:row>195</xdr:row>
      <xdr:rowOff>104267</xdr:rowOff>
    </xdr:to>
    <xdr:pic>
      <xdr:nvPicPr>
        <xdr:cNvPr id="16" name="Image 15">
          <a:hlinkClick xmlns:r="http://schemas.openxmlformats.org/officeDocument/2006/relationships" r:id="rId22"/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67600" y="33185100"/>
          <a:ext cx="2838095" cy="4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199</xdr:row>
      <xdr:rowOff>0</xdr:rowOff>
    </xdr:from>
    <xdr:to>
      <xdr:col>7</xdr:col>
      <xdr:colOff>732661</xdr:colOff>
      <xdr:row>221</xdr:row>
      <xdr:rowOff>104238</xdr:rowOff>
    </xdr:to>
    <xdr:pic>
      <xdr:nvPicPr>
        <xdr:cNvPr id="17" name="Image 16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3825" y="37909500"/>
          <a:ext cx="5942836" cy="4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224</xdr:row>
      <xdr:rowOff>66675</xdr:rowOff>
    </xdr:from>
    <xdr:to>
      <xdr:col>7</xdr:col>
      <xdr:colOff>723137</xdr:colOff>
      <xdr:row>246</xdr:row>
      <xdr:rowOff>189961</xdr:rowOff>
    </xdr:to>
    <xdr:pic>
      <xdr:nvPicPr>
        <xdr:cNvPr id="18" name="Image 17">
          <a:hlinkClick xmlns:r="http://schemas.openxmlformats.org/officeDocument/2006/relationships" r:id="rId26"/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3825" y="42738675"/>
          <a:ext cx="5933312" cy="4314286"/>
        </a:xfrm>
        <a:prstGeom prst="rect">
          <a:avLst/>
        </a:prstGeom>
      </xdr:spPr>
    </xdr:pic>
    <xdr:clientData/>
  </xdr:twoCellAnchor>
  <xdr:twoCellAnchor editAs="oneCell">
    <xdr:from>
      <xdr:col>8</xdr:col>
      <xdr:colOff>161925</xdr:colOff>
      <xdr:row>224</xdr:row>
      <xdr:rowOff>123825</xdr:rowOff>
    </xdr:from>
    <xdr:to>
      <xdr:col>16</xdr:col>
      <xdr:colOff>8766</xdr:colOff>
      <xdr:row>247</xdr:row>
      <xdr:rowOff>28040</xdr:rowOff>
    </xdr:to>
    <xdr:pic>
      <xdr:nvPicPr>
        <xdr:cNvPr id="19" name="Image 18">
          <a:hlinkClick xmlns:r="http://schemas.openxmlformats.org/officeDocument/2006/relationships" r:id="rId28"/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57925" y="42795825"/>
          <a:ext cx="5942841" cy="42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250</xdr:row>
      <xdr:rowOff>0</xdr:rowOff>
    </xdr:from>
    <xdr:to>
      <xdr:col>7</xdr:col>
      <xdr:colOff>370755</xdr:colOff>
      <xdr:row>271</xdr:row>
      <xdr:rowOff>85215</xdr:rowOff>
    </xdr:to>
    <xdr:pic>
      <xdr:nvPicPr>
        <xdr:cNvPr id="20" name="Image 19">
          <a:hlinkClick xmlns:r="http://schemas.openxmlformats.org/officeDocument/2006/relationships" r:id="rId30"/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47625000"/>
          <a:ext cx="5590455" cy="4085715"/>
        </a:xfrm>
        <a:prstGeom prst="rect">
          <a:avLst/>
        </a:prstGeom>
      </xdr:spPr>
    </xdr:pic>
    <xdr:clientData/>
  </xdr:twoCellAnchor>
  <xdr:twoCellAnchor editAs="oneCell">
    <xdr:from>
      <xdr:col>8</xdr:col>
      <xdr:colOff>238125</xdr:colOff>
      <xdr:row>250</xdr:row>
      <xdr:rowOff>47625</xdr:rowOff>
    </xdr:from>
    <xdr:to>
      <xdr:col>16</xdr:col>
      <xdr:colOff>84966</xdr:colOff>
      <xdr:row>272</xdr:row>
      <xdr:rowOff>170911</xdr:rowOff>
    </xdr:to>
    <xdr:pic>
      <xdr:nvPicPr>
        <xdr:cNvPr id="21" name="Image 20">
          <a:hlinkClick xmlns:r="http://schemas.openxmlformats.org/officeDocument/2006/relationships" r:id="rId32"/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34125" y="47672625"/>
          <a:ext cx="5942841" cy="4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275</xdr:row>
      <xdr:rowOff>38100</xdr:rowOff>
    </xdr:from>
    <xdr:to>
      <xdr:col>7</xdr:col>
      <xdr:colOff>256458</xdr:colOff>
      <xdr:row>296</xdr:row>
      <xdr:rowOff>94743</xdr:rowOff>
    </xdr:to>
    <xdr:pic>
      <xdr:nvPicPr>
        <xdr:cNvPr id="22" name="Image 21">
          <a:hlinkClick xmlns:r="http://schemas.openxmlformats.org/officeDocument/2006/relationships" r:id="rId34"/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050" y="52425600"/>
          <a:ext cx="5571408" cy="4057143"/>
        </a:xfrm>
        <a:prstGeom prst="rect">
          <a:avLst/>
        </a:prstGeom>
      </xdr:spPr>
    </xdr:pic>
    <xdr:clientData/>
  </xdr:twoCellAnchor>
  <xdr:twoCellAnchor editAs="oneCell">
    <xdr:from>
      <xdr:col>8</xdr:col>
      <xdr:colOff>161925</xdr:colOff>
      <xdr:row>275</xdr:row>
      <xdr:rowOff>133350</xdr:rowOff>
    </xdr:from>
    <xdr:to>
      <xdr:col>16</xdr:col>
      <xdr:colOff>27814</xdr:colOff>
      <xdr:row>298</xdr:row>
      <xdr:rowOff>56612</xdr:rowOff>
    </xdr:to>
    <xdr:pic>
      <xdr:nvPicPr>
        <xdr:cNvPr id="23" name="Image 22">
          <a:hlinkClick xmlns:r="http://schemas.openxmlformats.org/officeDocument/2006/relationships" r:id="rId36"/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57925" y="52520850"/>
          <a:ext cx="5961889" cy="4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300</xdr:row>
      <xdr:rowOff>0</xdr:rowOff>
    </xdr:from>
    <xdr:to>
      <xdr:col>7</xdr:col>
      <xdr:colOff>589789</xdr:colOff>
      <xdr:row>322</xdr:row>
      <xdr:rowOff>85191</xdr:rowOff>
    </xdr:to>
    <xdr:pic>
      <xdr:nvPicPr>
        <xdr:cNvPr id="24" name="Image 23">
          <a:hlinkClick xmlns:r="http://schemas.openxmlformats.org/officeDocument/2006/relationships" r:id="rId38"/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57150000"/>
          <a:ext cx="5923789" cy="4276191"/>
        </a:xfrm>
        <a:prstGeom prst="rect">
          <a:avLst/>
        </a:prstGeom>
      </xdr:spPr>
    </xdr:pic>
    <xdr:clientData/>
  </xdr:twoCellAnchor>
  <xdr:twoCellAnchor editAs="oneCell">
    <xdr:from>
      <xdr:col>8</xdr:col>
      <xdr:colOff>142875</xdr:colOff>
      <xdr:row>300</xdr:row>
      <xdr:rowOff>57150</xdr:rowOff>
    </xdr:from>
    <xdr:to>
      <xdr:col>15</xdr:col>
      <xdr:colOff>723144</xdr:colOff>
      <xdr:row>322</xdr:row>
      <xdr:rowOff>170912</xdr:rowOff>
    </xdr:to>
    <xdr:pic>
      <xdr:nvPicPr>
        <xdr:cNvPr id="25" name="Image 24">
          <a:hlinkClick xmlns:r="http://schemas.openxmlformats.org/officeDocument/2006/relationships" r:id="rId40"/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8875" y="57207150"/>
          <a:ext cx="5914269" cy="4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325</xdr:row>
      <xdr:rowOff>0</xdr:rowOff>
    </xdr:from>
    <xdr:to>
      <xdr:col>7</xdr:col>
      <xdr:colOff>561217</xdr:colOff>
      <xdr:row>347</xdr:row>
      <xdr:rowOff>85191</xdr:rowOff>
    </xdr:to>
    <xdr:pic>
      <xdr:nvPicPr>
        <xdr:cNvPr id="26" name="Image 25">
          <a:hlinkClick xmlns:r="http://schemas.openxmlformats.org/officeDocument/2006/relationships" r:id="rId42"/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61912500"/>
          <a:ext cx="5895217" cy="42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350</xdr:row>
      <xdr:rowOff>0</xdr:rowOff>
    </xdr:from>
    <xdr:to>
      <xdr:col>7</xdr:col>
      <xdr:colOff>570741</xdr:colOff>
      <xdr:row>372</xdr:row>
      <xdr:rowOff>132810</xdr:rowOff>
    </xdr:to>
    <xdr:pic>
      <xdr:nvPicPr>
        <xdr:cNvPr id="27" name="Image 26">
          <a:hlinkClick xmlns:r="http://schemas.openxmlformats.org/officeDocument/2006/relationships" r:id="rId44"/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66675000"/>
          <a:ext cx="5904741" cy="4323810"/>
        </a:xfrm>
        <a:prstGeom prst="rect">
          <a:avLst/>
        </a:prstGeom>
      </xdr:spPr>
    </xdr:pic>
    <xdr:clientData/>
  </xdr:twoCellAnchor>
  <xdr:twoCellAnchor editAs="oneCell">
    <xdr:from>
      <xdr:col>8</xdr:col>
      <xdr:colOff>209550</xdr:colOff>
      <xdr:row>350</xdr:row>
      <xdr:rowOff>19050</xdr:rowOff>
    </xdr:from>
    <xdr:to>
      <xdr:col>16</xdr:col>
      <xdr:colOff>56391</xdr:colOff>
      <xdr:row>372</xdr:row>
      <xdr:rowOff>113765</xdr:rowOff>
    </xdr:to>
    <xdr:pic>
      <xdr:nvPicPr>
        <xdr:cNvPr id="28" name="Image 27">
          <a:hlinkClick xmlns:r="http://schemas.openxmlformats.org/officeDocument/2006/relationships" r:id="rId46"/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05550" y="66694050"/>
          <a:ext cx="5942841" cy="42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375</xdr:row>
      <xdr:rowOff>0</xdr:rowOff>
    </xdr:from>
    <xdr:to>
      <xdr:col>7</xdr:col>
      <xdr:colOff>570741</xdr:colOff>
      <xdr:row>397</xdr:row>
      <xdr:rowOff>123286</xdr:rowOff>
    </xdr:to>
    <xdr:pic>
      <xdr:nvPicPr>
        <xdr:cNvPr id="29" name="Image 28">
          <a:hlinkClick xmlns:r="http://schemas.openxmlformats.org/officeDocument/2006/relationships" r:id="rId48"/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71437500"/>
          <a:ext cx="5904741" cy="4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400</xdr:row>
      <xdr:rowOff>0</xdr:rowOff>
    </xdr:from>
    <xdr:to>
      <xdr:col>7</xdr:col>
      <xdr:colOff>218360</xdr:colOff>
      <xdr:row>421</xdr:row>
      <xdr:rowOff>56643</xdr:rowOff>
    </xdr:to>
    <xdr:pic>
      <xdr:nvPicPr>
        <xdr:cNvPr id="30" name="Image 29">
          <a:hlinkClick xmlns:r="http://schemas.openxmlformats.org/officeDocument/2006/relationships" r:id="rId50"/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76200000"/>
          <a:ext cx="5552360" cy="405714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400</xdr:row>
      <xdr:rowOff>0</xdr:rowOff>
    </xdr:from>
    <xdr:to>
      <xdr:col>15</xdr:col>
      <xdr:colOff>265984</xdr:colOff>
      <xdr:row>421</xdr:row>
      <xdr:rowOff>37596</xdr:rowOff>
    </xdr:to>
    <xdr:pic>
      <xdr:nvPicPr>
        <xdr:cNvPr id="31" name="Image 30">
          <a:hlinkClick xmlns:r="http://schemas.openxmlformats.org/officeDocument/2006/relationships" r:id="rId52"/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0" y="76200000"/>
          <a:ext cx="5599984" cy="40380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0</xdr:rowOff>
    </xdr:from>
    <xdr:to>
      <xdr:col>7</xdr:col>
      <xdr:colOff>570741</xdr:colOff>
      <xdr:row>445</xdr:row>
      <xdr:rowOff>104238</xdr:rowOff>
    </xdr:to>
    <xdr:pic>
      <xdr:nvPicPr>
        <xdr:cNvPr id="32" name="Image 31">
          <a:hlinkClick xmlns:r="http://schemas.openxmlformats.org/officeDocument/2006/relationships" r:id="rId54"/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80581500"/>
          <a:ext cx="5904741" cy="429523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423</xdr:row>
      <xdr:rowOff>0</xdr:rowOff>
    </xdr:from>
    <xdr:to>
      <xdr:col>15</xdr:col>
      <xdr:colOff>608841</xdr:colOff>
      <xdr:row>445</xdr:row>
      <xdr:rowOff>104238</xdr:rowOff>
    </xdr:to>
    <xdr:pic>
      <xdr:nvPicPr>
        <xdr:cNvPr id="33" name="Image 32">
          <a:hlinkClick xmlns:r="http://schemas.openxmlformats.org/officeDocument/2006/relationships" r:id="rId56"/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0" y="80581500"/>
          <a:ext cx="5942841" cy="4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447</xdr:row>
      <xdr:rowOff>0</xdr:rowOff>
    </xdr:from>
    <xdr:to>
      <xdr:col>7</xdr:col>
      <xdr:colOff>218360</xdr:colOff>
      <xdr:row>468</xdr:row>
      <xdr:rowOff>75691</xdr:rowOff>
    </xdr:to>
    <xdr:pic>
      <xdr:nvPicPr>
        <xdr:cNvPr id="34" name="Image 33">
          <a:hlinkClick xmlns:r="http://schemas.openxmlformats.org/officeDocument/2006/relationships" r:id="rId58"/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85153500"/>
          <a:ext cx="5552360" cy="407619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447</xdr:row>
      <xdr:rowOff>0</xdr:rowOff>
    </xdr:from>
    <xdr:to>
      <xdr:col>15</xdr:col>
      <xdr:colOff>313603</xdr:colOff>
      <xdr:row>468</xdr:row>
      <xdr:rowOff>85215</xdr:rowOff>
    </xdr:to>
    <xdr:pic>
      <xdr:nvPicPr>
        <xdr:cNvPr id="35" name="Image 34">
          <a:hlinkClick xmlns:r="http://schemas.openxmlformats.org/officeDocument/2006/relationships" r:id="rId60"/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6000" y="85153500"/>
          <a:ext cx="5647603" cy="40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470</xdr:row>
      <xdr:rowOff>0</xdr:rowOff>
    </xdr:from>
    <xdr:to>
      <xdr:col>7</xdr:col>
      <xdr:colOff>240770</xdr:colOff>
      <xdr:row>491</xdr:row>
      <xdr:rowOff>75691</xdr:rowOff>
    </xdr:to>
    <xdr:pic>
      <xdr:nvPicPr>
        <xdr:cNvPr id="36" name="Image 35">
          <a:hlinkClick xmlns:r="http://schemas.openxmlformats.org/officeDocument/2006/relationships" r:id="rId62"/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89535000"/>
          <a:ext cx="5574770" cy="407619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470</xdr:row>
      <xdr:rowOff>0</xdr:rowOff>
    </xdr:from>
    <xdr:to>
      <xdr:col>15</xdr:col>
      <xdr:colOff>283910</xdr:colOff>
      <xdr:row>491</xdr:row>
      <xdr:rowOff>56643</xdr:rowOff>
    </xdr:to>
    <xdr:pic>
      <xdr:nvPicPr>
        <xdr:cNvPr id="37" name="Image 36">
          <a:hlinkClick xmlns:r="http://schemas.openxmlformats.org/officeDocument/2006/relationships" r:id="rId64"/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096000" y="89535000"/>
          <a:ext cx="5617910" cy="4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493</xdr:row>
      <xdr:rowOff>146996</xdr:rowOff>
    </xdr:from>
    <xdr:to>
      <xdr:col>7</xdr:col>
      <xdr:colOff>403412</xdr:colOff>
      <xdr:row>515</xdr:row>
      <xdr:rowOff>113762</xdr:rowOff>
    </xdr:to>
    <xdr:pic>
      <xdr:nvPicPr>
        <xdr:cNvPr id="38" name="Image 37">
          <a:hlinkClick xmlns:r="http://schemas.openxmlformats.org/officeDocument/2006/relationships" r:id="rId66"/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94063496"/>
          <a:ext cx="5737412" cy="415776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494</xdr:row>
      <xdr:rowOff>0</xdr:rowOff>
    </xdr:from>
    <xdr:to>
      <xdr:col>15</xdr:col>
      <xdr:colOff>617244</xdr:colOff>
      <xdr:row>516</xdr:row>
      <xdr:rowOff>123286</xdr:rowOff>
    </xdr:to>
    <xdr:pic>
      <xdr:nvPicPr>
        <xdr:cNvPr id="39" name="Image 38">
          <a:hlinkClick xmlns:r="http://schemas.openxmlformats.org/officeDocument/2006/relationships" r:id="rId68"/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096000" y="94107000"/>
          <a:ext cx="5951244" cy="43142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469900</xdr:colOff>
      <xdr:row>78</xdr:row>
      <xdr:rowOff>127001</xdr:rowOff>
    </xdr:from>
    <xdr:to>
      <xdr:col>13</xdr:col>
      <xdr:colOff>718080</xdr:colOff>
      <xdr:row>87</xdr:row>
      <xdr:rowOff>165101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56300" y="14986001"/>
          <a:ext cx="2574661" cy="1752600"/>
        </a:xfrm>
        <a:prstGeom prst="rect">
          <a:avLst/>
        </a:prstGeom>
      </xdr:spPr>
    </xdr:pic>
    <xdr:clientData/>
  </xdr:twoCellAnchor>
  <xdr:twoCellAnchor editAs="oneCell">
    <xdr:from>
      <xdr:col>9</xdr:col>
      <xdr:colOff>572341</xdr:colOff>
      <xdr:row>169</xdr:row>
      <xdr:rowOff>83344</xdr:rowOff>
    </xdr:from>
    <xdr:to>
      <xdr:col>13</xdr:col>
      <xdr:colOff>333375</xdr:colOff>
      <xdr:row>185</xdr:row>
      <xdr:rowOff>74802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8741" y="32277844"/>
          <a:ext cx="2258965" cy="3039458"/>
        </a:xfrm>
        <a:prstGeom prst="rect">
          <a:avLst/>
        </a:prstGeom>
      </xdr:spPr>
    </xdr:pic>
    <xdr:clientData/>
  </xdr:twoCellAnchor>
  <xdr:twoCellAnchor editAs="oneCell">
    <xdr:from>
      <xdr:col>9</xdr:col>
      <xdr:colOff>193110</xdr:colOff>
      <xdr:row>294</xdr:row>
      <xdr:rowOff>25400</xdr:rowOff>
    </xdr:from>
    <xdr:to>
      <xdr:col>14</xdr:col>
      <xdr:colOff>92718</xdr:colOff>
      <xdr:row>307</xdr:row>
      <xdr:rowOff>88900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79510" y="56032400"/>
          <a:ext cx="3054765" cy="254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459442</xdr:colOff>
      <xdr:row>56</xdr:row>
      <xdr:rowOff>100853</xdr:rowOff>
    </xdr:from>
    <xdr:to>
      <xdr:col>12</xdr:col>
      <xdr:colOff>558194</xdr:colOff>
      <xdr:row>65</xdr:row>
      <xdr:rowOff>135292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5442" y="10768853"/>
          <a:ext cx="1372720" cy="1748939"/>
        </a:xfrm>
        <a:prstGeom prst="rect">
          <a:avLst/>
        </a:prstGeom>
      </xdr:spPr>
    </xdr:pic>
    <xdr:clientData/>
  </xdr:twoCellAnchor>
  <xdr:twoCellAnchor editAs="oneCell">
    <xdr:from>
      <xdr:col>9</xdr:col>
      <xdr:colOff>739588</xdr:colOff>
      <xdr:row>81</xdr:row>
      <xdr:rowOff>11207</xdr:rowOff>
    </xdr:from>
    <xdr:to>
      <xdr:col>12</xdr:col>
      <xdr:colOff>770992</xdr:colOff>
      <xdr:row>84</xdr:row>
      <xdr:rowOff>168089</xdr:rowOff>
    </xdr:to>
    <xdr:pic>
      <xdr:nvPicPr>
        <xdr:cNvPr id="3" name="Image 2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92" t="39034" r="5516" b="8740"/>
        <a:stretch/>
      </xdr:blipFill>
      <xdr:spPr>
        <a:xfrm>
          <a:off x="6092638" y="15441707"/>
          <a:ext cx="1900685" cy="728382"/>
        </a:xfrm>
        <a:prstGeom prst="rect">
          <a:avLst/>
        </a:prstGeom>
      </xdr:spPr>
    </xdr:pic>
    <xdr:clientData/>
  </xdr:twoCellAnchor>
  <xdr:twoCellAnchor editAs="oneCell">
    <xdr:from>
      <xdr:col>9</xdr:col>
      <xdr:colOff>537883</xdr:colOff>
      <xdr:row>98</xdr:row>
      <xdr:rowOff>168089</xdr:rowOff>
    </xdr:from>
    <xdr:to>
      <xdr:col>11</xdr:col>
      <xdr:colOff>571975</xdr:colOff>
      <xdr:row>104</xdr:row>
      <xdr:rowOff>67234</xdr:rowOff>
    </xdr:to>
    <xdr:pic>
      <xdr:nvPicPr>
        <xdr:cNvPr id="4" name="Image 3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49" t="25930" r="4762" b="14045"/>
        <a:stretch/>
      </xdr:blipFill>
      <xdr:spPr>
        <a:xfrm>
          <a:off x="6024283" y="18837089"/>
          <a:ext cx="1253292" cy="1042145"/>
        </a:xfrm>
        <a:prstGeom prst="rect">
          <a:avLst/>
        </a:prstGeom>
      </xdr:spPr>
    </xdr:pic>
    <xdr:clientData/>
  </xdr:twoCellAnchor>
  <xdr:twoCellAnchor editAs="oneCell">
    <xdr:from>
      <xdr:col>9</xdr:col>
      <xdr:colOff>369794</xdr:colOff>
      <xdr:row>118</xdr:row>
      <xdr:rowOff>44824</xdr:rowOff>
    </xdr:from>
    <xdr:to>
      <xdr:col>11</xdr:col>
      <xdr:colOff>420921</xdr:colOff>
      <xdr:row>123</xdr:row>
      <xdr:rowOff>100854</xdr:rowOff>
    </xdr:to>
    <xdr:pic>
      <xdr:nvPicPr>
        <xdr:cNvPr id="5" name="Image 4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71" t="17579" r="8040" b="10074"/>
        <a:stretch/>
      </xdr:blipFill>
      <xdr:spPr>
        <a:xfrm>
          <a:off x="5856194" y="22523824"/>
          <a:ext cx="1270327" cy="1008530"/>
        </a:xfrm>
        <a:prstGeom prst="rect">
          <a:avLst/>
        </a:prstGeom>
      </xdr:spPr>
    </xdr:pic>
    <xdr:clientData/>
  </xdr:twoCellAnchor>
  <xdr:twoCellAnchor editAs="oneCell">
    <xdr:from>
      <xdr:col>9</xdr:col>
      <xdr:colOff>145677</xdr:colOff>
      <xdr:row>136</xdr:row>
      <xdr:rowOff>168088</xdr:rowOff>
    </xdr:from>
    <xdr:to>
      <xdr:col>11</xdr:col>
      <xdr:colOff>521774</xdr:colOff>
      <xdr:row>142</xdr:row>
      <xdr:rowOff>134471</xdr:rowOff>
    </xdr:to>
    <xdr:pic>
      <xdr:nvPicPr>
        <xdr:cNvPr id="6" name="Image 5"/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71" t="18199" r="6243" b="6402"/>
        <a:stretch/>
      </xdr:blipFill>
      <xdr:spPr>
        <a:xfrm>
          <a:off x="5632077" y="26076088"/>
          <a:ext cx="1595297" cy="1109383"/>
        </a:xfrm>
        <a:prstGeom prst="rect">
          <a:avLst/>
        </a:prstGeom>
      </xdr:spPr>
    </xdr:pic>
    <xdr:clientData/>
  </xdr:twoCellAnchor>
  <xdr:twoCellAnchor editAs="oneCell">
    <xdr:from>
      <xdr:col>9</xdr:col>
      <xdr:colOff>134471</xdr:colOff>
      <xdr:row>155</xdr:row>
      <xdr:rowOff>168088</xdr:rowOff>
    </xdr:from>
    <xdr:to>
      <xdr:col>11</xdr:col>
      <xdr:colOff>510568</xdr:colOff>
      <xdr:row>161</xdr:row>
      <xdr:rowOff>134471</xdr:rowOff>
    </xdr:to>
    <xdr:pic>
      <xdr:nvPicPr>
        <xdr:cNvPr id="7" name="Image 6"/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71" t="18199" r="6243" b="6402"/>
        <a:stretch/>
      </xdr:blipFill>
      <xdr:spPr>
        <a:xfrm>
          <a:off x="5620871" y="29695588"/>
          <a:ext cx="1595297" cy="1109383"/>
        </a:xfrm>
        <a:prstGeom prst="rect">
          <a:avLst/>
        </a:prstGeom>
      </xdr:spPr>
    </xdr:pic>
    <xdr:clientData/>
  </xdr:twoCellAnchor>
  <xdr:twoCellAnchor editAs="oneCell">
    <xdr:from>
      <xdr:col>9</xdr:col>
      <xdr:colOff>134471</xdr:colOff>
      <xdr:row>174</xdr:row>
      <xdr:rowOff>156883</xdr:rowOff>
    </xdr:from>
    <xdr:to>
      <xdr:col>11</xdr:col>
      <xdr:colOff>510568</xdr:colOff>
      <xdr:row>180</xdr:row>
      <xdr:rowOff>123266</xdr:rowOff>
    </xdr:to>
    <xdr:pic>
      <xdr:nvPicPr>
        <xdr:cNvPr id="8" name="Image 7"/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71" t="18199" r="6243" b="6402"/>
        <a:stretch/>
      </xdr:blipFill>
      <xdr:spPr>
        <a:xfrm>
          <a:off x="5620871" y="33303883"/>
          <a:ext cx="1595297" cy="1109383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78443</xdr:colOff>
      <xdr:row>300</xdr:row>
      <xdr:rowOff>156881</xdr:rowOff>
    </xdr:from>
    <xdr:to>
      <xdr:col>11</xdr:col>
      <xdr:colOff>336179</xdr:colOff>
      <xdr:row>306</xdr:row>
      <xdr:rowOff>81352</xdr:rowOff>
    </xdr:to>
    <xdr:pic>
      <xdr:nvPicPr>
        <xdr:cNvPr id="9" name="Image 8"/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51" t="10967" r="8223" b="3788"/>
        <a:stretch/>
      </xdr:blipFill>
      <xdr:spPr>
        <a:xfrm>
          <a:off x="6174443" y="57306881"/>
          <a:ext cx="867336" cy="1067471"/>
        </a:xfrm>
        <a:prstGeom prst="rect">
          <a:avLst/>
        </a:prstGeom>
      </xdr:spPr>
    </xdr:pic>
    <xdr:clientData/>
  </xdr:twoCellAnchor>
  <xdr:twoCellAnchor editAs="oneCell">
    <xdr:from>
      <xdr:col>10</xdr:col>
      <xdr:colOff>35717</xdr:colOff>
      <xdr:row>319</xdr:row>
      <xdr:rowOff>186298</xdr:rowOff>
    </xdr:from>
    <xdr:to>
      <xdr:col>10</xdr:col>
      <xdr:colOff>453136</xdr:colOff>
      <xdr:row>325</xdr:row>
      <xdr:rowOff>122964</xdr:rowOff>
    </xdr:to>
    <xdr:pic>
      <xdr:nvPicPr>
        <xdr:cNvPr id="10" name="Image 9"/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010" t="5006" r="8763" b="2735"/>
        <a:stretch/>
      </xdr:blipFill>
      <xdr:spPr>
        <a:xfrm>
          <a:off x="6131717" y="60955798"/>
          <a:ext cx="417419" cy="1079666"/>
        </a:xfrm>
        <a:prstGeom prst="rect">
          <a:avLst/>
        </a:prstGeom>
      </xdr:spPr>
    </xdr:pic>
    <xdr:clientData/>
  </xdr:twoCellAnchor>
  <xdr:twoCellAnchor editAs="oneCell">
    <xdr:from>
      <xdr:col>9</xdr:col>
      <xdr:colOff>666749</xdr:colOff>
      <xdr:row>339</xdr:row>
      <xdr:rowOff>182663</xdr:rowOff>
    </xdr:from>
    <xdr:to>
      <xdr:col>12</xdr:col>
      <xdr:colOff>278745</xdr:colOff>
      <xdr:row>347</xdr:row>
      <xdr:rowOff>72434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5999" y="64762163"/>
          <a:ext cx="1724164" cy="1413771"/>
        </a:xfrm>
        <a:prstGeom prst="rect">
          <a:avLst/>
        </a:prstGeom>
      </xdr:spPr>
    </xdr:pic>
    <xdr:clientData/>
  </xdr:twoCellAnchor>
  <xdr:twoCellAnchor editAs="oneCell">
    <xdr:from>
      <xdr:col>10</xdr:col>
      <xdr:colOff>156882</xdr:colOff>
      <xdr:row>361</xdr:row>
      <xdr:rowOff>100854</xdr:rowOff>
    </xdr:from>
    <xdr:to>
      <xdr:col>10</xdr:col>
      <xdr:colOff>799772</xdr:colOff>
      <xdr:row>371</xdr:row>
      <xdr:rowOff>134471</xdr:rowOff>
    </xdr:to>
    <xdr:pic>
      <xdr:nvPicPr>
        <xdr:cNvPr id="12" name="Image 11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2882" y="68871354"/>
          <a:ext cx="452390" cy="1938617"/>
        </a:xfrm>
        <a:prstGeom prst="rect">
          <a:avLst/>
        </a:prstGeom>
      </xdr:spPr>
    </xdr:pic>
    <xdr:clientData/>
  </xdr:twoCellAnchor>
  <xdr:twoCellAnchor editAs="oneCell">
    <xdr:from>
      <xdr:col>9</xdr:col>
      <xdr:colOff>537884</xdr:colOff>
      <xdr:row>385</xdr:row>
      <xdr:rowOff>44824</xdr:rowOff>
    </xdr:from>
    <xdr:to>
      <xdr:col>11</xdr:col>
      <xdr:colOff>250474</xdr:colOff>
      <xdr:row>390</xdr:row>
      <xdr:rowOff>89647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4284" y="73387324"/>
          <a:ext cx="931790" cy="99732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422</xdr:row>
      <xdr:rowOff>123266</xdr:rowOff>
    </xdr:from>
    <xdr:to>
      <xdr:col>11</xdr:col>
      <xdr:colOff>1</xdr:colOff>
      <xdr:row>429</xdr:row>
      <xdr:rowOff>169933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1" y="80514266"/>
          <a:ext cx="609600" cy="1380167"/>
        </a:xfrm>
        <a:prstGeom prst="rect">
          <a:avLst/>
        </a:prstGeom>
      </xdr:spPr>
    </xdr:pic>
    <xdr:clientData/>
  </xdr:twoCellAnchor>
  <xdr:twoCellAnchor editAs="oneCell">
    <xdr:from>
      <xdr:col>9</xdr:col>
      <xdr:colOff>347382</xdr:colOff>
      <xdr:row>461</xdr:row>
      <xdr:rowOff>113194</xdr:rowOff>
    </xdr:from>
    <xdr:to>
      <xdr:col>11</xdr:col>
      <xdr:colOff>241627</xdr:colOff>
      <xdr:row>467</xdr:row>
      <xdr:rowOff>133002</xdr:rowOff>
    </xdr:to>
    <xdr:pic>
      <xdr:nvPicPr>
        <xdr:cNvPr id="15" name="Image 14"/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0" t="6220" b="5157"/>
        <a:stretch/>
      </xdr:blipFill>
      <xdr:spPr>
        <a:xfrm>
          <a:off x="5833782" y="87933694"/>
          <a:ext cx="1113445" cy="1162808"/>
        </a:xfrm>
        <a:prstGeom prst="rect">
          <a:avLst/>
        </a:prstGeom>
      </xdr:spPr>
    </xdr:pic>
    <xdr:clientData/>
  </xdr:twoCellAnchor>
  <xdr:twoCellAnchor editAs="oneCell">
    <xdr:from>
      <xdr:col>9</xdr:col>
      <xdr:colOff>728382</xdr:colOff>
      <xdr:row>480</xdr:row>
      <xdr:rowOff>179294</xdr:rowOff>
    </xdr:from>
    <xdr:to>
      <xdr:col>10</xdr:col>
      <xdr:colOff>566596</xdr:colOff>
      <xdr:row>487</xdr:row>
      <xdr:rowOff>141030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00482" y="91619294"/>
          <a:ext cx="562114" cy="1295236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381004</xdr:colOff>
      <xdr:row>501</xdr:row>
      <xdr:rowOff>112057</xdr:rowOff>
    </xdr:from>
    <xdr:to>
      <xdr:col>11</xdr:col>
      <xdr:colOff>465747</xdr:colOff>
      <xdr:row>515</xdr:row>
      <xdr:rowOff>140782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4" y="95552557"/>
          <a:ext cx="1303943" cy="2695725"/>
        </a:xfrm>
        <a:prstGeom prst="rect">
          <a:avLst/>
        </a:prstGeom>
      </xdr:spPr>
    </xdr:pic>
    <xdr:clientData/>
  </xdr:twoCellAnchor>
  <xdr:twoCellAnchor editAs="oneCell">
    <xdr:from>
      <xdr:col>9</xdr:col>
      <xdr:colOff>112057</xdr:colOff>
      <xdr:row>528</xdr:row>
      <xdr:rowOff>89648</xdr:rowOff>
    </xdr:from>
    <xdr:to>
      <xdr:col>11</xdr:col>
      <xdr:colOff>589659</xdr:colOff>
      <xdr:row>535</xdr:row>
      <xdr:rowOff>134471</xdr:rowOff>
    </xdr:to>
    <xdr:pic>
      <xdr:nvPicPr>
        <xdr:cNvPr id="18" name="Image 17"/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88" t="17074" r="4203" b="2467"/>
        <a:stretch/>
      </xdr:blipFill>
      <xdr:spPr>
        <a:xfrm>
          <a:off x="5598457" y="100673648"/>
          <a:ext cx="1696802" cy="1378323"/>
        </a:xfrm>
        <a:prstGeom prst="rect">
          <a:avLst/>
        </a:prstGeom>
      </xdr:spPr>
    </xdr:pic>
    <xdr:clientData/>
  </xdr:twoCellAnchor>
  <xdr:twoCellAnchor editAs="oneCell">
    <xdr:from>
      <xdr:col>9</xdr:col>
      <xdr:colOff>369794</xdr:colOff>
      <xdr:row>548</xdr:row>
      <xdr:rowOff>12231</xdr:rowOff>
    </xdr:from>
    <xdr:to>
      <xdr:col>11</xdr:col>
      <xdr:colOff>131740</xdr:colOff>
      <xdr:row>555</xdr:row>
      <xdr:rowOff>145677</xdr:rowOff>
    </xdr:to>
    <xdr:pic>
      <xdr:nvPicPr>
        <xdr:cNvPr id="19" name="Image 18"/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88" b="2312"/>
        <a:stretch/>
      </xdr:blipFill>
      <xdr:spPr>
        <a:xfrm>
          <a:off x="5856194" y="104406231"/>
          <a:ext cx="981146" cy="1466946"/>
        </a:xfrm>
        <a:prstGeom prst="rect">
          <a:avLst/>
        </a:prstGeom>
      </xdr:spPr>
    </xdr:pic>
    <xdr:clientData/>
  </xdr:twoCellAnchor>
  <xdr:twoCellAnchor editAs="oneCell">
    <xdr:from>
      <xdr:col>10</xdr:col>
      <xdr:colOff>94642</xdr:colOff>
      <xdr:row>589</xdr:row>
      <xdr:rowOff>22411</xdr:rowOff>
    </xdr:from>
    <xdr:to>
      <xdr:col>11</xdr:col>
      <xdr:colOff>230285</xdr:colOff>
      <xdr:row>601</xdr:row>
      <xdr:rowOff>134473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0642" y="112226911"/>
          <a:ext cx="745243" cy="2398062"/>
        </a:xfrm>
        <a:prstGeom prst="rect">
          <a:avLst/>
        </a:prstGeom>
      </xdr:spPr>
    </xdr:pic>
    <xdr:clientData/>
  </xdr:twoCellAnchor>
  <xdr:twoCellAnchor editAs="oneCell">
    <xdr:from>
      <xdr:col>9</xdr:col>
      <xdr:colOff>448237</xdr:colOff>
      <xdr:row>674</xdr:row>
      <xdr:rowOff>145676</xdr:rowOff>
    </xdr:from>
    <xdr:to>
      <xdr:col>10</xdr:col>
      <xdr:colOff>588021</xdr:colOff>
      <xdr:row>681</xdr:row>
      <xdr:rowOff>89646</xdr:rowOff>
    </xdr:to>
    <xdr:pic>
      <xdr:nvPicPr>
        <xdr:cNvPr id="21" name="Image 20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637" y="128542676"/>
          <a:ext cx="749384" cy="1277470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694</xdr:row>
      <xdr:rowOff>39381</xdr:rowOff>
    </xdr:from>
    <xdr:to>
      <xdr:col>10</xdr:col>
      <xdr:colOff>661147</xdr:colOff>
      <xdr:row>705</xdr:row>
      <xdr:rowOff>161925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059" y="132246381"/>
          <a:ext cx="501463" cy="2218044"/>
        </a:xfrm>
        <a:prstGeom prst="rect">
          <a:avLst/>
        </a:prstGeom>
      </xdr:spPr>
    </xdr:pic>
    <xdr:clientData/>
  </xdr:twoCellAnchor>
  <xdr:twoCellAnchor editAs="oneCell">
    <xdr:from>
      <xdr:col>9</xdr:col>
      <xdr:colOff>347381</xdr:colOff>
      <xdr:row>794</xdr:row>
      <xdr:rowOff>71857</xdr:rowOff>
    </xdr:from>
    <xdr:to>
      <xdr:col>11</xdr:col>
      <xdr:colOff>759196</xdr:colOff>
      <xdr:row>798</xdr:row>
      <xdr:rowOff>167015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3781" y="151328857"/>
          <a:ext cx="1633396" cy="857158"/>
        </a:xfrm>
        <a:prstGeom prst="rect">
          <a:avLst/>
        </a:prstGeom>
      </xdr:spPr>
    </xdr:pic>
    <xdr:clientData/>
  </xdr:twoCellAnchor>
  <xdr:twoCellAnchor editAs="oneCell">
    <xdr:from>
      <xdr:col>9</xdr:col>
      <xdr:colOff>78441</xdr:colOff>
      <xdr:row>814</xdr:row>
      <xdr:rowOff>32478</xdr:rowOff>
    </xdr:from>
    <xdr:to>
      <xdr:col>12</xdr:col>
      <xdr:colOff>564496</xdr:colOff>
      <xdr:row>826</xdr:row>
      <xdr:rowOff>123265</xdr:rowOff>
    </xdr:to>
    <xdr:pic>
      <xdr:nvPicPr>
        <xdr:cNvPr id="24" name="Image 23"/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84" t="3280" b="4392"/>
        <a:stretch/>
      </xdr:blipFill>
      <xdr:spPr>
        <a:xfrm>
          <a:off x="5564841" y="155099478"/>
          <a:ext cx="2360098" cy="2376787"/>
        </a:xfrm>
        <a:prstGeom prst="rect">
          <a:avLst/>
        </a:prstGeom>
      </xdr:spPr>
    </xdr:pic>
    <xdr:clientData/>
  </xdr:twoCellAnchor>
  <xdr:twoCellAnchor editAs="oneCell">
    <xdr:from>
      <xdr:col>9</xdr:col>
      <xdr:colOff>156883</xdr:colOff>
      <xdr:row>869</xdr:row>
      <xdr:rowOff>67236</xdr:rowOff>
    </xdr:from>
    <xdr:to>
      <xdr:col>13</xdr:col>
      <xdr:colOff>480451</xdr:colOff>
      <xdr:row>880</xdr:row>
      <xdr:rowOff>128094</xdr:rowOff>
    </xdr:to>
    <xdr:pic>
      <xdr:nvPicPr>
        <xdr:cNvPr id="25" name="Image 24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3283" y="165611736"/>
          <a:ext cx="2892938" cy="2156358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190500</xdr:colOff>
      <xdr:row>842</xdr:row>
      <xdr:rowOff>164865</xdr:rowOff>
    </xdr:from>
    <xdr:to>
      <xdr:col>13</xdr:col>
      <xdr:colOff>334775</xdr:colOff>
      <xdr:row>853</xdr:row>
      <xdr:rowOff>93568</xdr:rowOff>
    </xdr:to>
    <xdr:pic>
      <xdr:nvPicPr>
        <xdr:cNvPr id="26" name="Image 25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76900" y="160565865"/>
          <a:ext cx="2808895" cy="2024203"/>
        </a:xfrm>
        <a:prstGeom prst="rect">
          <a:avLst/>
        </a:prstGeom>
      </xdr:spPr>
    </xdr:pic>
    <xdr:clientData/>
  </xdr:twoCellAnchor>
  <xdr:twoCellAnchor editAs="oneCell">
    <xdr:from>
      <xdr:col>9</xdr:col>
      <xdr:colOff>39278</xdr:colOff>
      <xdr:row>901</xdr:row>
      <xdr:rowOff>39800</xdr:rowOff>
    </xdr:from>
    <xdr:to>
      <xdr:col>13</xdr:col>
      <xdr:colOff>667449</xdr:colOff>
      <xdr:row>906</xdr:row>
      <xdr:rowOff>140066</xdr:rowOff>
    </xdr:to>
    <xdr:pic>
      <xdr:nvPicPr>
        <xdr:cNvPr id="27" name="Image 26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5678" y="171680300"/>
          <a:ext cx="3116578" cy="1052766"/>
        </a:xfrm>
        <a:prstGeom prst="rect">
          <a:avLst/>
        </a:prstGeom>
      </xdr:spPr>
    </xdr:pic>
    <xdr:clientData/>
  </xdr:twoCellAnchor>
  <xdr:twoCellAnchor editAs="oneCell">
    <xdr:from>
      <xdr:col>9</xdr:col>
      <xdr:colOff>131863</xdr:colOff>
      <xdr:row>924</xdr:row>
      <xdr:rowOff>44361</xdr:rowOff>
    </xdr:from>
    <xdr:to>
      <xdr:col>11</xdr:col>
      <xdr:colOff>781608</xdr:colOff>
      <xdr:row>929</xdr:row>
      <xdr:rowOff>123266</xdr:rowOff>
    </xdr:to>
    <xdr:pic>
      <xdr:nvPicPr>
        <xdr:cNvPr id="28" name="Image 27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8263" y="176066361"/>
          <a:ext cx="1871326" cy="103140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123825</xdr:colOff>
      <xdr:row>1</xdr:row>
      <xdr:rowOff>161925</xdr:rowOff>
    </xdr:from>
    <xdr:to>
      <xdr:col>5</xdr:col>
      <xdr:colOff>671744</xdr:colOff>
      <xdr:row>23</xdr:row>
      <xdr:rowOff>114300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682" b="17682"/>
        <a:stretch/>
      </xdr:blipFill>
      <xdr:spPr>
        <a:xfrm>
          <a:off x="123825" y="352425"/>
          <a:ext cx="4357919" cy="4143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130423</xdr:rowOff>
    </xdr:from>
    <xdr:to>
      <xdr:col>12</xdr:col>
      <xdr:colOff>201271</xdr:colOff>
      <xdr:row>65</xdr:row>
      <xdr:rowOff>190065</xdr:rowOff>
    </xdr:to>
    <xdr:pic>
      <xdr:nvPicPr>
        <xdr:cNvPr id="3" name="Image 2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18565" y="4345858"/>
          <a:ext cx="7108142" cy="93452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12</xdr:col>
      <xdr:colOff>742950</xdr:colOff>
      <xdr:row>107</xdr:row>
      <xdr:rowOff>59642</xdr:rowOff>
    </xdr:to>
    <xdr:pic>
      <xdr:nvPicPr>
        <xdr:cNvPr id="4" name="Image 3">
          <a:hlinkClick xmlns:r="http://schemas.openxmlformats.org/officeDocument/2006/relationships" r:id="rId5"/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335000"/>
          <a:ext cx="9886950" cy="71081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12</xdr:col>
      <xdr:colOff>742950</xdr:colOff>
      <xdr:row>148</xdr:row>
      <xdr:rowOff>59642</xdr:rowOff>
    </xdr:to>
    <xdr:pic>
      <xdr:nvPicPr>
        <xdr:cNvPr id="5" name="Image 4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145500"/>
          <a:ext cx="9886950" cy="7108142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152</xdr:row>
      <xdr:rowOff>27328</xdr:rowOff>
    </xdr:from>
    <xdr:to>
      <xdr:col>13</xdr:col>
      <xdr:colOff>38100</xdr:colOff>
      <xdr:row>189</xdr:row>
      <xdr:rowOff>86970</xdr:rowOff>
    </xdr:to>
    <xdr:pic>
      <xdr:nvPicPr>
        <xdr:cNvPr id="6" name="Image 5">
          <a:hlinkClick xmlns:r="http://schemas.openxmlformats.org/officeDocument/2006/relationships" r:id="rId9"/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46554" y="27593924"/>
          <a:ext cx="7108142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189253</xdr:rowOff>
    </xdr:from>
    <xdr:to>
      <xdr:col>12</xdr:col>
      <xdr:colOff>742950</xdr:colOff>
      <xdr:row>230</xdr:row>
      <xdr:rowOff>60253</xdr:rowOff>
    </xdr:to>
    <xdr:pic>
      <xdr:nvPicPr>
        <xdr:cNvPr id="7" name="Image 6">
          <a:hlinkClick xmlns:r="http://schemas.openxmlformats.org/officeDocument/2006/relationships" r:id="rId11"/>
        </xdr:cNvPr>
        <xdr:cNvPicPr preferRelativeResize="0"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88475" y="35376778"/>
          <a:ext cx="7110000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234</xdr:row>
      <xdr:rowOff>17803</xdr:rowOff>
    </xdr:from>
    <xdr:to>
      <xdr:col>12</xdr:col>
      <xdr:colOff>742950</xdr:colOff>
      <xdr:row>271</xdr:row>
      <xdr:rowOff>79303</xdr:rowOff>
    </xdr:to>
    <xdr:pic>
      <xdr:nvPicPr>
        <xdr:cNvPr id="8" name="Image 7">
          <a:hlinkClick xmlns:r="http://schemas.openxmlformats.org/officeDocument/2006/relationships" r:id="rId13"/>
        </xdr:cNvPr>
        <xdr:cNvPicPr preferRelativeResize="0"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88475" y="43206328"/>
          <a:ext cx="7110000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276</xdr:row>
      <xdr:rowOff>8278</xdr:rowOff>
    </xdr:from>
    <xdr:to>
      <xdr:col>12</xdr:col>
      <xdr:colOff>752475</xdr:colOff>
      <xdr:row>313</xdr:row>
      <xdr:rowOff>67920</xdr:rowOff>
    </xdr:to>
    <xdr:pic>
      <xdr:nvPicPr>
        <xdr:cNvPr id="9" name="Image 8">
          <a:hlinkClick xmlns:r="http://schemas.openxmlformats.org/officeDocument/2006/relationships" r:id="rId15"/>
        </xdr:cNvPr>
        <xdr:cNvPicPr preferRelativeResize="0"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98929" y="51196874"/>
          <a:ext cx="7108142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316</xdr:row>
      <xdr:rowOff>160678</xdr:rowOff>
    </xdr:from>
    <xdr:to>
      <xdr:col>12</xdr:col>
      <xdr:colOff>742950</xdr:colOff>
      <xdr:row>354</xdr:row>
      <xdr:rowOff>31678</xdr:rowOff>
    </xdr:to>
    <xdr:pic>
      <xdr:nvPicPr>
        <xdr:cNvPr id="10" name="Image 9">
          <a:hlinkClick xmlns:r="http://schemas.openxmlformats.org/officeDocument/2006/relationships" r:id="rId17"/>
        </xdr:cNvPr>
        <xdr:cNvPicPr preferRelativeResize="0"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88475" y="58970203"/>
          <a:ext cx="7110000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357</xdr:row>
      <xdr:rowOff>103528</xdr:rowOff>
    </xdr:from>
    <xdr:to>
      <xdr:col>13</xdr:col>
      <xdr:colOff>19050</xdr:colOff>
      <xdr:row>394</xdr:row>
      <xdr:rowOff>163170</xdr:rowOff>
    </xdr:to>
    <xdr:pic>
      <xdr:nvPicPr>
        <xdr:cNvPr id="11" name="Image 10">
          <a:hlinkClick xmlns:r="http://schemas.openxmlformats.org/officeDocument/2006/relationships" r:id="rId19"/>
        </xdr:cNvPr>
        <xdr:cNvPicPr preferRelativeResize="0"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27504" y="66722624"/>
          <a:ext cx="7108142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398</xdr:row>
      <xdr:rowOff>27328</xdr:rowOff>
    </xdr:from>
    <xdr:to>
      <xdr:col>13</xdr:col>
      <xdr:colOff>9525</xdr:colOff>
      <xdr:row>435</xdr:row>
      <xdr:rowOff>86970</xdr:rowOff>
    </xdr:to>
    <xdr:pic>
      <xdr:nvPicPr>
        <xdr:cNvPr id="12" name="Image 11">
          <a:hlinkClick xmlns:r="http://schemas.openxmlformats.org/officeDocument/2006/relationships" r:id="rId21"/>
        </xdr:cNvPr>
        <xdr:cNvPicPr preferRelativeResize="0"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17979" y="74456924"/>
          <a:ext cx="7108142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439</xdr:row>
      <xdr:rowOff>27328</xdr:rowOff>
    </xdr:from>
    <xdr:to>
      <xdr:col>13</xdr:col>
      <xdr:colOff>0</xdr:colOff>
      <xdr:row>476</xdr:row>
      <xdr:rowOff>86970</xdr:rowOff>
    </xdr:to>
    <xdr:pic>
      <xdr:nvPicPr>
        <xdr:cNvPr id="13" name="Image 12">
          <a:hlinkClick xmlns:r="http://schemas.openxmlformats.org/officeDocument/2006/relationships" r:id="rId23"/>
        </xdr:cNvPr>
        <xdr:cNvPicPr preferRelativeResize="0"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08454" y="82267424"/>
          <a:ext cx="7108142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122578</xdr:rowOff>
    </xdr:from>
    <xdr:to>
      <xdr:col>12</xdr:col>
      <xdr:colOff>742950</xdr:colOff>
      <xdr:row>516</xdr:row>
      <xdr:rowOff>182220</xdr:rowOff>
    </xdr:to>
    <xdr:pic>
      <xdr:nvPicPr>
        <xdr:cNvPr id="14" name="Image 13">
          <a:hlinkClick xmlns:r="http://schemas.openxmlformats.org/officeDocument/2006/relationships" r:id="rId25"/>
        </xdr:cNvPr>
        <xdr:cNvPicPr preferRelativeResize="0"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89404" y="89982674"/>
          <a:ext cx="7108142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519</xdr:row>
      <xdr:rowOff>151153</xdr:rowOff>
    </xdr:from>
    <xdr:to>
      <xdr:col>12</xdr:col>
      <xdr:colOff>752475</xdr:colOff>
      <xdr:row>557</xdr:row>
      <xdr:rowOff>22153</xdr:rowOff>
    </xdr:to>
    <xdr:pic>
      <xdr:nvPicPr>
        <xdr:cNvPr id="15" name="Image 14">
          <a:hlinkClick xmlns:r="http://schemas.openxmlformats.org/officeDocument/2006/relationships" r:id="rId27"/>
        </xdr:cNvPr>
        <xdr:cNvPicPr preferRelativeResize="0"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98000" y="97632178"/>
          <a:ext cx="7110000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560</xdr:row>
      <xdr:rowOff>141628</xdr:rowOff>
    </xdr:from>
    <xdr:to>
      <xdr:col>13</xdr:col>
      <xdr:colOff>47625</xdr:colOff>
      <xdr:row>598</xdr:row>
      <xdr:rowOff>10770</xdr:rowOff>
    </xdr:to>
    <xdr:pic>
      <xdr:nvPicPr>
        <xdr:cNvPr id="16" name="Image 15">
          <a:hlinkClick xmlns:r="http://schemas.openxmlformats.org/officeDocument/2006/relationships" r:id="rId29"/>
        </xdr:cNvPr>
        <xdr:cNvPicPr preferRelativeResize="0"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56079" y="105432224"/>
          <a:ext cx="7108142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601</xdr:row>
      <xdr:rowOff>141628</xdr:rowOff>
    </xdr:from>
    <xdr:to>
      <xdr:col>12</xdr:col>
      <xdr:colOff>742950</xdr:colOff>
      <xdr:row>639</xdr:row>
      <xdr:rowOff>10770</xdr:rowOff>
    </xdr:to>
    <xdr:pic>
      <xdr:nvPicPr>
        <xdr:cNvPr id="17" name="Image 16">
          <a:hlinkClick xmlns:r="http://schemas.openxmlformats.org/officeDocument/2006/relationships" r:id="rId31"/>
        </xdr:cNvPr>
        <xdr:cNvPicPr preferRelativeResize="0"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89404" y="113242724"/>
          <a:ext cx="7108142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643</xdr:row>
      <xdr:rowOff>8278</xdr:rowOff>
    </xdr:from>
    <xdr:to>
      <xdr:col>13</xdr:col>
      <xdr:colOff>0</xdr:colOff>
      <xdr:row>680</xdr:row>
      <xdr:rowOff>67920</xdr:rowOff>
    </xdr:to>
    <xdr:pic>
      <xdr:nvPicPr>
        <xdr:cNvPr id="18" name="Image 17">
          <a:hlinkClick xmlns:r="http://schemas.openxmlformats.org/officeDocument/2006/relationships" r:id="rId33"/>
        </xdr:cNvPr>
        <xdr:cNvPicPr preferRelativeResize="0"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08454" y="121110374"/>
          <a:ext cx="7108142" cy="988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683</xdr:row>
      <xdr:rowOff>132103</xdr:rowOff>
    </xdr:from>
    <xdr:to>
      <xdr:col>12</xdr:col>
      <xdr:colOff>752475</xdr:colOff>
      <xdr:row>721</xdr:row>
      <xdr:rowOff>1245</xdr:rowOff>
    </xdr:to>
    <xdr:pic>
      <xdr:nvPicPr>
        <xdr:cNvPr id="19" name="Image 18">
          <a:hlinkClick xmlns:r="http://schemas.openxmlformats.org/officeDocument/2006/relationships" r:id="rId35"/>
        </xdr:cNvPr>
        <xdr:cNvPicPr preferRelativeResize="0"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98929" y="128854199"/>
          <a:ext cx="7108142" cy="98869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214448</xdr:colOff>
      <xdr:row>117</xdr:row>
      <xdr:rowOff>4355</xdr:rowOff>
    </xdr:from>
    <xdr:to>
      <xdr:col>14</xdr:col>
      <xdr:colOff>35719</xdr:colOff>
      <xdr:row>122</xdr:row>
      <xdr:rowOff>297657</xdr:rowOff>
    </xdr:to>
    <xdr:pic>
      <xdr:nvPicPr>
        <xdr:cNvPr id="2" name="Image 1" descr="20160521_152507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l="12459" t="17988" r="18278" b="11345"/>
        <a:stretch>
          <a:fillRect/>
        </a:stretch>
      </xdr:blipFill>
      <xdr:spPr>
        <a:xfrm>
          <a:off x="9727542" y="26507668"/>
          <a:ext cx="3226458" cy="181730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2015_FSAE_eBOM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cost_dynamix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st Summary"/>
      <sheetName val="BOM"/>
    </sheetNames>
    <sheetDataSet>
      <sheetData sheetId="0" refreshError="1"/>
      <sheetData sheetId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st Summary"/>
      <sheetName val="BOM"/>
    </sheetNames>
    <sheetDataSet>
      <sheetData sheetId="0"/>
      <sheetData sheetId="1">
        <row r="1">
          <cell r="B1" t="str">
            <v>Ecole Centrale de Lyon</v>
          </cell>
        </row>
      </sheetData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1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3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B2:K25"/>
  <sheetViews>
    <sheetView tabSelected="1" zoomScale="80" zoomScaleNormal="80" zoomScaleSheetLayoutView="145" workbookViewId="0"/>
  </sheetViews>
  <sheetFormatPr baseColWidth="10" defaultColWidth="9.140625" defaultRowHeight="12.75" x14ac:dyDescent="0.2"/>
  <cols>
    <col min="1" max="1" width="3.140625" style="1" customWidth="1"/>
    <col min="2" max="2" width="30.28515625" style="1" customWidth="1"/>
    <col min="3" max="3" width="26.140625" style="1" customWidth="1"/>
    <col min="4" max="4" width="14.140625" style="1" customWidth="1"/>
    <col min="5" max="5" width="13.140625" style="1" customWidth="1"/>
    <col min="6" max="6" width="11.28515625" style="1" customWidth="1"/>
    <col min="7" max="7" width="14.140625" style="1" customWidth="1"/>
    <col min="8" max="8" width="12.5703125" style="1" customWidth="1"/>
    <col min="9" max="9" width="3.42578125" style="1" customWidth="1"/>
    <col min="10" max="10" width="9.140625" style="1"/>
    <col min="11" max="11" width="11.28515625" style="1" bestFit="1" customWidth="1"/>
    <col min="12" max="16384" width="9.140625" style="1"/>
  </cols>
  <sheetData>
    <row r="2" spans="2:11" ht="20.25" x14ac:dyDescent="0.2">
      <c r="B2" s="1648" t="s">
        <v>19</v>
      </c>
      <c r="C2" s="1648"/>
      <c r="D2" s="1648"/>
      <c r="E2" s="1648"/>
      <c r="F2" s="1648"/>
      <c r="G2" s="1648"/>
      <c r="H2" s="1648"/>
    </row>
    <row r="4" spans="2:11" x14ac:dyDescent="0.2">
      <c r="B4" s="24" t="s">
        <v>18</v>
      </c>
      <c r="C4" s="1649" t="s">
        <v>523</v>
      </c>
      <c r="D4" s="1649"/>
    </row>
    <row r="5" spans="2:11" ht="33" customHeight="1" x14ac:dyDescent="0.2">
      <c r="C5" s="1650" t="s">
        <v>1754</v>
      </c>
      <c r="D5" s="1650"/>
    </row>
    <row r="6" spans="2:11" x14ac:dyDescent="0.2">
      <c r="B6" s="23" t="s">
        <v>17</v>
      </c>
      <c r="D6" s="22" t="s">
        <v>16</v>
      </c>
      <c r="E6" s="21" t="s">
        <v>15</v>
      </c>
      <c r="F6" s="21" t="s">
        <v>14</v>
      </c>
      <c r="G6" s="21" t="s">
        <v>13</v>
      </c>
      <c r="H6" s="21" t="s">
        <v>12</v>
      </c>
    </row>
    <row r="7" spans="2:11" ht="15" x14ac:dyDescent="0.25">
      <c r="B7" s="20"/>
      <c r="C7" s="20" t="s">
        <v>11</v>
      </c>
      <c r="D7" s="19">
        <f>BOM_BR_m</f>
        <v>972.76671146499984</v>
      </c>
      <c r="E7" s="19">
        <f>BOM_BR_p</f>
        <v>196.89175</v>
      </c>
      <c r="F7" s="19">
        <f>BOM_BR_f</f>
        <v>6</v>
      </c>
      <c r="G7" s="19">
        <f>BOM_BR_t</f>
        <v>0.33333333333333331</v>
      </c>
      <c r="H7" s="19">
        <f>BOM_BR_tot</f>
        <v>1175.9917947983336</v>
      </c>
    </row>
    <row r="8" spans="2:11" ht="15" x14ac:dyDescent="0.25">
      <c r="B8" s="18"/>
      <c r="C8" s="18" t="s">
        <v>10</v>
      </c>
      <c r="D8" s="17">
        <f>BOM_EN_m</f>
        <v>2941.5906052056816</v>
      </c>
      <c r="E8" s="17">
        <f>BOM_EN_p</f>
        <v>1598.2153774588344</v>
      </c>
      <c r="F8" s="17">
        <f>BOM_EN_f</f>
        <v>56.027999999999999</v>
      </c>
      <c r="G8" s="17">
        <f>BOM_EN_t</f>
        <v>67.022600000000011</v>
      </c>
      <c r="H8" s="17">
        <f>BOM_EN_tot</f>
        <v>4662.856582664519</v>
      </c>
    </row>
    <row r="9" spans="2:11" ht="15" x14ac:dyDescent="0.25">
      <c r="B9" s="16"/>
      <c r="C9" s="16" t="s">
        <v>9</v>
      </c>
      <c r="D9" s="15">
        <f>BOM_FR_m</f>
        <v>1425.1609976667221</v>
      </c>
      <c r="E9" s="15">
        <f>BOM_FR_p</f>
        <v>2063.0916807835783</v>
      </c>
      <c r="F9" s="15">
        <f>BOM_FR_f</f>
        <v>23.68</v>
      </c>
      <c r="G9" s="15">
        <f>BOM_FR_t</f>
        <v>87.593625000000031</v>
      </c>
      <c r="H9" s="15">
        <f>BOM_FR_tot</f>
        <v>3599.5263034503005</v>
      </c>
    </row>
    <row r="10" spans="2:11" ht="15" x14ac:dyDescent="0.25">
      <c r="B10" s="14"/>
      <c r="C10" s="14" t="s">
        <v>8</v>
      </c>
      <c r="D10" s="13">
        <f>BOM_EL_m</f>
        <v>1510.7659056399998</v>
      </c>
      <c r="E10" s="13">
        <f>BOM_EL_p</f>
        <v>373.70128260000001</v>
      </c>
      <c r="F10" s="13">
        <f>BOM_EL_f</f>
        <v>5.870000000000001</v>
      </c>
      <c r="G10" s="13">
        <f>BOM_EL_t</f>
        <v>7.3513333333333328</v>
      </c>
      <c r="H10" s="13">
        <f>BOM_EL_tot</f>
        <v>1897.6885215733332</v>
      </c>
    </row>
    <row r="11" spans="2:11" ht="15" x14ac:dyDescent="0.25">
      <c r="B11" s="12"/>
      <c r="C11" s="12" t="s">
        <v>7</v>
      </c>
      <c r="D11" s="11">
        <f>BOM_MS_m</f>
        <v>170.21674200799998</v>
      </c>
      <c r="E11" s="11">
        <f>BOM_MS_p</f>
        <v>278.74825000000004</v>
      </c>
      <c r="F11" s="11">
        <f>BOM_MS_f</f>
        <v>7.8800000000000008</v>
      </c>
      <c r="G11" s="11">
        <f>BOM_MS_t</f>
        <v>14.799999999999999</v>
      </c>
      <c r="H11" s="11">
        <f>BOM_MS_tot</f>
        <v>471.64499200800003</v>
      </c>
    </row>
    <row r="12" spans="2:11" ht="15" x14ac:dyDescent="0.25">
      <c r="B12" s="10"/>
      <c r="C12" s="10" t="s">
        <v>6</v>
      </c>
      <c r="D12" s="9">
        <f>BOM_ST_m</f>
        <v>575.65091695972853</v>
      </c>
      <c r="E12" s="9">
        <f>BOM_ST_p</f>
        <v>136.82562401652837</v>
      </c>
      <c r="F12" s="9">
        <f>BOM_ST_f</f>
        <v>3.3600000000000003</v>
      </c>
      <c r="G12" s="9">
        <f>BOM_ST_t</f>
        <v>9.8333333333333339</v>
      </c>
      <c r="H12" s="9">
        <f>BOM_ST_tot</f>
        <v>725.66987430959023</v>
      </c>
    </row>
    <row r="13" spans="2:11" ht="15" x14ac:dyDescent="0.25">
      <c r="B13" s="8"/>
      <c r="C13" s="8" t="s">
        <v>5</v>
      </c>
      <c r="D13" s="7">
        <f>BOM_SU_m</f>
        <v>1868.9721493890618</v>
      </c>
      <c r="E13" s="7">
        <f>BOM_SU_p</f>
        <v>949.59754929047904</v>
      </c>
      <c r="F13" s="7">
        <f>BOM_SU_f</f>
        <v>53.056846045923749</v>
      </c>
      <c r="G13" s="7">
        <f>BOM_SU_t</f>
        <v>19.333333333333332</v>
      </c>
      <c r="H13" s="7">
        <f>BOM_SU_tot</f>
        <v>2890.9598780587976</v>
      </c>
    </row>
    <row r="14" spans="2:11" ht="15" x14ac:dyDescent="0.25">
      <c r="B14" s="6"/>
      <c r="C14" s="6" t="s">
        <v>4</v>
      </c>
      <c r="D14" s="5">
        <f>BOM_WT_m</f>
        <v>1764.5123973813304</v>
      </c>
      <c r="E14" s="5">
        <f>BOM_WT_p</f>
        <v>363.82000000000005</v>
      </c>
      <c r="F14" s="5">
        <f>BOM_WT_f</f>
        <v>60.32</v>
      </c>
      <c r="G14" s="5">
        <f>BOM_WT_t</f>
        <v>20</v>
      </c>
      <c r="H14" s="5">
        <f>BOM_WT_tot</f>
        <v>2208.652397381331</v>
      </c>
    </row>
    <row r="16" spans="2:11" ht="13.5" thickBot="1" x14ac:dyDescent="0.25">
      <c r="B16" s="4"/>
      <c r="C16" s="4" t="s">
        <v>3</v>
      </c>
      <c r="D16" s="3">
        <f>SUM(D7:D14)</f>
        <v>11229.636425715522</v>
      </c>
      <c r="E16" s="3">
        <f>SUM(E7:E14)</f>
        <v>5960.8915141494199</v>
      </c>
      <c r="F16" s="3">
        <f>SUM(F7:F14)</f>
        <v>216.19484604592373</v>
      </c>
      <c r="G16" s="3">
        <f>SUM(G7:G14)</f>
        <v>226.2675583333334</v>
      </c>
      <c r="H16" s="3">
        <f>SUM(H7:H14)</f>
        <v>17632.990344244205</v>
      </c>
      <c r="K16" s="2"/>
    </row>
    <row r="17" spans="2:11" ht="13.5" thickTop="1" x14ac:dyDescent="0.2">
      <c r="K17" s="2"/>
    </row>
    <row r="19" spans="2:11" x14ac:dyDescent="0.2">
      <c r="B19" s="1" t="s">
        <v>2</v>
      </c>
    </row>
    <row r="24" spans="2:11" x14ac:dyDescent="0.2">
      <c r="F24" s="1" t="s">
        <v>1</v>
      </c>
    </row>
    <row r="25" spans="2:11" x14ac:dyDescent="0.2">
      <c r="F25" s="1" t="s">
        <v>0</v>
      </c>
    </row>
  </sheetData>
  <mergeCells count="3">
    <mergeCell ref="B2:H2"/>
    <mergeCell ref="C4:D4"/>
    <mergeCell ref="C5:D5"/>
  </mergeCells>
  <conditionalFormatting sqref="C4:D4">
    <cfRule type="cellIs" dxfId="1" priority="2" stopIfTrue="1" operator="equal">
      <formula>0</formula>
    </cfRule>
  </conditionalFormatting>
  <conditionalFormatting sqref="C5:D5">
    <cfRule type="expression" dxfId="0" priority="1" stopIfTrue="1">
      <formula>$C$4=0</formula>
    </cfRule>
  </conditionalFormatting>
  <pageMargins left="0.79" right="0.38" top="0.38" bottom="0.27" header="0.3" footer="0.2"/>
  <pageSetup paperSize="9" scale="81" fitToHeight="0" orientation="portrait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683"/>
  <sheetViews>
    <sheetView zoomScale="80" zoomScaleNormal="80" workbookViewId="0"/>
  </sheetViews>
  <sheetFormatPr baseColWidth="10" defaultRowHeight="15" x14ac:dyDescent="0.25"/>
  <cols>
    <col min="1" max="1" width="14" style="89" customWidth="1"/>
    <col min="2" max="16384" width="11.42578125" style="89"/>
  </cols>
  <sheetData>
    <row r="1" spans="1:2" x14ac:dyDescent="0.25">
      <c r="A1" s="547" t="s">
        <v>1087</v>
      </c>
      <c r="B1" s="547" t="str">
        <f>FR_A0001</f>
        <v>FR A0001</v>
      </c>
    </row>
    <row r="27" spans="1:2" x14ac:dyDescent="0.25">
      <c r="A27" s="547" t="s">
        <v>1087</v>
      </c>
      <c r="B27" s="547" t="str">
        <f>FR_04001</f>
        <v>FR 04001</v>
      </c>
    </row>
    <row r="69" spans="1:2" x14ac:dyDescent="0.25">
      <c r="A69" s="89" t="s">
        <v>1087</v>
      </c>
      <c r="B69" s="547" t="str">
        <f>FR_04002</f>
        <v>FR 04002</v>
      </c>
    </row>
    <row r="110" spans="1:2" x14ac:dyDescent="0.25">
      <c r="A110" s="89" t="s">
        <v>1087</v>
      </c>
      <c r="B110" s="547" t="str">
        <f>FR_04003</f>
        <v>FR 04003</v>
      </c>
    </row>
    <row r="151" spans="1:2" x14ac:dyDescent="0.25">
      <c r="A151" s="89" t="s">
        <v>1087</v>
      </c>
      <c r="B151" s="547" t="str">
        <f>FR_04004</f>
        <v>FR 04004</v>
      </c>
    </row>
    <row r="192" spans="1:2" x14ac:dyDescent="0.25">
      <c r="A192" s="89" t="s">
        <v>1087</v>
      </c>
      <c r="B192" s="547" t="str">
        <f>FR_04007</f>
        <v>FR 04007</v>
      </c>
    </row>
    <row r="233" spans="1:2" x14ac:dyDescent="0.25">
      <c r="A233" s="89" t="s">
        <v>1087</v>
      </c>
      <c r="B233" s="547" t="str">
        <f>FR_04008</f>
        <v>FR 04008</v>
      </c>
    </row>
    <row r="275" spans="1:2" x14ac:dyDescent="0.25">
      <c r="A275" s="89" t="s">
        <v>1087</v>
      </c>
      <c r="B275" s="547" t="str">
        <f>FR_04009</f>
        <v>FR 04009</v>
      </c>
    </row>
    <row r="316" spans="1:2" x14ac:dyDescent="0.25">
      <c r="A316" s="89" t="s">
        <v>1087</v>
      </c>
      <c r="B316" s="547" t="str">
        <f>FR_04010</f>
        <v>FR 04010</v>
      </c>
    </row>
    <row r="357" spans="1:2" x14ac:dyDescent="0.25">
      <c r="A357" s="89" t="s">
        <v>1087</v>
      </c>
      <c r="B357" s="547" t="str">
        <f>FR_04011</f>
        <v>FR 04011</v>
      </c>
    </row>
    <row r="397" spans="1:2" x14ac:dyDescent="0.25">
      <c r="A397" s="89" t="s">
        <v>1087</v>
      </c>
      <c r="B397" s="547" t="str">
        <f>FR_04012</f>
        <v>FR 04012</v>
      </c>
    </row>
    <row r="438" spans="1:2" x14ac:dyDescent="0.25">
      <c r="A438" s="89" t="s">
        <v>1087</v>
      </c>
      <c r="B438" s="547" t="str">
        <f>FR_04013</f>
        <v>FR 04013</v>
      </c>
    </row>
    <row r="479" spans="1:2" x14ac:dyDescent="0.25">
      <c r="A479" s="89" t="s">
        <v>1087</v>
      </c>
      <c r="B479" s="547" t="str">
        <f>FR_04015</f>
        <v>FR 04015</v>
      </c>
    </row>
    <row r="519" spans="1:2" x14ac:dyDescent="0.25">
      <c r="A519" s="89" t="s">
        <v>1087</v>
      </c>
      <c r="B519" s="547" t="str">
        <f>FR_04017</f>
        <v>FR 04017</v>
      </c>
    </row>
    <row r="560" spans="1:2" x14ac:dyDescent="0.25">
      <c r="A560" s="89" t="s">
        <v>1087</v>
      </c>
      <c r="B560" s="547" t="str">
        <f>FR_04018</f>
        <v>FR 04018</v>
      </c>
    </row>
    <row r="601" spans="1:2" x14ac:dyDescent="0.25">
      <c r="A601" s="89" t="s">
        <v>1087</v>
      </c>
      <c r="B601" s="547" t="str">
        <f>FR_04019</f>
        <v>FR 04019</v>
      </c>
    </row>
    <row r="642" spans="1:2" x14ac:dyDescent="0.25">
      <c r="A642" s="89" t="s">
        <v>1087</v>
      </c>
      <c r="B642" s="547" t="str">
        <f>FR_05001</f>
        <v>FR 05001</v>
      </c>
    </row>
    <row r="683" spans="1:2" x14ac:dyDescent="0.25">
      <c r="A683" s="89" t="s">
        <v>1087</v>
      </c>
      <c r="B683" s="547" t="str">
        <f>FR_05005</f>
        <v>FR 05005</v>
      </c>
    </row>
  </sheetData>
  <hyperlinks>
    <hyperlink ref="A1" location="EL_01001" display="Drawing part :"/>
    <hyperlink ref="B1" location="FR_A0001" display="FR_A0001"/>
    <hyperlink ref="A27" location="EL_01001" display="Drawing part :"/>
    <hyperlink ref="B27" location="FR_04001" display="FR_04001"/>
    <hyperlink ref="B69" location="FR_04002" display="FR_04002"/>
    <hyperlink ref="B110" location="FR_04003" display="FR_04003"/>
    <hyperlink ref="B151" location="FR_04004" display="FR_04004"/>
    <hyperlink ref="B192" location="FR_04007" display="FR_04007"/>
    <hyperlink ref="B233" location="FR_04008" display="FR_04008"/>
    <hyperlink ref="B275" location="FR_04009" display="FR_04009"/>
    <hyperlink ref="B316" location="FR_04010" display="FR_04010"/>
    <hyperlink ref="B357" location="FR_04011" display="FR_04011"/>
    <hyperlink ref="B397" location="FR_04012" display="FR_04012"/>
    <hyperlink ref="B438" location="FR_04013" display="FR_04013"/>
    <hyperlink ref="B479" location="FR_04015" display="FR_04015"/>
    <hyperlink ref="B519" location="FR_04017" display="FR_04017"/>
    <hyperlink ref="B560" location="FR_04018" display="FR_04018"/>
    <hyperlink ref="B601" location="FR_04019" display="FR_04019"/>
    <hyperlink ref="B642" location="FR_05001" display="FR_05001"/>
    <hyperlink ref="B683" location="FR_05005" display="FR_05005"/>
  </hyperlinks>
  <pageMargins left="0.7" right="0.7" top="0.75" bottom="0.75" header="0.3" footer="0.3"/>
  <pageSetup paperSize="9" scale="53" fitToHeight="0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E46C0A"/>
    <pageSetUpPr fitToPage="1"/>
  </sheetPr>
  <dimension ref="A1:O330"/>
  <sheetViews>
    <sheetView zoomScale="80" zoomScaleNormal="80" workbookViewId="0"/>
  </sheetViews>
  <sheetFormatPr baseColWidth="10" defaultColWidth="9.140625" defaultRowHeight="15" x14ac:dyDescent="0.25"/>
  <cols>
    <col min="1" max="1" width="12.7109375" style="89" customWidth="1"/>
    <col min="2" max="2" width="32.28515625" style="245" customWidth="1"/>
    <col min="3" max="3" width="31.28515625" style="245" customWidth="1"/>
    <col min="4" max="4" width="13.28515625" style="89" customWidth="1"/>
    <col min="5" max="5" width="16.85546875" style="89" customWidth="1"/>
    <col min="6" max="13" width="9.140625" style="89"/>
    <col min="14" max="14" width="14.5703125" style="89" customWidth="1"/>
    <col min="15" max="15" width="5.28515625" style="89" customWidth="1"/>
    <col min="16" max="16384" width="9.140625" style="89"/>
  </cols>
  <sheetData>
    <row r="1" spans="1:15" x14ac:dyDescent="0.25">
      <c r="A1" s="141"/>
      <c r="B1" s="1204"/>
      <c r="C1" s="1204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1199" t="s">
        <v>57</v>
      </c>
      <c r="B2" s="1149" t="s">
        <v>127</v>
      </c>
      <c r="C2" s="142"/>
      <c r="D2" s="94"/>
      <c r="E2" s="94"/>
      <c r="F2" s="94"/>
      <c r="G2" s="94"/>
      <c r="H2" s="94"/>
      <c r="I2" s="94"/>
      <c r="J2" s="1199" t="s">
        <v>51</v>
      </c>
      <c r="K2" s="138">
        <v>81</v>
      </c>
      <c r="L2" s="94"/>
      <c r="M2" s="1199" t="s">
        <v>126</v>
      </c>
      <c r="N2" s="100">
        <f>E15+EL_A0001_m+EL_A0001_p+EL_A0001_f+EL_A0001_t</f>
        <v>582.14967153999987</v>
      </c>
      <c r="O2" s="93"/>
    </row>
    <row r="3" spans="1:15" x14ac:dyDescent="0.25">
      <c r="A3" s="1199" t="s">
        <v>125</v>
      </c>
      <c r="B3" s="1149" t="s">
        <v>1975</v>
      </c>
      <c r="C3" s="142"/>
      <c r="D3" s="94"/>
      <c r="E3" s="94"/>
      <c r="F3" s="94"/>
      <c r="G3" s="94"/>
      <c r="H3" s="94"/>
      <c r="I3" s="94"/>
      <c r="J3" s="94"/>
      <c r="K3" s="94"/>
      <c r="L3" s="94"/>
      <c r="M3" s="1199" t="s">
        <v>124</v>
      </c>
      <c r="N3" s="136">
        <v>1</v>
      </c>
      <c r="O3" s="93"/>
    </row>
    <row r="4" spans="1:15" x14ac:dyDescent="0.25">
      <c r="A4" s="1199" t="s">
        <v>123</v>
      </c>
      <c r="B4" s="142" t="s">
        <v>2116</v>
      </c>
      <c r="C4" s="142"/>
      <c r="D4" s="94"/>
      <c r="E4" s="94"/>
      <c r="F4" s="94"/>
      <c r="G4" s="94"/>
      <c r="H4" s="94"/>
      <c r="I4" s="94"/>
      <c r="J4" s="1202" t="s">
        <v>122</v>
      </c>
      <c r="K4" s="94"/>
      <c r="L4" s="94"/>
      <c r="M4" s="94"/>
      <c r="N4" s="94"/>
      <c r="O4" s="93"/>
    </row>
    <row r="5" spans="1:15" x14ac:dyDescent="0.25">
      <c r="A5" s="1199" t="s">
        <v>121</v>
      </c>
      <c r="B5" s="1203" t="s">
        <v>2115</v>
      </c>
      <c r="C5" s="142"/>
      <c r="D5" s="94"/>
      <c r="E5" s="94"/>
      <c r="F5" s="94"/>
      <c r="G5" s="94"/>
      <c r="H5" s="94"/>
      <c r="I5" s="94"/>
      <c r="J5" s="1202" t="s">
        <v>119</v>
      </c>
      <c r="K5" s="94"/>
      <c r="L5" s="94"/>
      <c r="M5" s="1199" t="s">
        <v>118</v>
      </c>
      <c r="N5" s="100">
        <f>N2*N3</f>
        <v>582.14967153999987</v>
      </c>
      <c r="O5" s="93"/>
    </row>
    <row r="6" spans="1:15" x14ac:dyDescent="0.25">
      <c r="A6" s="1199" t="s">
        <v>117</v>
      </c>
      <c r="B6" s="1149" t="s">
        <v>23</v>
      </c>
      <c r="C6" s="142"/>
      <c r="D6" s="94"/>
      <c r="E6" s="94"/>
      <c r="F6" s="94"/>
      <c r="G6" s="94"/>
      <c r="H6" s="94"/>
      <c r="I6" s="94"/>
      <c r="J6" s="1202" t="s">
        <v>116</v>
      </c>
      <c r="K6" s="94"/>
      <c r="L6" s="94"/>
      <c r="M6" s="94"/>
      <c r="N6" s="94"/>
      <c r="O6" s="93"/>
    </row>
    <row r="7" spans="1:15" x14ac:dyDescent="0.25">
      <c r="A7" s="1199" t="s">
        <v>115</v>
      </c>
      <c r="B7" s="1201" t="s">
        <v>2114</v>
      </c>
      <c r="C7" s="142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107"/>
      <c r="B8" s="142"/>
      <c r="C8" s="142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1199" t="s">
        <v>67</v>
      </c>
      <c r="B9" s="1200" t="s">
        <v>114</v>
      </c>
      <c r="C9" s="1200" t="s">
        <v>113</v>
      </c>
      <c r="D9" s="1199" t="s">
        <v>40</v>
      </c>
      <c r="E9" s="1199" t="s">
        <v>58</v>
      </c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129">
        <v>10</v>
      </c>
      <c r="B10" s="171" t="s">
        <v>2113</v>
      </c>
      <c r="C10" s="1206">
        <f>'EL Parts'!N2</f>
        <v>172.88800000000001</v>
      </c>
      <c r="D10" s="127">
        <f>'EL Parts'!N3</f>
        <v>1</v>
      </c>
      <c r="E10" s="100">
        <f>C10*D10</f>
        <v>172.88800000000001</v>
      </c>
      <c r="F10" s="94"/>
      <c r="G10" s="94"/>
      <c r="H10" s="94"/>
      <c r="I10" s="94"/>
      <c r="J10" s="94"/>
      <c r="K10" s="94"/>
      <c r="L10" s="94"/>
      <c r="M10" s="94"/>
      <c r="N10" s="94"/>
      <c r="O10" s="93"/>
    </row>
    <row r="11" spans="1:15" x14ac:dyDescent="0.25">
      <c r="A11" s="129">
        <v>20</v>
      </c>
      <c r="B11" s="171" t="s">
        <v>2112</v>
      </c>
      <c r="C11" s="1206">
        <f>'EL Parts'!N46</f>
        <v>6.2420643899999995</v>
      </c>
      <c r="D11" s="127">
        <f>'EL Parts'!N47</f>
        <v>1</v>
      </c>
      <c r="E11" s="100">
        <f>C11*D11</f>
        <v>6.2420643899999995</v>
      </c>
      <c r="F11" s="99"/>
      <c r="G11" s="99"/>
      <c r="H11" s="99"/>
      <c r="I11" s="99"/>
      <c r="J11" s="99"/>
      <c r="K11" s="99"/>
      <c r="L11" s="99"/>
      <c r="M11" s="99"/>
      <c r="N11" s="99"/>
      <c r="O11" s="93"/>
    </row>
    <row r="12" spans="1:15" x14ac:dyDescent="0.25">
      <c r="A12" s="129">
        <v>30</v>
      </c>
      <c r="B12" s="171" t="s">
        <v>2111</v>
      </c>
      <c r="C12" s="1206">
        <f>'EL Parts'!N80</f>
        <v>12.841339849999999</v>
      </c>
      <c r="D12" s="127">
        <f>'EL Parts'!N81</f>
        <v>1</v>
      </c>
      <c r="E12" s="100">
        <f>C12*D12</f>
        <v>12.841339849999999</v>
      </c>
      <c r="F12" s="99"/>
      <c r="G12" s="99"/>
      <c r="H12" s="99"/>
      <c r="I12" s="99"/>
      <c r="J12" s="99"/>
      <c r="K12" s="99"/>
      <c r="L12" s="99"/>
      <c r="M12" s="99"/>
      <c r="N12" s="99"/>
      <c r="O12" s="131"/>
    </row>
    <row r="13" spans="1:15" x14ac:dyDescent="0.25">
      <c r="A13" s="129">
        <v>40</v>
      </c>
      <c r="B13" s="171" t="s">
        <v>2110</v>
      </c>
      <c r="C13" s="1206">
        <f>'EL Parts'!N80</f>
        <v>12.841339849999999</v>
      </c>
      <c r="D13" s="127">
        <f>'EL Parts'!N107</f>
        <v>2</v>
      </c>
      <c r="E13" s="100">
        <f>C13*D13</f>
        <v>25.682679699999998</v>
      </c>
      <c r="F13" s="99"/>
      <c r="G13" s="99"/>
      <c r="H13" s="99"/>
      <c r="I13" s="99"/>
      <c r="J13" s="99"/>
      <c r="K13" s="99"/>
      <c r="L13" s="99"/>
      <c r="M13" s="99"/>
      <c r="N13" s="99"/>
      <c r="O13" s="131"/>
    </row>
    <row r="14" spans="1:15" x14ac:dyDescent="0.25">
      <c r="A14" s="129">
        <v>50</v>
      </c>
      <c r="B14" s="171" t="s">
        <v>2109</v>
      </c>
      <c r="C14" s="1206">
        <f>'EL Parts'!N131</f>
        <v>1.9915438000000001</v>
      </c>
      <c r="D14" s="127">
        <f>'EL Parts'!N132</f>
        <v>2</v>
      </c>
      <c r="E14" s="100">
        <f>C14*D14</f>
        <v>3.9830876000000002</v>
      </c>
      <c r="F14" s="99"/>
      <c r="G14" s="99"/>
      <c r="H14" s="99"/>
      <c r="I14" s="99"/>
      <c r="J14" s="99"/>
      <c r="K14" s="99"/>
      <c r="L14" s="99"/>
      <c r="M14" s="99"/>
      <c r="N14" s="99"/>
      <c r="O14" s="131"/>
    </row>
    <row r="15" spans="1:15" x14ac:dyDescent="0.25">
      <c r="A15" s="107"/>
      <c r="B15" s="142"/>
      <c r="C15" s="142"/>
      <c r="D15" s="1197" t="s">
        <v>58</v>
      </c>
      <c r="E15" s="1196">
        <f>SUM(E10:E14)</f>
        <v>221.63717154</v>
      </c>
      <c r="F15" s="99"/>
      <c r="G15" s="99"/>
      <c r="H15" s="99"/>
      <c r="I15" s="99"/>
      <c r="J15" s="99"/>
      <c r="K15" s="99"/>
      <c r="L15" s="99"/>
      <c r="M15" s="99"/>
      <c r="N15" s="99"/>
      <c r="O15" s="93"/>
    </row>
    <row r="16" spans="1:15" x14ac:dyDescent="0.25">
      <c r="A16" s="107"/>
      <c r="B16" s="142"/>
      <c r="C16" s="142"/>
      <c r="D16" s="94"/>
      <c r="E16" s="94"/>
      <c r="F16" s="94"/>
      <c r="G16" s="94"/>
      <c r="H16" s="94"/>
      <c r="I16" s="94"/>
      <c r="J16" s="94"/>
      <c r="K16" s="94"/>
      <c r="L16" s="94"/>
      <c r="M16" s="94"/>
      <c r="N16" s="94"/>
      <c r="O16" s="93"/>
    </row>
    <row r="17" spans="1:15" x14ac:dyDescent="0.25">
      <c r="A17" s="1199" t="s">
        <v>67</v>
      </c>
      <c r="B17" s="1200" t="s">
        <v>112</v>
      </c>
      <c r="C17" s="1200" t="s">
        <v>66</v>
      </c>
      <c r="D17" s="1199" t="s">
        <v>65</v>
      </c>
      <c r="E17" s="1199" t="s">
        <v>81</v>
      </c>
      <c r="F17" s="1199" t="s">
        <v>80</v>
      </c>
      <c r="G17" s="1199" t="s">
        <v>79</v>
      </c>
      <c r="H17" s="1199" t="s">
        <v>78</v>
      </c>
      <c r="I17" s="1199" t="s">
        <v>111</v>
      </c>
      <c r="J17" s="1199" t="s">
        <v>110</v>
      </c>
      <c r="K17" s="1199" t="s">
        <v>109</v>
      </c>
      <c r="L17" s="1199" t="s">
        <v>108</v>
      </c>
      <c r="M17" s="1199" t="s">
        <v>40</v>
      </c>
      <c r="N17" s="1199" t="s">
        <v>58</v>
      </c>
      <c r="O17" s="93"/>
    </row>
    <row r="18" spans="1:15" x14ac:dyDescent="0.25">
      <c r="A18" s="129">
        <v>10</v>
      </c>
      <c r="B18" s="601" t="s">
        <v>2108</v>
      </c>
      <c r="C18" s="601" t="s">
        <v>2107</v>
      </c>
      <c r="D18" s="100">
        <v>4</v>
      </c>
      <c r="E18" s="129"/>
      <c r="F18" s="129" t="s">
        <v>64</v>
      </c>
      <c r="G18" s="129"/>
      <c r="H18" s="200"/>
      <c r="I18" s="202"/>
      <c r="J18" s="201"/>
      <c r="K18" s="200"/>
      <c r="L18" s="200"/>
      <c r="M18" s="200">
        <v>2</v>
      </c>
      <c r="N18" s="100">
        <f t="shared" ref="N18:N25" si="0">M18*D18</f>
        <v>8</v>
      </c>
      <c r="O18" s="93"/>
    </row>
    <row r="19" spans="1:15" ht="30" x14ac:dyDescent="0.25">
      <c r="A19" s="129">
        <v>20</v>
      </c>
      <c r="B19" s="601" t="s">
        <v>2106</v>
      </c>
      <c r="C19" s="601" t="s">
        <v>2105</v>
      </c>
      <c r="D19" s="100">
        <v>12</v>
      </c>
      <c r="E19" s="129"/>
      <c r="F19" s="129" t="s">
        <v>64</v>
      </c>
      <c r="G19" s="129"/>
      <c r="H19" s="200"/>
      <c r="I19" s="248"/>
      <c r="J19" s="247"/>
      <c r="K19" s="200"/>
      <c r="L19" s="249"/>
      <c r="M19" s="200">
        <v>5</v>
      </c>
      <c r="N19" s="100">
        <f t="shared" si="0"/>
        <v>60</v>
      </c>
      <c r="O19" s="93"/>
    </row>
    <row r="20" spans="1:15" x14ac:dyDescent="0.25">
      <c r="A20" s="129">
        <v>30</v>
      </c>
      <c r="B20" s="601" t="s">
        <v>2104</v>
      </c>
      <c r="C20" s="601" t="s">
        <v>2103</v>
      </c>
      <c r="D20" s="100">
        <v>8</v>
      </c>
      <c r="E20" s="129"/>
      <c r="F20" s="129" t="s">
        <v>64</v>
      </c>
      <c r="G20" s="129"/>
      <c r="H20" s="200"/>
      <c r="I20" s="248"/>
      <c r="J20" s="247"/>
      <c r="K20" s="200"/>
      <c r="L20" s="249"/>
      <c r="M20" s="200">
        <v>1</v>
      </c>
      <c r="N20" s="100">
        <f t="shared" si="0"/>
        <v>8</v>
      </c>
      <c r="O20" s="93"/>
    </row>
    <row r="21" spans="1:15" x14ac:dyDescent="0.25">
      <c r="A21" s="129">
        <v>40</v>
      </c>
      <c r="B21" s="601" t="s">
        <v>2102</v>
      </c>
      <c r="C21" s="601" t="s">
        <v>1800</v>
      </c>
      <c r="D21" s="100">
        <v>4</v>
      </c>
      <c r="E21" s="129"/>
      <c r="F21" s="129" t="s">
        <v>64</v>
      </c>
      <c r="G21" s="129"/>
      <c r="H21" s="200"/>
      <c r="I21" s="248"/>
      <c r="J21" s="247"/>
      <c r="K21" s="200"/>
      <c r="L21" s="249"/>
      <c r="M21" s="200">
        <v>1</v>
      </c>
      <c r="N21" s="100">
        <f t="shared" si="0"/>
        <v>4</v>
      </c>
      <c r="O21" s="93"/>
    </row>
    <row r="22" spans="1:15" ht="30" x14ac:dyDescent="0.25">
      <c r="A22" s="129">
        <v>50</v>
      </c>
      <c r="B22" s="601" t="s">
        <v>1804</v>
      </c>
      <c r="C22" s="601" t="s">
        <v>2101</v>
      </c>
      <c r="D22" s="100">
        <v>9.5</v>
      </c>
      <c r="E22" s="129"/>
      <c r="F22" s="129" t="s">
        <v>64</v>
      </c>
      <c r="G22" s="129"/>
      <c r="H22" s="200"/>
      <c r="I22" s="248"/>
      <c r="J22" s="247"/>
      <c r="K22" s="200"/>
      <c r="L22" s="249"/>
      <c r="M22" s="200">
        <v>1</v>
      </c>
      <c r="N22" s="100">
        <f t="shared" si="0"/>
        <v>9.5</v>
      </c>
      <c r="O22" s="93"/>
    </row>
    <row r="23" spans="1:15" ht="45" x14ac:dyDescent="0.25">
      <c r="A23" s="129">
        <v>60</v>
      </c>
      <c r="B23" s="601" t="s">
        <v>2100</v>
      </c>
      <c r="C23" s="601" t="s">
        <v>2099</v>
      </c>
      <c r="D23" s="100">
        <v>25</v>
      </c>
      <c r="E23" s="129"/>
      <c r="F23" s="129" t="s">
        <v>64</v>
      </c>
      <c r="G23" s="129"/>
      <c r="H23" s="200"/>
      <c r="I23" s="248"/>
      <c r="J23" s="247"/>
      <c r="K23" s="200"/>
      <c r="L23" s="249"/>
      <c r="M23" s="200">
        <v>3</v>
      </c>
      <c r="N23" s="100">
        <f t="shared" si="0"/>
        <v>75</v>
      </c>
      <c r="O23" s="93"/>
    </row>
    <row r="24" spans="1:15" ht="30" x14ac:dyDescent="0.25">
      <c r="A24" s="129">
        <v>70</v>
      </c>
      <c r="B24" s="601" t="s">
        <v>2098</v>
      </c>
      <c r="C24" s="601" t="s">
        <v>2097</v>
      </c>
      <c r="D24" s="100">
        <v>20</v>
      </c>
      <c r="E24" s="129"/>
      <c r="F24" s="129" t="s">
        <v>64</v>
      </c>
      <c r="G24" s="129"/>
      <c r="H24" s="200"/>
      <c r="I24" s="248"/>
      <c r="J24" s="247"/>
      <c r="K24" s="200"/>
      <c r="L24" s="249"/>
      <c r="M24" s="200">
        <v>1</v>
      </c>
      <c r="N24" s="100">
        <f t="shared" si="0"/>
        <v>20</v>
      </c>
      <c r="O24" s="93"/>
    </row>
    <row r="25" spans="1:15" ht="30" x14ac:dyDescent="0.25">
      <c r="A25" s="129">
        <v>80</v>
      </c>
      <c r="B25" s="601" t="s">
        <v>2096</v>
      </c>
      <c r="C25" s="601" t="s">
        <v>2095</v>
      </c>
      <c r="D25" s="100">
        <v>5</v>
      </c>
      <c r="E25" s="129"/>
      <c r="F25" s="129" t="s">
        <v>64</v>
      </c>
      <c r="G25" s="129"/>
      <c r="H25" s="200"/>
      <c r="I25" s="248"/>
      <c r="J25" s="247"/>
      <c r="K25" s="200"/>
      <c r="L25" s="249"/>
      <c r="M25" s="200">
        <v>1</v>
      </c>
      <c r="N25" s="100">
        <f t="shared" si="0"/>
        <v>5</v>
      </c>
      <c r="O25" s="93"/>
    </row>
    <row r="26" spans="1:15" ht="30" x14ac:dyDescent="0.25">
      <c r="A26" s="129">
        <v>90</v>
      </c>
      <c r="B26" s="601" t="s">
        <v>1989</v>
      </c>
      <c r="C26" s="601" t="s">
        <v>2094</v>
      </c>
      <c r="D26" s="100">
        <v>3</v>
      </c>
      <c r="E26" s="129">
        <v>5.5</v>
      </c>
      <c r="F26" s="129" t="s">
        <v>345</v>
      </c>
      <c r="G26" s="129"/>
      <c r="H26" s="200"/>
      <c r="I26" s="248"/>
      <c r="J26" s="247"/>
      <c r="K26" s="200"/>
      <c r="L26" s="249"/>
      <c r="M26" s="200">
        <v>1</v>
      </c>
      <c r="N26" s="100">
        <f t="shared" ref="N26:N33" si="1">M26*D26*E26</f>
        <v>16.5</v>
      </c>
      <c r="O26" s="93"/>
    </row>
    <row r="27" spans="1:15" x14ac:dyDescent="0.25">
      <c r="A27" s="129">
        <v>100</v>
      </c>
      <c r="B27" s="601" t="s">
        <v>1990</v>
      </c>
      <c r="C27" s="601" t="s">
        <v>2093</v>
      </c>
      <c r="D27" s="100">
        <v>1</v>
      </c>
      <c r="E27" s="129">
        <v>24</v>
      </c>
      <c r="F27" s="129" t="s">
        <v>345</v>
      </c>
      <c r="G27" s="129"/>
      <c r="H27" s="200"/>
      <c r="I27" s="248"/>
      <c r="J27" s="247"/>
      <c r="K27" s="200"/>
      <c r="L27" s="249"/>
      <c r="M27" s="200">
        <v>1</v>
      </c>
      <c r="N27" s="100">
        <f t="shared" si="1"/>
        <v>24</v>
      </c>
      <c r="O27" s="93"/>
    </row>
    <row r="28" spans="1:15" ht="30" x14ac:dyDescent="0.25">
      <c r="A28" s="129">
        <v>110</v>
      </c>
      <c r="B28" s="601" t="s">
        <v>1948</v>
      </c>
      <c r="C28" s="601" t="s">
        <v>2092</v>
      </c>
      <c r="D28" s="100">
        <v>0.5</v>
      </c>
      <c r="E28" s="129">
        <v>3</v>
      </c>
      <c r="F28" s="129" t="s">
        <v>1934</v>
      </c>
      <c r="G28" s="129"/>
      <c r="H28" s="200"/>
      <c r="I28" s="248"/>
      <c r="J28" s="247"/>
      <c r="K28" s="200"/>
      <c r="L28" s="249"/>
      <c r="M28" s="200">
        <v>7</v>
      </c>
      <c r="N28" s="100">
        <f t="shared" si="1"/>
        <v>10.5</v>
      </c>
      <c r="O28" s="93"/>
    </row>
    <row r="29" spans="1:15" x14ac:dyDescent="0.25">
      <c r="A29" s="129">
        <v>120</v>
      </c>
      <c r="B29" s="601" t="s">
        <v>1948</v>
      </c>
      <c r="C29" s="601" t="s">
        <v>2091</v>
      </c>
      <c r="D29" s="100">
        <v>0.5</v>
      </c>
      <c r="E29" s="129">
        <v>12</v>
      </c>
      <c r="F29" s="129" t="s">
        <v>1934</v>
      </c>
      <c r="G29" s="129"/>
      <c r="H29" s="200"/>
      <c r="I29" s="248"/>
      <c r="J29" s="247"/>
      <c r="K29" s="200"/>
      <c r="L29" s="249"/>
      <c r="M29" s="200">
        <v>3</v>
      </c>
      <c r="N29" s="100">
        <f t="shared" si="1"/>
        <v>18</v>
      </c>
      <c r="O29" s="93"/>
    </row>
    <row r="30" spans="1:15" ht="30" x14ac:dyDescent="0.25">
      <c r="A30" s="129">
        <v>130</v>
      </c>
      <c r="B30" s="601" t="s">
        <v>1948</v>
      </c>
      <c r="C30" s="601" t="s">
        <v>2090</v>
      </c>
      <c r="D30" s="100">
        <v>0.5</v>
      </c>
      <c r="E30" s="129">
        <v>6</v>
      </c>
      <c r="F30" s="129" t="s">
        <v>1934</v>
      </c>
      <c r="G30" s="129"/>
      <c r="H30" s="200"/>
      <c r="I30" s="248"/>
      <c r="J30" s="247"/>
      <c r="K30" s="200"/>
      <c r="L30" s="249"/>
      <c r="M30" s="200">
        <v>3</v>
      </c>
      <c r="N30" s="100">
        <f t="shared" si="1"/>
        <v>9</v>
      </c>
      <c r="O30" s="93"/>
    </row>
    <row r="31" spans="1:15" ht="30" x14ac:dyDescent="0.25">
      <c r="A31" s="129">
        <v>140</v>
      </c>
      <c r="B31" s="601" t="s">
        <v>1948</v>
      </c>
      <c r="C31" s="601" t="s">
        <v>2089</v>
      </c>
      <c r="D31" s="100">
        <v>0.5</v>
      </c>
      <c r="E31" s="129">
        <v>4</v>
      </c>
      <c r="F31" s="129" t="s">
        <v>1934</v>
      </c>
      <c r="G31" s="129"/>
      <c r="H31" s="200"/>
      <c r="I31" s="248"/>
      <c r="J31" s="247"/>
      <c r="K31" s="200"/>
      <c r="L31" s="249"/>
      <c r="M31" s="200">
        <v>4</v>
      </c>
      <c r="N31" s="100">
        <f t="shared" si="1"/>
        <v>8</v>
      </c>
      <c r="O31" s="93"/>
    </row>
    <row r="32" spans="1:15" x14ac:dyDescent="0.25">
      <c r="A32" s="129">
        <v>150</v>
      </c>
      <c r="B32" s="601" t="s">
        <v>1948</v>
      </c>
      <c r="C32" s="601" t="s">
        <v>2088</v>
      </c>
      <c r="D32" s="100">
        <v>0.5</v>
      </c>
      <c r="E32" s="129">
        <v>2</v>
      </c>
      <c r="F32" s="129" t="s">
        <v>1934</v>
      </c>
      <c r="G32" s="129"/>
      <c r="H32" s="200"/>
      <c r="I32" s="248"/>
      <c r="J32" s="247"/>
      <c r="K32" s="200"/>
      <c r="L32" s="249"/>
      <c r="M32" s="200">
        <v>1</v>
      </c>
      <c r="N32" s="100">
        <f t="shared" si="1"/>
        <v>1</v>
      </c>
      <c r="O32" s="93"/>
    </row>
    <row r="33" spans="1:15" x14ac:dyDescent="0.25">
      <c r="A33" s="129">
        <v>160</v>
      </c>
      <c r="B33" s="601" t="s">
        <v>1795</v>
      </c>
      <c r="C33" s="601" t="s">
        <v>1927</v>
      </c>
      <c r="D33" s="100">
        <v>0.5</v>
      </c>
      <c r="E33" s="129">
        <v>0.05</v>
      </c>
      <c r="F33" s="129" t="s">
        <v>345</v>
      </c>
      <c r="G33" s="129"/>
      <c r="H33" s="200"/>
      <c r="I33" s="248"/>
      <c r="J33" s="247"/>
      <c r="K33" s="200"/>
      <c r="L33" s="249"/>
      <c r="M33" s="200">
        <v>1</v>
      </c>
      <c r="N33" s="100">
        <f t="shared" si="1"/>
        <v>2.5000000000000001E-2</v>
      </c>
      <c r="O33" s="93"/>
    </row>
    <row r="34" spans="1:15" x14ac:dyDescent="0.25">
      <c r="A34" s="98"/>
      <c r="B34" s="704"/>
      <c r="C34" s="704"/>
      <c r="D34" s="95"/>
      <c r="E34" s="95"/>
      <c r="F34" s="95"/>
      <c r="G34" s="95"/>
      <c r="H34" s="95"/>
      <c r="I34" s="95"/>
      <c r="J34" s="95"/>
      <c r="K34" s="95"/>
      <c r="L34" s="95"/>
      <c r="M34" s="1199" t="s">
        <v>58</v>
      </c>
      <c r="N34" s="1196">
        <f>SUM(N18:N33)</f>
        <v>276.52499999999998</v>
      </c>
      <c r="O34" s="93"/>
    </row>
    <row r="35" spans="1:15" x14ac:dyDescent="0.25">
      <c r="A35" s="107"/>
      <c r="B35" s="142"/>
      <c r="C35" s="142"/>
      <c r="D35" s="94"/>
      <c r="E35" s="94"/>
      <c r="F35" s="94"/>
      <c r="G35" s="94"/>
      <c r="H35" s="94"/>
      <c r="I35" s="94"/>
      <c r="J35" s="94"/>
      <c r="K35" s="94"/>
      <c r="L35" s="94"/>
      <c r="M35" s="94"/>
      <c r="N35" s="94"/>
      <c r="O35" s="93"/>
    </row>
    <row r="36" spans="1:15" s="245" customFormat="1" x14ac:dyDescent="0.25">
      <c r="A36" s="1199" t="s">
        <v>67</v>
      </c>
      <c r="B36" s="1200" t="s">
        <v>106</v>
      </c>
      <c r="C36" s="1200" t="s">
        <v>66</v>
      </c>
      <c r="D36" s="1199" t="s">
        <v>65</v>
      </c>
      <c r="E36" s="1199" t="s">
        <v>64</v>
      </c>
      <c r="F36" s="1199" t="s">
        <v>40</v>
      </c>
      <c r="G36" s="1199" t="s">
        <v>105</v>
      </c>
      <c r="H36" s="1199" t="s">
        <v>104</v>
      </c>
      <c r="I36" s="1199" t="s">
        <v>58</v>
      </c>
      <c r="J36" s="95"/>
      <c r="K36" s="95"/>
      <c r="L36" s="95"/>
      <c r="M36" s="95"/>
      <c r="N36" s="95"/>
      <c r="O36" s="120"/>
    </row>
    <row r="37" spans="1:15" x14ac:dyDescent="0.25">
      <c r="A37" s="129">
        <v>10</v>
      </c>
      <c r="B37" s="601" t="s">
        <v>103</v>
      </c>
      <c r="C37" s="601" t="s">
        <v>2087</v>
      </c>
      <c r="D37" s="100">
        <v>0.15</v>
      </c>
      <c r="E37" s="129" t="s">
        <v>101</v>
      </c>
      <c r="F37" s="244">
        <v>16.8</v>
      </c>
      <c r="G37" s="244"/>
      <c r="H37" s="244"/>
      <c r="I37" s="100">
        <f t="shared" ref="I37:I69" si="2">IF(H37="",D37*F37,D37*F37*H37)</f>
        <v>2.52</v>
      </c>
      <c r="J37" s="94"/>
      <c r="K37" s="94"/>
      <c r="L37" s="94"/>
      <c r="M37" s="94"/>
      <c r="N37" s="94"/>
      <c r="O37" s="93"/>
    </row>
    <row r="38" spans="1:15" x14ac:dyDescent="0.25">
      <c r="A38" s="129">
        <v>20</v>
      </c>
      <c r="B38" s="555" t="s">
        <v>997</v>
      </c>
      <c r="C38" s="601" t="s">
        <v>2086</v>
      </c>
      <c r="D38" s="100">
        <v>0.11</v>
      </c>
      <c r="E38" s="555" t="s">
        <v>64</v>
      </c>
      <c r="F38" s="244">
        <v>3</v>
      </c>
      <c r="G38" s="129"/>
      <c r="H38" s="129"/>
      <c r="I38" s="100">
        <f t="shared" si="2"/>
        <v>0.33</v>
      </c>
      <c r="J38" s="94"/>
      <c r="K38" s="94"/>
      <c r="L38" s="94"/>
      <c r="M38" s="94"/>
      <c r="N38" s="94"/>
      <c r="O38" s="93"/>
    </row>
    <row r="39" spans="1:15" x14ac:dyDescent="0.25">
      <c r="A39" s="129">
        <v>30</v>
      </c>
      <c r="B39" s="555" t="s">
        <v>2085</v>
      </c>
      <c r="C39" s="601" t="s">
        <v>2084</v>
      </c>
      <c r="D39" s="100">
        <v>0.19</v>
      </c>
      <c r="E39" s="129" t="s">
        <v>64</v>
      </c>
      <c r="F39" s="244">
        <v>1</v>
      </c>
      <c r="G39" s="129"/>
      <c r="H39" s="129"/>
      <c r="I39" s="100">
        <f t="shared" si="2"/>
        <v>0.19</v>
      </c>
      <c r="J39" s="94"/>
      <c r="K39" s="94"/>
      <c r="L39" s="94"/>
      <c r="M39" s="94"/>
      <c r="N39" s="94"/>
      <c r="O39" s="93"/>
    </row>
    <row r="40" spans="1:15" x14ac:dyDescent="0.25">
      <c r="A40" s="129">
        <v>40</v>
      </c>
      <c r="B40" s="555" t="s">
        <v>997</v>
      </c>
      <c r="C40" s="601" t="s">
        <v>2083</v>
      </c>
      <c r="D40" s="100">
        <v>0.11</v>
      </c>
      <c r="E40" s="129" t="s">
        <v>64</v>
      </c>
      <c r="F40" s="244">
        <v>7</v>
      </c>
      <c r="G40" s="129"/>
      <c r="H40" s="129"/>
      <c r="I40" s="100">
        <f t="shared" si="2"/>
        <v>0.77</v>
      </c>
      <c r="J40" s="94"/>
      <c r="K40" s="94"/>
      <c r="L40" s="94"/>
      <c r="M40" s="94"/>
      <c r="N40" s="94"/>
      <c r="O40" s="93"/>
    </row>
    <row r="41" spans="1:15" x14ac:dyDescent="0.25">
      <c r="A41" s="129">
        <v>50</v>
      </c>
      <c r="B41" s="555" t="s">
        <v>374</v>
      </c>
      <c r="C41" s="601" t="s">
        <v>2082</v>
      </c>
      <c r="D41" s="100">
        <v>0.06</v>
      </c>
      <c r="E41" s="129" t="s">
        <v>64</v>
      </c>
      <c r="F41" s="244">
        <v>1</v>
      </c>
      <c r="G41" s="129"/>
      <c r="H41" s="129"/>
      <c r="I41" s="100">
        <f t="shared" si="2"/>
        <v>0.06</v>
      </c>
      <c r="J41" s="94"/>
      <c r="K41" s="94"/>
      <c r="L41" s="94"/>
      <c r="M41" s="94"/>
      <c r="N41" s="94"/>
      <c r="O41" s="93"/>
    </row>
    <row r="42" spans="1:15" x14ac:dyDescent="0.25">
      <c r="A42" s="129">
        <v>60</v>
      </c>
      <c r="B42" s="555" t="s">
        <v>997</v>
      </c>
      <c r="C42" s="601" t="s">
        <v>2081</v>
      </c>
      <c r="D42" s="100">
        <v>0.11</v>
      </c>
      <c r="E42" s="129" t="s">
        <v>64</v>
      </c>
      <c r="F42" s="244">
        <v>1</v>
      </c>
      <c r="G42" s="129"/>
      <c r="H42" s="129"/>
      <c r="I42" s="100">
        <f t="shared" si="2"/>
        <v>0.11</v>
      </c>
      <c r="J42" s="94"/>
      <c r="K42" s="94"/>
      <c r="L42" s="94"/>
      <c r="M42" s="94"/>
      <c r="N42" s="94"/>
      <c r="O42" s="93"/>
    </row>
    <row r="43" spans="1:15" x14ac:dyDescent="0.25">
      <c r="A43" s="129">
        <v>70</v>
      </c>
      <c r="B43" s="555" t="s">
        <v>328</v>
      </c>
      <c r="C43" s="601" t="s">
        <v>2080</v>
      </c>
      <c r="D43" s="100">
        <v>0.5</v>
      </c>
      <c r="E43" s="129" t="s">
        <v>64</v>
      </c>
      <c r="F43" s="244">
        <v>8</v>
      </c>
      <c r="G43" s="129"/>
      <c r="H43" s="129"/>
      <c r="I43" s="100">
        <f t="shared" si="2"/>
        <v>4</v>
      </c>
      <c r="J43" s="94"/>
      <c r="K43" s="94"/>
      <c r="L43" s="94"/>
      <c r="M43" s="94"/>
      <c r="N43" s="94"/>
      <c r="O43" s="93"/>
    </row>
    <row r="44" spans="1:15" x14ac:dyDescent="0.25">
      <c r="A44" s="129">
        <v>80</v>
      </c>
      <c r="B44" s="555" t="s">
        <v>2033</v>
      </c>
      <c r="C44" s="601" t="s">
        <v>2079</v>
      </c>
      <c r="D44" s="100">
        <v>0.25</v>
      </c>
      <c r="E44" s="129" t="s">
        <v>64</v>
      </c>
      <c r="F44" s="244">
        <v>8</v>
      </c>
      <c r="G44" s="129"/>
      <c r="H44" s="129"/>
      <c r="I44" s="100">
        <f t="shared" si="2"/>
        <v>2</v>
      </c>
      <c r="J44" s="94"/>
      <c r="K44" s="94"/>
      <c r="L44" s="94"/>
      <c r="M44" s="94"/>
      <c r="N44" s="94"/>
      <c r="O44" s="93"/>
    </row>
    <row r="45" spans="1:15" x14ac:dyDescent="0.25">
      <c r="A45" s="129">
        <v>90</v>
      </c>
      <c r="B45" s="555" t="s">
        <v>328</v>
      </c>
      <c r="C45" s="601" t="s">
        <v>2078</v>
      </c>
      <c r="D45" s="100">
        <v>0.5</v>
      </c>
      <c r="E45" s="129" t="s">
        <v>64</v>
      </c>
      <c r="F45" s="244">
        <v>10</v>
      </c>
      <c r="G45" s="129"/>
      <c r="H45" s="129"/>
      <c r="I45" s="100">
        <f t="shared" si="2"/>
        <v>5</v>
      </c>
      <c r="J45" s="94"/>
      <c r="K45" s="94"/>
      <c r="L45" s="94"/>
      <c r="M45" s="94"/>
      <c r="N45" s="94"/>
      <c r="O45" s="93"/>
    </row>
    <row r="46" spans="1:15" ht="30" x14ac:dyDescent="0.25">
      <c r="A46" s="129">
        <v>100</v>
      </c>
      <c r="B46" s="555" t="s">
        <v>2033</v>
      </c>
      <c r="C46" s="601" t="s">
        <v>2077</v>
      </c>
      <c r="D46" s="100">
        <v>0.25</v>
      </c>
      <c r="E46" s="129" t="s">
        <v>64</v>
      </c>
      <c r="F46" s="244">
        <v>10</v>
      </c>
      <c r="G46" s="129"/>
      <c r="H46" s="129"/>
      <c r="I46" s="100">
        <f t="shared" si="2"/>
        <v>2.5</v>
      </c>
      <c r="J46" s="94"/>
      <c r="K46" s="94"/>
      <c r="L46" s="94"/>
      <c r="M46" s="94"/>
      <c r="N46" s="94"/>
      <c r="O46" s="93"/>
    </row>
    <row r="47" spans="1:15" x14ac:dyDescent="0.25">
      <c r="A47" s="129">
        <v>110</v>
      </c>
      <c r="B47" s="555" t="s">
        <v>328</v>
      </c>
      <c r="C47" s="601" t="s">
        <v>2076</v>
      </c>
      <c r="D47" s="100">
        <v>0.5</v>
      </c>
      <c r="E47" s="129" t="s">
        <v>64</v>
      </c>
      <c r="F47" s="244">
        <v>2</v>
      </c>
      <c r="G47" s="129"/>
      <c r="H47" s="129"/>
      <c r="I47" s="100">
        <f t="shared" si="2"/>
        <v>1</v>
      </c>
      <c r="J47" s="94"/>
      <c r="K47" s="94"/>
      <c r="L47" s="94"/>
      <c r="M47" s="94"/>
      <c r="N47" s="94"/>
      <c r="O47" s="93"/>
    </row>
    <row r="48" spans="1:15" ht="30" x14ac:dyDescent="0.25">
      <c r="A48" s="129">
        <v>120</v>
      </c>
      <c r="B48" s="555" t="s">
        <v>2033</v>
      </c>
      <c r="C48" s="601" t="s">
        <v>2075</v>
      </c>
      <c r="D48" s="100">
        <v>0.25</v>
      </c>
      <c r="E48" s="129" t="s">
        <v>64</v>
      </c>
      <c r="F48" s="244">
        <v>2</v>
      </c>
      <c r="G48" s="129"/>
      <c r="H48" s="129"/>
      <c r="I48" s="100">
        <f t="shared" si="2"/>
        <v>0.5</v>
      </c>
      <c r="J48" s="94"/>
      <c r="K48" s="94"/>
      <c r="L48" s="94"/>
      <c r="M48" s="94"/>
      <c r="N48" s="94"/>
      <c r="O48" s="93"/>
    </row>
    <row r="49" spans="1:15" x14ac:dyDescent="0.25">
      <c r="A49" s="129">
        <v>130</v>
      </c>
      <c r="B49" s="555" t="s">
        <v>328</v>
      </c>
      <c r="C49" s="601" t="s">
        <v>2074</v>
      </c>
      <c r="D49" s="100">
        <v>0.5</v>
      </c>
      <c r="E49" s="129" t="s">
        <v>64</v>
      </c>
      <c r="F49" s="244">
        <v>2</v>
      </c>
      <c r="G49" s="129"/>
      <c r="H49" s="129"/>
      <c r="I49" s="100">
        <f t="shared" si="2"/>
        <v>1</v>
      </c>
      <c r="J49" s="94"/>
      <c r="K49" s="94"/>
      <c r="L49" s="94"/>
      <c r="M49" s="94"/>
      <c r="N49" s="94"/>
      <c r="O49" s="93"/>
    </row>
    <row r="50" spans="1:15" x14ac:dyDescent="0.25">
      <c r="A50" s="129">
        <v>140</v>
      </c>
      <c r="B50" s="555" t="s">
        <v>1924</v>
      </c>
      <c r="C50" s="601"/>
      <c r="D50" s="100">
        <v>0.08</v>
      </c>
      <c r="E50" s="129" t="s">
        <v>64</v>
      </c>
      <c r="F50" s="244">
        <v>18</v>
      </c>
      <c r="G50" s="129"/>
      <c r="H50" s="129"/>
      <c r="I50" s="100">
        <f t="shared" si="2"/>
        <v>1.44</v>
      </c>
      <c r="J50" s="94"/>
      <c r="K50" s="94"/>
      <c r="L50" s="94"/>
      <c r="M50" s="94"/>
      <c r="N50" s="94"/>
      <c r="O50" s="93"/>
    </row>
    <row r="51" spans="1:15" x14ac:dyDescent="0.25">
      <c r="A51" s="129">
        <v>150</v>
      </c>
      <c r="B51" s="555" t="s">
        <v>1922</v>
      </c>
      <c r="C51" s="601"/>
      <c r="D51" s="100">
        <v>0.08</v>
      </c>
      <c r="E51" s="129" t="s">
        <v>64</v>
      </c>
      <c r="F51" s="244">
        <v>18</v>
      </c>
      <c r="G51" s="129"/>
      <c r="H51" s="129"/>
      <c r="I51" s="100">
        <f t="shared" si="2"/>
        <v>1.44</v>
      </c>
      <c r="J51" s="94"/>
      <c r="K51" s="94"/>
      <c r="L51" s="94"/>
      <c r="M51" s="94"/>
      <c r="N51" s="94"/>
      <c r="O51" s="93"/>
    </row>
    <row r="52" spans="1:15" x14ac:dyDescent="0.25">
      <c r="A52" s="129">
        <v>160</v>
      </c>
      <c r="B52" s="555" t="s">
        <v>1980</v>
      </c>
      <c r="C52" s="601"/>
      <c r="D52" s="100">
        <v>0.36</v>
      </c>
      <c r="E52" s="129" t="s">
        <v>1979</v>
      </c>
      <c r="F52" s="244">
        <v>18</v>
      </c>
      <c r="G52" s="129"/>
      <c r="H52" s="129"/>
      <c r="I52" s="100">
        <f t="shared" si="2"/>
        <v>6.4799999999999995</v>
      </c>
      <c r="J52" s="94"/>
      <c r="K52" s="94"/>
      <c r="L52" s="94"/>
      <c r="M52" s="94"/>
      <c r="N52" s="94"/>
      <c r="O52" s="93"/>
    </row>
    <row r="53" spans="1:15" ht="30" x14ac:dyDescent="0.25">
      <c r="A53" s="129">
        <v>170</v>
      </c>
      <c r="B53" s="555" t="s">
        <v>2073</v>
      </c>
      <c r="C53" s="601" t="s">
        <v>2072</v>
      </c>
      <c r="D53" s="100">
        <v>0.03</v>
      </c>
      <c r="E53" s="129" t="s">
        <v>345</v>
      </c>
      <c r="F53" s="244">
        <v>8</v>
      </c>
      <c r="G53" s="129"/>
      <c r="H53" s="129"/>
      <c r="I53" s="100">
        <f t="shared" si="2"/>
        <v>0.24</v>
      </c>
      <c r="J53" s="94"/>
      <c r="K53" s="94"/>
      <c r="L53" s="94"/>
      <c r="M53" s="94"/>
      <c r="N53" s="94"/>
      <c r="O53" s="93"/>
    </row>
    <row r="54" spans="1:15" x14ac:dyDescent="0.25">
      <c r="A54" s="129">
        <v>180</v>
      </c>
      <c r="B54" s="555" t="s">
        <v>1924</v>
      </c>
      <c r="C54" s="601"/>
      <c r="D54" s="100">
        <v>0.08</v>
      </c>
      <c r="E54" s="129" t="s">
        <v>64</v>
      </c>
      <c r="F54" s="244">
        <v>2</v>
      </c>
      <c r="G54" s="129"/>
      <c r="H54" s="129"/>
      <c r="I54" s="100">
        <f t="shared" si="2"/>
        <v>0.16</v>
      </c>
      <c r="J54" s="94"/>
      <c r="K54" s="94"/>
      <c r="L54" s="94"/>
      <c r="M54" s="94"/>
      <c r="N54" s="94"/>
      <c r="O54" s="93"/>
    </row>
    <row r="55" spans="1:15" x14ac:dyDescent="0.25">
      <c r="A55" s="129">
        <v>190</v>
      </c>
      <c r="B55" s="555" t="s">
        <v>1922</v>
      </c>
      <c r="C55" s="601"/>
      <c r="D55" s="100">
        <v>0.08</v>
      </c>
      <c r="E55" s="129" t="s">
        <v>64</v>
      </c>
      <c r="F55" s="244">
        <v>2</v>
      </c>
      <c r="G55" s="129"/>
      <c r="H55" s="129"/>
      <c r="I55" s="100">
        <f t="shared" si="2"/>
        <v>0.16</v>
      </c>
      <c r="J55" s="94"/>
      <c r="K55" s="94"/>
      <c r="L55" s="94"/>
      <c r="M55" s="94"/>
      <c r="N55" s="94"/>
      <c r="O55" s="93"/>
    </row>
    <row r="56" spans="1:15" x14ac:dyDescent="0.25">
      <c r="A56" s="129">
        <v>200</v>
      </c>
      <c r="B56" s="555" t="s">
        <v>1913</v>
      </c>
      <c r="C56" s="601"/>
      <c r="D56" s="100">
        <v>0.52</v>
      </c>
      <c r="E56" s="129" t="s">
        <v>64</v>
      </c>
      <c r="F56" s="244">
        <v>2</v>
      </c>
      <c r="G56" s="129"/>
      <c r="H56" s="129"/>
      <c r="I56" s="100">
        <f t="shared" si="2"/>
        <v>1.04</v>
      </c>
      <c r="J56" s="94"/>
      <c r="K56" s="94"/>
      <c r="L56" s="94"/>
      <c r="M56" s="94"/>
      <c r="N56" s="94"/>
      <c r="O56" s="93"/>
    </row>
    <row r="57" spans="1:15" x14ac:dyDescent="0.25">
      <c r="A57" s="129">
        <v>210</v>
      </c>
      <c r="B57" s="555" t="s">
        <v>1767</v>
      </c>
      <c r="C57" s="601"/>
      <c r="D57" s="100">
        <v>0.15</v>
      </c>
      <c r="E57" s="129" t="s">
        <v>101</v>
      </c>
      <c r="F57" s="244">
        <v>0.05</v>
      </c>
      <c r="G57" s="129"/>
      <c r="H57" s="129"/>
      <c r="I57" s="100">
        <f t="shared" si="2"/>
        <v>7.4999999999999997E-3</v>
      </c>
      <c r="J57" s="94"/>
      <c r="K57" s="94"/>
      <c r="L57" s="94"/>
      <c r="M57" s="94"/>
      <c r="N57" s="94"/>
      <c r="O57" s="93"/>
    </row>
    <row r="58" spans="1:15" ht="30" x14ac:dyDescent="0.25">
      <c r="A58" s="129">
        <v>220</v>
      </c>
      <c r="B58" s="555" t="s">
        <v>2067</v>
      </c>
      <c r="C58" s="601" t="s">
        <v>2071</v>
      </c>
      <c r="D58" s="100">
        <v>0.02</v>
      </c>
      <c r="E58" s="129" t="s">
        <v>345</v>
      </c>
      <c r="F58" s="244">
        <v>2</v>
      </c>
      <c r="G58" s="129"/>
      <c r="H58" s="129"/>
      <c r="I58" s="100">
        <f t="shared" si="2"/>
        <v>0.04</v>
      </c>
      <c r="J58" s="94"/>
      <c r="K58" s="94"/>
      <c r="L58" s="94"/>
      <c r="M58" s="94"/>
      <c r="N58" s="94"/>
      <c r="O58" s="93"/>
    </row>
    <row r="59" spans="1:15" x14ac:dyDescent="0.25">
      <c r="A59" s="129">
        <v>230</v>
      </c>
      <c r="B59" s="555" t="s">
        <v>1924</v>
      </c>
      <c r="C59" s="601"/>
      <c r="D59" s="100">
        <v>0.08</v>
      </c>
      <c r="E59" s="129" t="s">
        <v>64</v>
      </c>
      <c r="F59" s="244">
        <v>63</v>
      </c>
      <c r="G59" s="129"/>
      <c r="H59" s="129"/>
      <c r="I59" s="100">
        <f t="shared" si="2"/>
        <v>5.04</v>
      </c>
      <c r="J59" s="94"/>
      <c r="K59" s="94"/>
      <c r="L59" s="94"/>
      <c r="M59" s="94"/>
      <c r="N59" s="94"/>
      <c r="O59" s="93"/>
    </row>
    <row r="60" spans="1:15" x14ac:dyDescent="0.25">
      <c r="A60" s="129">
        <v>240</v>
      </c>
      <c r="B60" s="555" t="s">
        <v>1922</v>
      </c>
      <c r="C60" s="601"/>
      <c r="D60" s="100">
        <v>0.08</v>
      </c>
      <c r="E60" s="129" t="s">
        <v>64</v>
      </c>
      <c r="F60" s="244">
        <v>63</v>
      </c>
      <c r="G60" s="129"/>
      <c r="H60" s="129"/>
      <c r="I60" s="100">
        <f t="shared" si="2"/>
        <v>5.04</v>
      </c>
      <c r="J60" s="94"/>
      <c r="K60" s="94"/>
      <c r="L60" s="94"/>
      <c r="M60" s="94"/>
      <c r="N60" s="94"/>
      <c r="O60" s="93"/>
    </row>
    <row r="61" spans="1:15" ht="30" x14ac:dyDescent="0.25">
      <c r="A61" s="129">
        <v>250</v>
      </c>
      <c r="B61" s="555" t="s">
        <v>1980</v>
      </c>
      <c r="C61" s="601" t="s">
        <v>2070</v>
      </c>
      <c r="D61" s="100">
        <v>0.36</v>
      </c>
      <c r="E61" s="129" t="s">
        <v>1979</v>
      </c>
      <c r="F61" s="244">
        <v>42</v>
      </c>
      <c r="G61" s="129"/>
      <c r="H61" s="129"/>
      <c r="I61" s="100">
        <f t="shared" si="2"/>
        <v>15.12</v>
      </c>
      <c r="J61" s="94"/>
      <c r="K61" s="94"/>
      <c r="L61" s="94"/>
      <c r="M61" s="94"/>
      <c r="N61" s="94"/>
      <c r="O61" s="93"/>
    </row>
    <row r="62" spans="1:15" ht="30" x14ac:dyDescent="0.25">
      <c r="A62" s="129">
        <v>260</v>
      </c>
      <c r="B62" s="555" t="s">
        <v>1980</v>
      </c>
      <c r="C62" s="601" t="s">
        <v>2069</v>
      </c>
      <c r="D62" s="100">
        <v>0.36</v>
      </c>
      <c r="E62" s="129" t="s">
        <v>1979</v>
      </c>
      <c r="F62" s="244">
        <v>21</v>
      </c>
      <c r="G62" s="129"/>
      <c r="H62" s="129"/>
      <c r="I62" s="100">
        <f t="shared" si="2"/>
        <v>7.56</v>
      </c>
      <c r="J62" s="94"/>
      <c r="K62" s="94"/>
      <c r="L62" s="94"/>
      <c r="M62" s="94"/>
      <c r="N62" s="94"/>
      <c r="O62" s="93"/>
    </row>
    <row r="63" spans="1:15" x14ac:dyDescent="0.25">
      <c r="A63" s="129">
        <v>270</v>
      </c>
      <c r="B63" s="555" t="s">
        <v>2067</v>
      </c>
      <c r="C63" s="601" t="s">
        <v>2068</v>
      </c>
      <c r="D63" s="100">
        <v>0.02</v>
      </c>
      <c r="E63" s="129" t="s">
        <v>345</v>
      </c>
      <c r="F63" s="244">
        <v>10</v>
      </c>
      <c r="G63" s="129"/>
      <c r="H63" s="129"/>
      <c r="I63" s="100">
        <f t="shared" si="2"/>
        <v>0.2</v>
      </c>
      <c r="J63" s="94"/>
      <c r="K63" s="94"/>
      <c r="L63" s="94"/>
      <c r="M63" s="94"/>
      <c r="N63" s="94"/>
      <c r="O63" s="93"/>
    </row>
    <row r="64" spans="1:15" x14ac:dyDescent="0.25">
      <c r="A64" s="129">
        <v>280</v>
      </c>
      <c r="B64" s="555" t="s">
        <v>1924</v>
      </c>
      <c r="C64" s="601"/>
      <c r="D64" s="100">
        <v>0.08</v>
      </c>
      <c r="E64" s="129" t="s">
        <v>64</v>
      </c>
      <c r="F64" s="244">
        <v>12</v>
      </c>
      <c r="G64" s="129"/>
      <c r="H64" s="129"/>
      <c r="I64" s="100">
        <f t="shared" si="2"/>
        <v>0.96</v>
      </c>
      <c r="J64" s="94"/>
      <c r="K64" s="94"/>
      <c r="L64" s="94"/>
      <c r="M64" s="94"/>
      <c r="N64" s="94"/>
      <c r="O64" s="93"/>
    </row>
    <row r="65" spans="1:15" x14ac:dyDescent="0.25">
      <c r="A65" s="129">
        <v>290</v>
      </c>
      <c r="B65" s="555" t="s">
        <v>1922</v>
      </c>
      <c r="C65" s="601"/>
      <c r="D65" s="100">
        <v>0.08</v>
      </c>
      <c r="E65" s="129" t="s">
        <v>64</v>
      </c>
      <c r="F65" s="244">
        <v>12</v>
      </c>
      <c r="G65" s="129"/>
      <c r="H65" s="129"/>
      <c r="I65" s="100">
        <f t="shared" si="2"/>
        <v>0.96</v>
      </c>
      <c r="J65" s="94"/>
      <c r="K65" s="94"/>
      <c r="L65" s="94"/>
      <c r="M65" s="94"/>
      <c r="N65" s="94"/>
      <c r="O65" s="93"/>
    </row>
    <row r="66" spans="1:15" x14ac:dyDescent="0.25">
      <c r="A66" s="129">
        <v>300</v>
      </c>
      <c r="B66" s="555" t="s">
        <v>1980</v>
      </c>
      <c r="C66" s="601"/>
      <c r="D66" s="100">
        <v>0.36</v>
      </c>
      <c r="E66" s="129" t="s">
        <v>1979</v>
      </c>
      <c r="F66" s="244">
        <v>12</v>
      </c>
      <c r="G66" s="129"/>
      <c r="H66" s="129"/>
      <c r="I66" s="100">
        <f t="shared" si="2"/>
        <v>4.32</v>
      </c>
      <c r="J66" s="94"/>
      <c r="K66" s="94"/>
      <c r="L66" s="94"/>
      <c r="M66" s="94"/>
      <c r="N66" s="94"/>
      <c r="O66" s="93"/>
    </row>
    <row r="67" spans="1:15" ht="30" x14ac:dyDescent="0.25">
      <c r="A67" s="129">
        <v>310</v>
      </c>
      <c r="B67" s="555" t="s">
        <v>2067</v>
      </c>
      <c r="C67" s="601" t="s">
        <v>2066</v>
      </c>
      <c r="D67" s="100">
        <v>0.02</v>
      </c>
      <c r="E67" s="129" t="s">
        <v>345</v>
      </c>
      <c r="F67" s="244">
        <v>1</v>
      </c>
      <c r="G67" s="129"/>
      <c r="H67" s="129"/>
      <c r="I67" s="100">
        <f t="shared" si="2"/>
        <v>0.02</v>
      </c>
      <c r="J67" s="94"/>
      <c r="K67" s="94"/>
      <c r="L67" s="94"/>
      <c r="M67" s="94"/>
      <c r="N67" s="94"/>
      <c r="O67" s="93"/>
    </row>
    <row r="68" spans="1:15" s="254" customFormat="1" x14ac:dyDescent="0.25">
      <c r="A68" s="222">
        <v>320</v>
      </c>
      <c r="B68" s="1628" t="s">
        <v>2065</v>
      </c>
      <c r="C68" s="1629" t="s">
        <v>1903</v>
      </c>
      <c r="D68" s="220">
        <v>0.09</v>
      </c>
      <c r="E68" s="222" t="s">
        <v>64</v>
      </c>
      <c r="F68" s="1630">
        <v>50</v>
      </c>
      <c r="G68" s="222"/>
      <c r="H68" s="222"/>
      <c r="I68" s="220">
        <f t="shared" si="2"/>
        <v>4.5</v>
      </c>
      <c r="J68" s="99"/>
      <c r="K68" s="99"/>
      <c r="L68" s="99"/>
      <c r="M68" s="99"/>
      <c r="N68" s="99"/>
      <c r="O68" s="130"/>
    </row>
    <row r="69" spans="1:15" s="254" customFormat="1" ht="30" x14ac:dyDescent="0.25">
      <c r="A69" s="1497">
        <v>330</v>
      </c>
      <c r="B69" s="555" t="s">
        <v>997</v>
      </c>
      <c r="C69" s="1503" t="s">
        <v>2687</v>
      </c>
      <c r="D69" s="1468">
        <v>0.11</v>
      </c>
      <c r="E69" s="1497" t="s">
        <v>64</v>
      </c>
      <c r="F69" s="1544">
        <v>2</v>
      </c>
      <c r="G69" s="1497"/>
      <c r="H69" s="1497"/>
      <c r="I69" s="1468">
        <f t="shared" si="2"/>
        <v>0.22</v>
      </c>
      <c r="J69" s="99"/>
      <c r="K69" s="99"/>
      <c r="L69" s="99"/>
      <c r="M69" s="99"/>
      <c r="N69" s="99"/>
      <c r="O69" s="130"/>
    </row>
    <row r="70" spans="1:15" x14ac:dyDescent="0.25">
      <c r="A70" s="98"/>
      <c r="B70" s="704"/>
      <c r="C70" s="704"/>
      <c r="D70" s="95"/>
      <c r="E70" s="95"/>
      <c r="F70" s="95"/>
      <c r="G70" s="95"/>
      <c r="H70" s="1210" t="s">
        <v>58</v>
      </c>
      <c r="I70" s="1209">
        <f>SUM(I37:I69)</f>
        <v>74.927499999999995</v>
      </c>
      <c r="J70" s="94"/>
      <c r="K70" s="94"/>
      <c r="L70" s="94"/>
      <c r="M70" s="94"/>
      <c r="N70" s="94"/>
      <c r="O70" s="93"/>
    </row>
    <row r="71" spans="1:15" x14ac:dyDescent="0.25">
      <c r="A71" s="107"/>
      <c r="B71" s="142"/>
      <c r="C71" s="142"/>
      <c r="D71" s="94"/>
      <c r="E71" s="94"/>
      <c r="F71" s="94"/>
      <c r="G71" s="94"/>
      <c r="H71" s="94"/>
      <c r="I71" s="94"/>
      <c r="J71" s="94"/>
      <c r="K71" s="94"/>
      <c r="L71" s="94"/>
      <c r="M71" s="94"/>
      <c r="N71" s="94"/>
      <c r="O71" s="93"/>
    </row>
    <row r="72" spans="1:15" x14ac:dyDescent="0.25">
      <c r="A72" s="1199" t="s">
        <v>67</v>
      </c>
      <c r="B72" s="1200" t="s">
        <v>82</v>
      </c>
      <c r="C72" s="1200" t="s">
        <v>66</v>
      </c>
      <c r="D72" s="1199" t="s">
        <v>65</v>
      </c>
      <c r="E72" s="1199" t="s">
        <v>81</v>
      </c>
      <c r="F72" s="1199" t="s">
        <v>80</v>
      </c>
      <c r="G72" s="1199" t="s">
        <v>79</v>
      </c>
      <c r="H72" s="1199" t="s">
        <v>78</v>
      </c>
      <c r="I72" s="1199" t="s">
        <v>40</v>
      </c>
      <c r="J72" s="1199" t="s">
        <v>58</v>
      </c>
      <c r="K72" s="94"/>
      <c r="L72" s="94"/>
      <c r="M72" s="94"/>
      <c r="N72" s="94"/>
      <c r="O72" s="93"/>
    </row>
    <row r="73" spans="1:15" ht="30" x14ac:dyDescent="0.25">
      <c r="A73" s="129">
        <v>10</v>
      </c>
      <c r="B73" s="601" t="s">
        <v>184</v>
      </c>
      <c r="C73" s="601" t="s">
        <v>2064</v>
      </c>
      <c r="D73" s="553">
        <v>0.05</v>
      </c>
      <c r="E73" s="552">
        <v>5</v>
      </c>
      <c r="F73" s="552" t="s">
        <v>68</v>
      </c>
      <c r="G73" s="552">
        <v>35</v>
      </c>
      <c r="H73" s="552" t="s">
        <v>68</v>
      </c>
      <c r="I73" s="136">
        <v>8</v>
      </c>
      <c r="J73" s="100">
        <f t="shared" ref="J73:J79" si="3">I73*D73</f>
        <v>0.4</v>
      </c>
      <c r="K73" s="94"/>
      <c r="L73" s="94"/>
      <c r="M73" s="94"/>
      <c r="N73" s="94"/>
      <c r="O73" s="93"/>
    </row>
    <row r="74" spans="1:15" x14ac:dyDescent="0.25">
      <c r="A74" s="129">
        <v>20</v>
      </c>
      <c r="B74" s="601" t="s">
        <v>75</v>
      </c>
      <c r="C74" s="601"/>
      <c r="D74" s="553">
        <v>0.02</v>
      </c>
      <c r="E74" s="129">
        <v>5</v>
      </c>
      <c r="F74" s="1132" t="s">
        <v>68</v>
      </c>
      <c r="G74" s="129"/>
      <c r="H74" s="129"/>
      <c r="I74" s="136">
        <v>8</v>
      </c>
      <c r="J74" s="100">
        <f t="shared" si="3"/>
        <v>0.16</v>
      </c>
      <c r="K74" s="94"/>
      <c r="L74" s="94"/>
      <c r="M74" s="94"/>
      <c r="N74" s="94"/>
      <c r="O74" s="93"/>
    </row>
    <row r="75" spans="1:15" ht="30" x14ac:dyDescent="0.25">
      <c r="A75" s="129">
        <v>30</v>
      </c>
      <c r="B75" s="601" t="s">
        <v>184</v>
      </c>
      <c r="C75" s="601" t="s">
        <v>2063</v>
      </c>
      <c r="D75" s="553">
        <v>0.08</v>
      </c>
      <c r="E75" s="129">
        <v>6</v>
      </c>
      <c r="F75" s="1132" t="s">
        <v>68</v>
      </c>
      <c r="G75" s="129">
        <v>35</v>
      </c>
      <c r="H75" s="129" t="s">
        <v>68</v>
      </c>
      <c r="I75" s="136">
        <v>10</v>
      </c>
      <c r="J75" s="100">
        <f t="shared" si="3"/>
        <v>0.8</v>
      </c>
      <c r="K75" s="94"/>
      <c r="L75" s="94"/>
      <c r="M75" s="94"/>
      <c r="N75" s="94"/>
      <c r="O75" s="93"/>
    </row>
    <row r="76" spans="1:15" x14ac:dyDescent="0.25">
      <c r="A76" s="129">
        <v>40</v>
      </c>
      <c r="B76" s="601" t="s">
        <v>75</v>
      </c>
      <c r="C76" s="601"/>
      <c r="D76" s="1131">
        <v>0.03</v>
      </c>
      <c r="E76" s="601">
        <v>6</v>
      </c>
      <c r="F76" s="1130" t="s">
        <v>68</v>
      </c>
      <c r="G76" s="601"/>
      <c r="H76" s="601"/>
      <c r="I76" s="1129">
        <v>10</v>
      </c>
      <c r="J76" s="100">
        <f t="shared" si="3"/>
        <v>0.3</v>
      </c>
      <c r="K76" s="142"/>
      <c r="L76" s="142"/>
      <c r="M76" s="142"/>
      <c r="N76" s="142"/>
      <c r="O76" s="93"/>
    </row>
    <row r="77" spans="1:15" x14ac:dyDescent="0.25">
      <c r="A77" s="129">
        <v>50</v>
      </c>
      <c r="B77" s="601" t="s">
        <v>184</v>
      </c>
      <c r="C77" s="601" t="s">
        <v>2062</v>
      </c>
      <c r="D77" s="1131">
        <v>7.0000000000000007E-2</v>
      </c>
      <c r="E77" s="601">
        <v>6</v>
      </c>
      <c r="F77" s="1130" t="s">
        <v>68</v>
      </c>
      <c r="G77" s="601">
        <v>30</v>
      </c>
      <c r="H77" s="601" t="s">
        <v>68</v>
      </c>
      <c r="I77" s="1129">
        <v>4</v>
      </c>
      <c r="J77" s="100">
        <f t="shared" si="3"/>
        <v>0.28000000000000003</v>
      </c>
      <c r="K77" s="142"/>
      <c r="L77" s="142"/>
      <c r="M77" s="142"/>
      <c r="N77" s="142"/>
      <c r="O77" s="93"/>
    </row>
    <row r="78" spans="1:15" x14ac:dyDescent="0.25">
      <c r="A78" s="129">
        <v>60</v>
      </c>
      <c r="B78" s="601" t="s">
        <v>75</v>
      </c>
      <c r="C78" s="601"/>
      <c r="D78" s="1131">
        <v>0.03</v>
      </c>
      <c r="E78" s="601">
        <v>6</v>
      </c>
      <c r="F78" s="1130" t="s">
        <v>68</v>
      </c>
      <c r="G78" s="601"/>
      <c r="H78" s="601"/>
      <c r="I78" s="1129">
        <v>4</v>
      </c>
      <c r="J78" s="100">
        <f t="shared" si="3"/>
        <v>0.12</v>
      </c>
      <c r="K78" s="142"/>
      <c r="L78" s="142"/>
      <c r="M78" s="142"/>
      <c r="N78" s="142"/>
      <c r="O78" s="93"/>
    </row>
    <row r="79" spans="1:15" x14ac:dyDescent="0.25">
      <c r="A79" s="129">
        <v>70</v>
      </c>
      <c r="B79" s="1198" t="s">
        <v>1757</v>
      </c>
      <c r="C79" s="601" t="s">
        <v>1892</v>
      </c>
      <c r="D79" s="1131">
        <v>0.04</v>
      </c>
      <c r="E79" s="601"/>
      <c r="F79" s="1130"/>
      <c r="G79" s="601"/>
      <c r="H79" s="601"/>
      <c r="I79" s="1129">
        <v>50</v>
      </c>
      <c r="J79" s="100">
        <f t="shared" si="3"/>
        <v>2</v>
      </c>
      <c r="K79" s="142"/>
      <c r="L79" s="142"/>
      <c r="M79" s="142"/>
      <c r="N79" s="142"/>
      <c r="O79" s="93"/>
    </row>
    <row r="80" spans="1:15" x14ac:dyDescent="0.25">
      <c r="A80" s="98"/>
      <c r="B80" s="704"/>
      <c r="C80" s="704"/>
      <c r="D80" s="95"/>
      <c r="E80" s="95"/>
      <c r="F80" s="95"/>
      <c r="G80" s="95"/>
      <c r="H80" s="95"/>
      <c r="I80" s="1197" t="s">
        <v>58</v>
      </c>
      <c r="J80" s="1196">
        <f>SUM(J73:J79)</f>
        <v>4.0600000000000005</v>
      </c>
      <c r="K80" s="94"/>
      <c r="L80" s="94"/>
      <c r="M80" s="94"/>
      <c r="N80" s="94"/>
      <c r="O80" s="93"/>
    </row>
    <row r="81" spans="1:15" x14ac:dyDescent="0.25">
      <c r="A81" s="107"/>
      <c r="B81" s="142"/>
      <c r="C81" s="142"/>
      <c r="D81" s="94"/>
      <c r="E81" s="94"/>
      <c r="F81" s="94"/>
      <c r="G81" s="94"/>
      <c r="H81" s="94"/>
      <c r="I81" s="94"/>
      <c r="J81" s="94"/>
      <c r="K81" s="94"/>
      <c r="L81" s="94"/>
      <c r="M81" s="94"/>
      <c r="N81" s="94"/>
      <c r="O81" s="93"/>
    </row>
    <row r="82" spans="1:15" x14ac:dyDescent="0.25">
      <c r="A82" s="1199" t="s">
        <v>67</v>
      </c>
      <c r="B82" s="1200" t="s">
        <v>13</v>
      </c>
      <c r="C82" s="1200" t="s">
        <v>66</v>
      </c>
      <c r="D82" s="1199" t="s">
        <v>65</v>
      </c>
      <c r="E82" s="1199" t="s">
        <v>64</v>
      </c>
      <c r="F82" s="1199" t="s">
        <v>40</v>
      </c>
      <c r="G82" s="1199" t="s">
        <v>63</v>
      </c>
      <c r="H82" s="1199" t="s">
        <v>62</v>
      </c>
      <c r="I82" s="1199" t="s">
        <v>58</v>
      </c>
      <c r="J82" s="95"/>
      <c r="K82" s="94"/>
      <c r="L82" s="94"/>
      <c r="M82" s="94"/>
      <c r="N82" s="94"/>
      <c r="O82" s="93"/>
    </row>
    <row r="83" spans="1:15" x14ac:dyDescent="0.25">
      <c r="A83" s="129">
        <v>10</v>
      </c>
      <c r="B83" s="601" t="s">
        <v>61</v>
      </c>
      <c r="C83" s="601" t="s">
        <v>2061</v>
      </c>
      <c r="D83" s="100">
        <v>500</v>
      </c>
      <c r="E83" s="129" t="s">
        <v>59</v>
      </c>
      <c r="F83" s="129">
        <v>30</v>
      </c>
      <c r="G83" s="129">
        <v>3000</v>
      </c>
      <c r="H83" s="129">
        <v>1</v>
      </c>
      <c r="I83" s="100">
        <f>D83*F83/G83*H83</f>
        <v>5</v>
      </c>
      <c r="J83" s="95"/>
      <c r="K83" s="94"/>
      <c r="L83" s="94"/>
      <c r="M83" s="94"/>
      <c r="N83" s="94"/>
      <c r="O83" s="93"/>
    </row>
    <row r="84" spans="1:15" x14ac:dyDescent="0.25">
      <c r="A84" s="98"/>
      <c r="B84" s="704"/>
      <c r="C84" s="704"/>
      <c r="D84" s="95"/>
      <c r="E84" s="95"/>
      <c r="F84" s="95"/>
      <c r="G84" s="95"/>
      <c r="H84" s="1210" t="s">
        <v>58</v>
      </c>
      <c r="I84" s="1209">
        <f>SUM(I83:I83)</f>
        <v>5</v>
      </c>
      <c r="J84" s="95"/>
      <c r="K84" s="94"/>
      <c r="L84" s="94"/>
      <c r="M84" s="94"/>
      <c r="N84" s="94"/>
      <c r="O84" s="93"/>
    </row>
    <row r="85" spans="1:15" ht="15.75" thickBot="1" x14ac:dyDescent="0.3">
      <c r="A85" s="92"/>
      <c r="B85" s="1195"/>
      <c r="C85" s="1195"/>
      <c r="D85" s="91"/>
      <c r="E85" s="91"/>
      <c r="F85" s="91"/>
      <c r="G85" s="91"/>
      <c r="H85" s="91"/>
      <c r="I85" s="91"/>
      <c r="J85" s="91"/>
      <c r="K85" s="91"/>
      <c r="L85" s="91"/>
      <c r="M85" s="91"/>
      <c r="N85" s="91"/>
      <c r="O85" s="90"/>
    </row>
    <row r="86" spans="1:15" ht="15.75" thickBot="1" x14ac:dyDescent="0.3">
      <c r="A86" s="94"/>
      <c r="B86" s="142"/>
      <c r="C86" s="142"/>
      <c r="D86" s="94"/>
      <c r="E86" s="94"/>
      <c r="F86" s="94"/>
      <c r="G86" s="94"/>
      <c r="H86" s="94"/>
      <c r="I86" s="94"/>
      <c r="J86" s="94"/>
      <c r="K86" s="94"/>
      <c r="L86" s="94"/>
      <c r="M86" s="94"/>
      <c r="N86" s="94"/>
    </row>
    <row r="87" spans="1:15" x14ac:dyDescent="0.25">
      <c r="A87" s="141"/>
      <c r="B87" s="1204"/>
      <c r="C87" s="1204"/>
      <c r="D87" s="140"/>
      <c r="E87" s="140"/>
      <c r="F87" s="140"/>
      <c r="G87" s="140"/>
      <c r="H87" s="140"/>
      <c r="I87" s="140"/>
      <c r="J87" s="140"/>
      <c r="K87" s="140"/>
      <c r="L87" s="140"/>
      <c r="M87" s="140"/>
      <c r="N87" s="140"/>
      <c r="O87" s="139"/>
    </row>
    <row r="88" spans="1:15" x14ac:dyDescent="0.25">
      <c r="A88" s="1199" t="s">
        <v>57</v>
      </c>
      <c r="B88" s="1149" t="s">
        <v>127</v>
      </c>
      <c r="C88" s="142"/>
      <c r="D88" s="94"/>
      <c r="E88" s="94"/>
      <c r="F88" s="94"/>
      <c r="G88" s="94"/>
      <c r="H88" s="94"/>
      <c r="I88" s="94"/>
      <c r="J88" s="1199" t="s">
        <v>51</v>
      </c>
      <c r="K88" s="138">
        <v>81</v>
      </c>
      <c r="L88" s="94"/>
      <c r="M88" s="1199" t="s">
        <v>126</v>
      </c>
      <c r="N88" s="100">
        <f>E101+EL_A0002_m+EL_A0002_p+EL_A0002_f+EL_A0002_t</f>
        <v>113.21895619999999</v>
      </c>
      <c r="O88" s="93"/>
    </row>
    <row r="89" spans="1:15" x14ac:dyDescent="0.25">
      <c r="A89" s="1199" t="s">
        <v>125</v>
      </c>
      <c r="B89" s="1149" t="s">
        <v>1975</v>
      </c>
      <c r="C89" s="142"/>
      <c r="D89" s="94"/>
      <c r="E89" s="94"/>
      <c r="F89" s="94"/>
      <c r="G89" s="94"/>
      <c r="H89" s="94"/>
      <c r="I89" s="94"/>
      <c r="J89" s="94"/>
      <c r="K89" s="94"/>
      <c r="L89" s="94"/>
      <c r="M89" s="1199" t="s">
        <v>124</v>
      </c>
      <c r="N89" s="136">
        <v>1</v>
      </c>
      <c r="O89" s="93"/>
    </row>
    <row r="90" spans="1:15" x14ac:dyDescent="0.25">
      <c r="A90" s="1199" t="s">
        <v>123</v>
      </c>
      <c r="B90" s="142" t="s">
        <v>2060</v>
      </c>
      <c r="C90" s="142"/>
      <c r="D90" s="94"/>
      <c r="E90" s="94"/>
      <c r="F90" s="94"/>
      <c r="G90" s="94"/>
      <c r="H90" s="94"/>
      <c r="I90" s="94"/>
      <c r="J90" s="1202" t="s">
        <v>122</v>
      </c>
      <c r="K90" s="94"/>
      <c r="L90" s="94"/>
      <c r="M90" s="94"/>
      <c r="N90" s="94"/>
      <c r="O90" s="93"/>
    </row>
    <row r="91" spans="1:15" x14ac:dyDescent="0.25">
      <c r="A91" s="1199" t="s">
        <v>121</v>
      </c>
      <c r="B91" s="1203" t="s">
        <v>2059</v>
      </c>
      <c r="C91" s="142"/>
      <c r="D91" s="94"/>
      <c r="E91" s="94"/>
      <c r="F91" s="94"/>
      <c r="G91" s="94"/>
      <c r="H91" s="94"/>
      <c r="I91" s="94"/>
      <c r="J91" s="1202" t="s">
        <v>119</v>
      </c>
      <c r="K91" s="94"/>
      <c r="L91" s="94"/>
      <c r="M91" s="1199" t="s">
        <v>118</v>
      </c>
      <c r="N91" s="100">
        <f>N88*N89</f>
        <v>113.21895619999999</v>
      </c>
      <c r="O91" s="93"/>
    </row>
    <row r="92" spans="1:15" x14ac:dyDescent="0.25">
      <c r="A92" s="1199" t="s">
        <v>117</v>
      </c>
      <c r="B92" s="1149" t="s">
        <v>23</v>
      </c>
      <c r="C92" s="142"/>
      <c r="D92" s="94"/>
      <c r="E92" s="94"/>
      <c r="F92" s="94"/>
      <c r="G92" s="94"/>
      <c r="H92" s="94"/>
      <c r="I92" s="94"/>
      <c r="J92" s="1202" t="s">
        <v>116</v>
      </c>
      <c r="K92" s="94"/>
      <c r="L92" s="94"/>
      <c r="M92" s="94"/>
      <c r="N92" s="94"/>
      <c r="O92" s="93"/>
    </row>
    <row r="93" spans="1:15" x14ac:dyDescent="0.25">
      <c r="A93" s="1199" t="s">
        <v>115</v>
      </c>
      <c r="B93" s="1201" t="s">
        <v>2058</v>
      </c>
      <c r="C93" s="142"/>
      <c r="D93" s="94"/>
      <c r="E93" s="94"/>
      <c r="F93" s="94"/>
      <c r="G93" s="94"/>
      <c r="H93" s="94"/>
      <c r="I93" s="94"/>
      <c r="J93" s="94"/>
      <c r="K93" s="94"/>
      <c r="L93" s="94"/>
      <c r="M93" s="94"/>
      <c r="N93" s="94"/>
      <c r="O93" s="93"/>
    </row>
    <row r="94" spans="1:15" x14ac:dyDescent="0.25">
      <c r="A94" s="107"/>
      <c r="B94" s="142"/>
      <c r="C94" s="142"/>
      <c r="D94" s="94"/>
      <c r="E94" s="94"/>
      <c r="F94" s="94"/>
      <c r="G94" s="94"/>
      <c r="H94" s="94"/>
      <c r="I94" s="94"/>
      <c r="J94" s="94"/>
      <c r="K94" s="94"/>
      <c r="L94" s="94"/>
      <c r="M94" s="94"/>
      <c r="N94" s="94"/>
      <c r="O94" s="93"/>
    </row>
    <row r="95" spans="1:15" x14ac:dyDescent="0.25">
      <c r="A95" s="1199" t="s">
        <v>67</v>
      </c>
      <c r="B95" s="1200" t="s">
        <v>114</v>
      </c>
      <c r="C95" s="1200" t="s">
        <v>113</v>
      </c>
      <c r="D95" s="1199" t="s">
        <v>40</v>
      </c>
      <c r="E95" s="1199" t="s">
        <v>58</v>
      </c>
      <c r="F95" s="94"/>
      <c r="G95" s="94"/>
      <c r="H95" s="94"/>
      <c r="I95" s="94"/>
      <c r="J95" s="94"/>
      <c r="K95" s="94"/>
      <c r="L95" s="94"/>
      <c r="M95" s="94"/>
      <c r="N95" s="94"/>
      <c r="O95" s="93"/>
    </row>
    <row r="96" spans="1:15" x14ac:dyDescent="0.25">
      <c r="A96" s="129">
        <v>10</v>
      </c>
      <c r="B96" s="171" t="s">
        <v>2057</v>
      </c>
      <c r="C96" s="1206">
        <f>'EL Parts'!N153</f>
        <v>4.2757152000000005</v>
      </c>
      <c r="D96" s="127">
        <f>'EL Parts'!N154</f>
        <v>1</v>
      </c>
      <c r="E96" s="100">
        <f>C96*D96</f>
        <v>4.2757152000000005</v>
      </c>
      <c r="F96" s="94"/>
      <c r="G96" s="94"/>
      <c r="H96" s="94"/>
      <c r="I96" s="94"/>
      <c r="J96" s="94"/>
      <c r="K96" s="94"/>
      <c r="L96" s="94"/>
      <c r="M96" s="94"/>
      <c r="N96" s="94"/>
      <c r="O96" s="93"/>
    </row>
    <row r="97" spans="1:15" x14ac:dyDescent="0.25">
      <c r="A97" s="129">
        <v>20</v>
      </c>
      <c r="B97" s="171" t="s">
        <v>2056</v>
      </c>
      <c r="C97" s="1206">
        <f>'EL Parts'!N179</f>
        <v>3.12764</v>
      </c>
      <c r="D97" s="127">
        <f>'EL Parts'!N180</f>
        <v>2</v>
      </c>
      <c r="E97" s="100">
        <f>C97*D97</f>
        <v>6.25528</v>
      </c>
      <c r="F97" s="99"/>
      <c r="G97" s="99"/>
      <c r="H97" s="99"/>
      <c r="I97" s="99"/>
      <c r="J97" s="99"/>
      <c r="K97" s="99"/>
      <c r="L97" s="99"/>
      <c r="M97" s="99"/>
      <c r="N97" s="99"/>
      <c r="O97" s="93"/>
    </row>
    <row r="98" spans="1:15" x14ac:dyDescent="0.25">
      <c r="A98" s="129">
        <v>30</v>
      </c>
      <c r="B98" s="171" t="s">
        <v>2055</v>
      </c>
      <c r="C98" s="1206">
        <f>'EL Parts'!N205</f>
        <v>1.561561</v>
      </c>
      <c r="D98" s="127">
        <f>'EL Parts'!N206</f>
        <v>5</v>
      </c>
      <c r="E98" s="100">
        <f>C98*D98</f>
        <v>7.8078050000000001</v>
      </c>
      <c r="F98" s="99"/>
      <c r="G98" s="99"/>
      <c r="H98" s="99"/>
      <c r="I98" s="99"/>
      <c r="J98" s="99"/>
      <c r="K98" s="99"/>
      <c r="L98" s="99"/>
      <c r="M98" s="99"/>
      <c r="N98" s="99"/>
      <c r="O98" s="131"/>
    </row>
    <row r="99" spans="1:15" x14ac:dyDescent="0.25">
      <c r="A99" s="129">
        <v>40</v>
      </c>
      <c r="B99" s="171" t="s">
        <v>2054</v>
      </c>
      <c r="C99" s="1206">
        <f>'EL Parts'!N227</f>
        <v>1.567966</v>
      </c>
      <c r="D99" s="127">
        <f>'EL Parts'!N228</f>
        <v>1</v>
      </c>
      <c r="E99" s="100">
        <f>C99*D99</f>
        <v>1.567966</v>
      </c>
      <c r="F99" s="99"/>
      <c r="G99" s="99"/>
      <c r="H99" s="99"/>
      <c r="I99" s="99"/>
      <c r="J99" s="99"/>
      <c r="K99" s="99"/>
      <c r="L99" s="99"/>
      <c r="M99" s="99"/>
      <c r="N99" s="99"/>
      <c r="O99" s="131"/>
    </row>
    <row r="100" spans="1:15" x14ac:dyDescent="0.25">
      <c r="A100" s="129">
        <v>50</v>
      </c>
      <c r="B100" s="1208" t="s">
        <v>2053</v>
      </c>
      <c r="C100" s="1206">
        <f>'EL Parts'!N249</f>
        <v>2.8121899999999997</v>
      </c>
      <c r="D100" s="127">
        <f>'EL Parts'!N250</f>
        <v>1</v>
      </c>
      <c r="E100" s="100">
        <f>C100*D100</f>
        <v>2.8121899999999997</v>
      </c>
      <c r="F100" s="99"/>
      <c r="G100" s="99"/>
      <c r="H100" s="99"/>
      <c r="I100" s="99"/>
      <c r="J100" s="99"/>
      <c r="K100" s="99"/>
      <c r="L100" s="99"/>
      <c r="M100" s="99"/>
      <c r="N100" s="99"/>
      <c r="O100" s="130"/>
    </row>
    <row r="101" spans="1:15" x14ac:dyDescent="0.25">
      <c r="A101" s="107"/>
      <c r="B101" s="142"/>
      <c r="C101" s="142"/>
      <c r="D101" s="1197" t="s">
        <v>58</v>
      </c>
      <c r="E101" s="1196">
        <f>SUM(E96:E100)</f>
        <v>22.718956200000001</v>
      </c>
      <c r="F101" s="99"/>
      <c r="G101" s="99"/>
      <c r="H101" s="99"/>
      <c r="I101" s="99"/>
      <c r="J101" s="99"/>
      <c r="K101" s="99"/>
      <c r="L101" s="99"/>
      <c r="M101" s="99"/>
      <c r="N101" s="99"/>
      <c r="O101" s="93"/>
    </row>
    <row r="102" spans="1:15" x14ac:dyDescent="0.25">
      <c r="A102" s="107"/>
      <c r="B102" s="142"/>
      <c r="C102" s="142"/>
      <c r="D102" s="94"/>
      <c r="E102" s="94"/>
      <c r="F102" s="94"/>
      <c r="G102" s="94"/>
      <c r="H102" s="94"/>
      <c r="I102" s="94"/>
      <c r="J102" s="94"/>
      <c r="K102" s="94"/>
      <c r="L102" s="94"/>
      <c r="M102" s="94"/>
      <c r="N102" s="94"/>
      <c r="O102" s="93"/>
    </row>
    <row r="103" spans="1:15" x14ac:dyDescent="0.25">
      <c r="A103" s="1199" t="s">
        <v>67</v>
      </c>
      <c r="B103" s="1200" t="s">
        <v>112</v>
      </c>
      <c r="C103" s="1200" t="s">
        <v>66</v>
      </c>
      <c r="D103" s="1199" t="s">
        <v>65</v>
      </c>
      <c r="E103" s="1199" t="s">
        <v>81</v>
      </c>
      <c r="F103" s="1199" t="s">
        <v>80</v>
      </c>
      <c r="G103" s="1199" t="s">
        <v>79</v>
      </c>
      <c r="H103" s="1199" t="s">
        <v>78</v>
      </c>
      <c r="I103" s="1199" t="s">
        <v>111</v>
      </c>
      <c r="J103" s="1199" t="s">
        <v>110</v>
      </c>
      <c r="K103" s="1199" t="s">
        <v>109</v>
      </c>
      <c r="L103" s="1199" t="s">
        <v>108</v>
      </c>
      <c r="M103" s="1199" t="s">
        <v>40</v>
      </c>
      <c r="N103" s="1199" t="s">
        <v>58</v>
      </c>
      <c r="O103" s="93"/>
    </row>
    <row r="104" spans="1:15" ht="30" x14ac:dyDescent="0.25">
      <c r="A104" s="129">
        <v>10</v>
      </c>
      <c r="B104" s="601" t="s">
        <v>2052</v>
      </c>
      <c r="C104" s="601" t="s">
        <v>2051</v>
      </c>
      <c r="D104" s="100">
        <v>65</v>
      </c>
      <c r="E104" s="129">
        <v>0.85</v>
      </c>
      <c r="F104" s="129" t="s">
        <v>794</v>
      </c>
      <c r="G104" s="129"/>
      <c r="H104" s="200"/>
      <c r="I104" s="202"/>
      <c r="J104" s="201"/>
      <c r="K104" s="200"/>
      <c r="L104" s="200"/>
      <c r="M104" s="200">
        <v>1</v>
      </c>
      <c r="N104" s="100">
        <f>M104*D104*E104</f>
        <v>55.25</v>
      </c>
      <c r="O104" s="93"/>
    </row>
    <row r="105" spans="1:15" x14ac:dyDescent="0.25">
      <c r="A105" s="129">
        <v>20</v>
      </c>
      <c r="B105" s="601" t="s">
        <v>2050</v>
      </c>
      <c r="C105" s="601" t="s">
        <v>2045</v>
      </c>
      <c r="D105" s="100">
        <v>3</v>
      </c>
      <c r="E105" s="129"/>
      <c r="F105" s="129"/>
      <c r="G105" s="129"/>
      <c r="H105" s="200"/>
      <c r="I105" s="248"/>
      <c r="J105" s="247"/>
      <c r="K105" s="200"/>
      <c r="L105" s="249"/>
      <c r="M105" s="200">
        <v>1</v>
      </c>
      <c r="N105" s="100">
        <f>M105*D105</f>
        <v>3</v>
      </c>
      <c r="O105" s="93"/>
    </row>
    <row r="106" spans="1:15" x14ac:dyDescent="0.25">
      <c r="A106" s="129">
        <v>30</v>
      </c>
      <c r="B106" s="601" t="s">
        <v>2049</v>
      </c>
      <c r="C106" s="601" t="s">
        <v>2048</v>
      </c>
      <c r="D106" s="100">
        <v>1</v>
      </c>
      <c r="E106" s="129"/>
      <c r="F106" s="129"/>
      <c r="G106" s="129"/>
      <c r="H106" s="200"/>
      <c r="I106" s="248"/>
      <c r="J106" s="247"/>
      <c r="K106" s="200"/>
      <c r="L106" s="249"/>
      <c r="M106" s="200">
        <v>1</v>
      </c>
      <c r="N106" s="100">
        <f>M106*D106</f>
        <v>1</v>
      </c>
      <c r="O106" s="93"/>
    </row>
    <row r="107" spans="1:15" x14ac:dyDescent="0.25">
      <c r="A107" s="129">
        <v>40</v>
      </c>
      <c r="B107" s="601" t="s">
        <v>1936</v>
      </c>
      <c r="C107" s="601" t="s">
        <v>2047</v>
      </c>
      <c r="D107" s="100">
        <v>0.25</v>
      </c>
      <c r="E107" s="129">
        <v>2</v>
      </c>
      <c r="F107" s="129" t="s">
        <v>1934</v>
      </c>
      <c r="G107" s="129"/>
      <c r="H107" s="200"/>
      <c r="I107" s="248"/>
      <c r="J107" s="247"/>
      <c r="K107" s="200"/>
      <c r="L107" s="249"/>
      <c r="M107" s="200">
        <v>1</v>
      </c>
      <c r="N107" s="100">
        <f>M107*D107</f>
        <v>0.25</v>
      </c>
      <c r="O107" s="93"/>
    </row>
    <row r="108" spans="1:15" x14ac:dyDescent="0.25">
      <c r="A108" s="129">
        <v>50</v>
      </c>
      <c r="B108" s="601" t="s">
        <v>1989</v>
      </c>
      <c r="C108" s="601" t="s">
        <v>2046</v>
      </c>
      <c r="D108" s="100">
        <v>3</v>
      </c>
      <c r="E108" s="129">
        <v>0.6</v>
      </c>
      <c r="F108" s="129" t="s">
        <v>345</v>
      </c>
      <c r="G108" s="129"/>
      <c r="H108" s="200"/>
      <c r="I108" s="248"/>
      <c r="J108" s="247"/>
      <c r="K108" s="200"/>
      <c r="L108" s="249"/>
      <c r="M108" s="200">
        <v>1</v>
      </c>
      <c r="N108" s="100">
        <f>E108*D108</f>
        <v>1.7999999999999998</v>
      </c>
      <c r="O108" s="93"/>
    </row>
    <row r="109" spans="1:15" s="250" customFormat="1" x14ac:dyDescent="0.25">
      <c r="A109" s="253">
        <v>60</v>
      </c>
      <c r="B109" s="601" t="s">
        <v>2044</v>
      </c>
      <c r="C109" s="601" t="s">
        <v>2029</v>
      </c>
      <c r="D109" s="100">
        <v>2</v>
      </c>
      <c r="E109" s="253">
        <v>1</v>
      </c>
      <c r="F109" s="253" t="s">
        <v>1934</v>
      </c>
      <c r="G109" s="253"/>
      <c r="H109" s="200"/>
      <c r="I109" s="248"/>
      <c r="J109" s="247"/>
      <c r="K109" s="200"/>
      <c r="L109" s="249"/>
      <c r="M109" s="200">
        <v>2</v>
      </c>
      <c r="N109" s="100">
        <f>M109*D109</f>
        <v>4</v>
      </c>
      <c r="O109" s="143"/>
    </row>
    <row r="110" spans="1:15" s="250" customFormat="1" x14ac:dyDescent="0.25">
      <c r="A110" s="253">
        <v>70</v>
      </c>
      <c r="B110" s="601" t="s">
        <v>2044</v>
      </c>
      <c r="C110" s="601" t="s">
        <v>2045</v>
      </c>
      <c r="D110" s="100">
        <v>2</v>
      </c>
      <c r="E110" s="253">
        <v>1</v>
      </c>
      <c r="F110" s="253" t="s">
        <v>1934</v>
      </c>
      <c r="G110" s="253"/>
      <c r="H110" s="200"/>
      <c r="I110" s="248"/>
      <c r="J110" s="247"/>
      <c r="K110" s="200"/>
      <c r="L110" s="249"/>
      <c r="M110" s="200">
        <v>2</v>
      </c>
      <c r="N110" s="100">
        <f>M110*D110</f>
        <v>4</v>
      </c>
      <c r="O110" s="143"/>
    </row>
    <row r="111" spans="1:15" s="250" customFormat="1" x14ac:dyDescent="0.25">
      <c r="A111" s="253">
        <v>80</v>
      </c>
      <c r="B111" s="601" t="s">
        <v>2044</v>
      </c>
      <c r="C111" s="601" t="s">
        <v>2043</v>
      </c>
      <c r="D111" s="100">
        <v>2</v>
      </c>
      <c r="E111" s="253">
        <v>1</v>
      </c>
      <c r="F111" s="253" t="s">
        <v>1934</v>
      </c>
      <c r="G111" s="253"/>
      <c r="H111" s="200"/>
      <c r="I111" s="248"/>
      <c r="J111" s="247"/>
      <c r="K111" s="200"/>
      <c r="L111" s="249"/>
      <c r="M111" s="200">
        <v>2</v>
      </c>
      <c r="N111" s="100">
        <f>M111*D111</f>
        <v>4</v>
      </c>
      <c r="O111" s="143"/>
    </row>
    <row r="112" spans="1:15" x14ac:dyDescent="0.25">
      <c r="A112" s="98"/>
      <c r="B112" s="704"/>
      <c r="C112" s="704"/>
      <c r="D112" s="95"/>
      <c r="E112" s="95"/>
      <c r="F112" s="95"/>
      <c r="G112" s="95"/>
      <c r="H112" s="95"/>
      <c r="I112" s="95"/>
      <c r="J112" s="95"/>
      <c r="K112" s="95"/>
      <c r="L112" s="95"/>
      <c r="M112" s="1199" t="s">
        <v>58</v>
      </c>
      <c r="N112" s="1196">
        <f>SUM(N104:N111)</f>
        <v>73.3</v>
      </c>
      <c r="O112" s="93"/>
    </row>
    <row r="113" spans="1:15" x14ac:dyDescent="0.25">
      <c r="A113" s="107"/>
      <c r="B113" s="142"/>
      <c r="C113" s="142"/>
      <c r="D113" s="94"/>
      <c r="E113" s="94"/>
      <c r="F113" s="94"/>
      <c r="G113" s="94"/>
      <c r="H113" s="94"/>
      <c r="I113" s="94"/>
      <c r="J113" s="94"/>
      <c r="K113" s="94"/>
      <c r="L113" s="94"/>
      <c r="M113" s="94"/>
      <c r="N113" s="94"/>
      <c r="O113" s="93"/>
    </row>
    <row r="114" spans="1:15" x14ac:dyDescent="0.25">
      <c r="A114" s="1199" t="s">
        <v>67</v>
      </c>
      <c r="B114" s="1200" t="s">
        <v>106</v>
      </c>
      <c r="C114" s="1200" t="s">
        <v>66</v>
      </c>
      <c r="D114" s="1199" t="s">
        <v>65</v>
      </c>
      <c r="E114" s="1199" t="s">
        <v>64</v>
      </c>
      <c r="F114" s="1199" t="s">
        <v>40</v>
      </c>
      <c r="G114" s="1199" t="s">
        <v>105</v>
      </c>
      <c r="H114" s="1199" t="s">
        <v>104</v>
      </c>
      <c r="I114" s="1199" t="s">
        <v>58</v>
      </c>
      <c r="J114" s="95"/>
      <c r="K114" s="95"/>
      <c r="L114" s="95"/>
      <c r="M114" s="95"/>
      <c r="N114" s="95"/>
      <c r="O114" s="120"/>
    </row>
    <row r="115" spans="1:15" x14ac:dyDescent="0.25">
      <c r="A115" s="129">
        <v>10</v>
      </c>
      <c r="B115" s="601" t="s">
        <v>103</v>
      </c>
      <c r="C115" s="601" t="s">
        <v>2021</v>
      </c>
      <c r="D115" s="100">
        <v>0.15</v>
      </c>
      <c r="E115" s="129" t="s">
        <v>101</v>
      </c>
      <c r="F115" s="244">
        <v>9</v>
      </c>
      <c r="G115" s="244"/>
      <c r="H115" s="244"/>
      <c r="I115" s="100">
        <f t="shared" ref="I115:I132" si="4">IF(H115="",D115*F115,D115*F115*H115)</f>
        <v>1.3499999999999999</v>
      </c>
      <c r="J115" s="94"/>
      <c r="K115" s="94"/>
      <c r="L115" s="94"/>
      <c r="M115" s="94"/>
      <c r="N115" s="94"/>
      <c r="O115" s="93"/>
    </row>
    <row r="116" spans="1:15" x14ac:dyDescent="0.25">
      <c r="A116" s="129">
        <v>20</v>
      </c>
      <c r="B116" s="555" t="s">
        <v>165</v>
      </c>
      <c r="C116" s="601" t="s">
        <v>2042</v>
      </c>
      <c r="D116" s="100">
        <v>0.06</v>
      </c>
      <c r="E116" s="555" t="s">
        <v>64</v>
      </c>
      <c r="F116" s="244">
        <v>2</v>
      </c>
      <c r="G116" s="129"/>
      <c r="H116" s="129"/>
      <c r="I116" s="100">
        <f t="shared" si="4"/>
        <v>0.12</v>
      </c>
      <c r="J116" s="94"/>
      <c r="K116" s="94"/>
      <c r="L116" s="94"/>
      <c r="M116" s="94"/>
      <c r="N116" s="94"/>
      <c r="O116" s="93"/>
    </row>
    <row r="117" spans="1:15" ht="30" x14ac:dyDescent="0.25">
      <c r="A117" s="129">
        <v>30</v>
      </c>
      <c r="B117" s="555" t="s">
        <v>1403</v>
      </c>
      <c r="C117" s="601" t="s">
        <v>2041</v>
      </c>
      <c r="D117" s="100">
        <v>0.25</v>
      </c>
      <c r="E117" s="129" t="s">
        <v>64</v>
      </c>
      <c r="F117" s="244">
        <v>8</v>
      </c>
      <c r="G117" s="129"/>
      <c r="H117" s="129"/>
      <c r="I117" s="100">
        <f t="shared" si="4"/>
        <v>2</v>
      </c>
      <c r="J117" s="94"/>
      <c r="K117" s="94"/>
      <c r="L117" s="94"/>
      <c r="M117" s="94"/>
      <c r="N117" s="94"/>
      <c r="O117" s="93"/>
    </row>
    <row r="118" spans="1:15" x14ac:dyDescent="0.25">
      <c r="A118" s="129">
        <v>40</v>
      </c>
      <c r="B118" s="555" t="s">
        <v>498</v>
      </c>
      <c r="C118" s="1207" t="s">
        <v>2040</v>
      </c>
      <c r="D118" s="100">
        <v>0.13</v>
      </c>
      <c r="E118" s="129" t="s">
        <v>64</v>
      </c>
      <c r="F118" s="244">
        <v>1</v>
      </c>
      <c r="G118" s="129"/>
      <c r="H118" s="129"/>
      <c r="I118" s="100">
        <f t="shared" si="4"/>
        <v>0.13</v>
      </c>
      <c r="J118" s="94"/>
      <c r="K118" s="94"/>
      <c r="L118" s="94"/>
      <c r="M118" s="94"/>
      <c r="N118" s="94"/>
      <c r="O118" s="93"/>
    </row>
    <row r="119" spans="1:15" x14ac:dyDescent="0.25">
      <c r="A119" s="129">
        <v>50</v>
      </c>
      <c r="B119" s="555" t="s">
        <v>165</v>
      </c>
      <c r="C119" s="601" t="s">
        <v>2039</v>
      </c>
      <c r="D119" s="100">
        <v>0.06</v>
      </c>
      <c r="E119" s="129" t="s">
        <v>64</v>
      </c>
      <c r="F119" s="244">
        <v>1</v>
      </c>
      <c r="G119" s="129"/>
      <c r="H119" s="129"/>
      <c r="I119" s="100">
        <f t="shared" si="4"/>
        <v>0.06</v>
      </c>
      <c r="J119" s="94"/>
      <c r="K119" s="94"/>
      <c r="L119" s="94"/>
      <c r="M119" s="94"/>
      <c r="N119" s="94"/>
      <c r="O119" s="93"/>
    </row>
    <row r="120" spans="1:15" ht="30" x14ac:dyDescent="0.25">
      <c r="A120" s="129">
        <v>60</v>
      </c>
      <c r="B120" s="555" t="s">
        <v>328</v>
      </c>
      <c r="C120" s="601" t="s">
        <v>2038</v>
      </c>
      <c r="D120" s="100">
        <v>0.5</v>
      </c>
      <c r="E120" s="129" t="s">
        <v>64</v>
      </c>
      <c r="F120" s="244">
        <v>2</v>
      </c>
      <c r="G120" s="129"/>
      <c r="H120" s="129"/>
      <c r="I120" s="100">
        <f t="shared" si="4"/>
        <v>1</v>
      </c>
      <c r="J120" s="94"/>
      <c r="K120" s="94"/>
      <c r="L120" s="94"/>
      <c r="M120" s="94"/>
      <c r="N120" s="94"/>
      <c r="O120" s="93"/>
    </row>
    <row r="121" spans="1:15" ht="30" x14ac:dyDescent="0.25">
      <c r="A121" s="129">
        <v>70</v>
      </c>
      <c r="B121" s="555" t="s">
        <v>2033</v>
      </c>
      <c r="C121" s="601" t="s">
        <v>2037</v>
      </c>
      <c r="D121" s="100">
        <v>0.25</v>
      </c>
      <c r="E121" s="129" t="s">
        <v>64</v>
      </c>
      <c r="F121" s="244">
        <v>2</v>
      </c>
      <c r="G121" s="129"/>
      <c r="H121" s="129"/>
      <c r="I121" s="100">
        <f t="shared" si="4"/>
        <v>0.5</v>
      </c>
      <c r="J121" s="94"/>
      <c r="K121" s="94"/>
      <c r="L121" s="94"/>
      <c r="M121" s="94"/>
      <c r="N121" s="94"/>
      <c r="O121" s="93"/>
    </row>
    <row r="122" spans="1:15" ht="30" x14ac:dyDescent="0.25">
      <c r="A122" s="129">
        <v>80</v>
      </c>
      <c r="B122" s="555" t="s">
        <v>165</v>
      </c>
      <c r="C122" s="601" t="s">
        <v>2036</v>
      </c>
      <c r="D122" s="100">
        <v>0.06</v>
      </c>
      <c r="E122" s="129" t="s">
        <v>64</v>
      </c>
      <c r="F122" s="244">
        <v>1</v>
      </c>
      <c r="G122" s="129"/>
      <c r="H122" s="129"/>
      <c r="I122" s="100">
        <f t="shared" si="4"/>
        <v>0.06</v>
      </c>
      <c r="J122" s="94"/>
      <c r="K122" s="94"/>
      <c r="L122" s="94"/>
      <c r="M122" s="94"/>
      <c r="N122" s="94"/>
      <c r="O122" s="93"/>
    </row>
    <row r="123" spans="1:15" ht="30" x14ac:dyDescent="0.25">
      <c r="A123" s="129">
        <v>90</v>
      </c>
      <c r="B123" s="555" t="s">
        <v>165</v>
      </c>
      <c r="C123" s="601" t="s">
        <v>2035</v>
      </c>
      <c r="D123" s="100">
        <v>0.06</v>
      </c>
      <c r="E123" s="129" t="s">
        <v>64</v>
      </c>
      <c r="F123" s="244">
        <v>1</v>
      </c>
      <c r="G123" s="129"/>
      <c r="H123" s="129"/>
      <c r="I123" s="100">
        <f t="shared" si="4"/>
        <v>0.06</v>
      </c>
      <c r="J123" s="94"/>
      <c r="K123" s="94"/>
      <c r="L123" s="94"/>
      <c r="M123" s="94"/>
      <c r="N123" s="94"/>
      <c r="O123" s="93"/>
    </row>
    <row r="124" spans="1:15" ht="30" x14ac:dyDescent="0.25">
      <c r="A124" s="129">
        <v>100</v>
      </c>
      <c r="B124" s="555" t="s">
        <v>328</v>
      </c>
      <c r="C124" s="601" t="s">
        <v>2034</v>
      </c>
      <c r="D124" s="100">
        <v>0.5</v>
      </c>
      <c r="E124" s="129" t="s">
        <v>64</v>
      </c>
      <c r="F124" s="244">
        <v>5</v>
      </c>
      <c r="G124" s="129"/>
      <c r="H124" s="129"/>
      <c r="I124" s="100">
        <f t="shared" si="4"/>
        <v>2.5</v>
      </c>
      <c r="J124" s="94"/>
      <c r="K124" s="94"/>
      <c r="L124" s="94"/>
      <c r="M124" s="94"/>
      <c r="N124" s="94"/>
      <c r="O124" s="93"/>
    </row>
    <row r="125" spans="1:15" ht="30" x14ac:dyDescent="0.25">
      <c r="A125" s="129">
        <v>110</v>
      </c>
      <c r="B125" s="555" t="s">
        <v>2033</v>
      </c>
      <c r="C125" s="601" t="s">
        <v>2032</v>
      </c>
      <c r="D125" s="100">
        <v>0.25</v>
      </c>
      <c r="E125" s="129" t="s">
        <v>64</v>
      </c>
      <c r="F125" s="244">
        <v>6</v>
      </c>
      <c r="G125" s="129"/>
      <c r="H125" s="129"/>
      <c r="I125" s="100">
        <f t="shared" si="4"/>
        <v>1.5</v>
      </c>
      <c r="J125" s="94"/>
      <c r="K125" s="94"/>
      <c r="L125" s="94"/>
      <c r="M125" s="94"/>
      <c r="N125" s="94"/>
      <c r="O125" s="93"/>
    </row>
    <row r="126" spans="1:15" x14ac:dyDescent="0.25">
      <c r="A126" s="129">
        <v>120</v>
      </c>
      <c r="B126" s="555" t="s">
        <v>1986</v>
      </c>
      <c r="C126" s="601" t="s">
        <v>2031</v>
      </c>
      <c r="D126" s="100">
        <v>0.08</v>
      </c>
      <c r="E126" s="129" t="s">
        <v>64</v>
      </c>
      <c r="F126" s="244">
        <v>3</v>
      </c>
      <c r="G126" s="129"/>
      <c r="H126" s="129"/>
      <c r="I126" s="100">
        <f t="shared" si="4"/>
        <v>0.24</v>
      </c>
      <c r="J126" s="94"/>
      <c r="K126" s="94"/>
      <c r="L126" s="94"/>
      <c r="M126" s="94"/>
      <c r="N126" s="94"/>
      <c r="O126" s="93"/>
    </row>
    <row r="127" spans="1:15" x14ac:dyDescent="0.25">
      <c r="A127" s="129">
        <v>130</v>
      </c>
      <c r="B127" s="555" t="s">
        <v>1984</v>
      </c>
      <c r="C127" s="601" t="s">
        <v>1921</v>
      </c>
      <c r="D127" s="100">
        <v>0.08</v>
      </c>
      <c r="E127" s="129" t="s">
        <v>64</v>
      </c>
      <c r="F127" s="244">
        <v>6</v>
      </c>
      <c r="G127" s="129"/>
      <c r="H127" s="129"/>
      <c r="I127" s="100">
        <f t="shared" si="4"/>
        <v>0.48</v>
      </c>
      <c r="J127" s="94"/>
      <c r="K127" s="94"/>
      <c r="L127" s="94"/>
      <c r="M127" s="94"/>
      <c r="N127" s="94"/>
      <c r="O127" s="93"/>
    </row>
    <row r="128" spans="1:15" x14ac:dyDescent="0.25">
      <c r="A128" s="129">
        <v>140</v>
      </c>
      <c r="B128" s="555" t="s">
        <v>1981</v>
      </c>
      <c r="C128" s="601" t="s">
        <v>1919</v>
      </c>
      <c r="D128" s="100">
        <v>0.17</v>
      </c>
      <c r="E128" s="129" t="s">
        <v>64</v>
      </c>
      <c r="F128" s="244">
        <v>6</v>
      </c>
      <c r="G128" s="129"/>
      <c r="H128" s="129"/>
      <c r="I128" s="100">
        <f t="shared" si="4"/>
        <v>1.02</v>
      </c>
      <c r="J128" s="94"/>
      <c r="K128" s="94"/>
      <c r="L128" s="94"/>
      <c r="M128" s="94"/>
      <c r="N128" s="94"/>
      <c r="O128" s="93"/>
    </row>
    <row r="129" spans="1:15" x14ac:dyDescent="0.25">
      <c r="A129" s="129">
        <v>150</v>
      </c>
      <c r="B129" s="555" t="s">
        <v>2006</v>
      </c>
      <c r="C129" s="601" t="s">
        <v>2030</v>
      </c>
      <c r="D129" s="100">
        <v>1</v>
      </c>
      <c r="E129" s="129" t="s">
        <v>345</v>
      </c>
      <c r="F129" s="244">
        <v>0.6</v>
      </c>
      <c r="G129" s="129"/>
      <c r="H129" s="129"/>
      <c r="I129" s="100">
        <f t="shared" si="4"/>
        <v>0.6</v>
      </c>
      <c r="J129" s="94"/>
      <c r="K129" s="94"/>
      <c r="L129" s="94"/>
      <c r="M129" s="94"/>
      <c r="N129" s="94"/>
      <c r="O129" s="93"/>
    </row>
    <row r="130" spans="1:15" x14ac:dyDescent="0.25">
      <c r="A130" s="129">
        <v>160</v>
      </c>
      <c r="B130" s="555" t="s">
        <v>1915</v>
      </c>
      <c r="C130" s="601" t="s">
        <v>2029</v>
      </c>
      <c r="D130" s="100">
        <v>0.48</v>
      </c>
      <c r="E130" s="129" t="s">
        <v>64</v>
      </c>
      <c r="F130" s="244">
        <v>2</v>
      </c>
      <c r="G130" s="129"/>
      <c r="H130" s="129"/>
      <c r="I130" s="100">
        <f t="shared" si="4"/>
        <v>0.96</v>
      </c>
      <c r="J130" s="94"/>
      <c r="K130" s="94"/>
      <c r="L130" s="94"/>
      <c r="M130" s="94"/>
      <c r="N130" s="94"/>
      <c r="O130" s="93"/>
    </row>
    <row r="131" spans="1:15" x14ac:dyDescent="0.25">
      <c r="A131" s="129">
        <v>170</v>
      </c>
      <c r="B131" s="555" t="s">
        <v>1915</v>
      </c>
      <c r="C131" s="601" t="s">
        <v>2028</v>
      </c>
      <c r="D131" s="100">
        <v>0.48</v>
      </c>
      <c r="E131" s="129" t="s">
        <v>64</v>
      </c>
      <c r="F131" s="244">
        <v>2</v>
      </c>
      <c r="G131" s="129"/>
      <c r="H131" s="129"/>
      <c r="I131" s="100">
        <f t="shared" si="4"/>
        <v>0.96</v>
      </c>
      <c r="J131" s="94"/>
      <c r="K131" s="94"/>
      <c r="L131" s="94"/>
      <c r="M131" s="94"/>
      <c r="N131" s="94"/>
      <c r="O131" s="93"/>
    </row>
    <row r="132" spans="1:15" x14ac:dyDescent="0.25">
      <c r="A132" s="129">
        <v>180</v>
      </c>
      <c r="B132" s="555" t="s">
        <v>1915</v>
      </c>
      <c r="C132" s="601" t="s">
        <v>2027</v>
      </c>
      <c r="D132" s="100">
        <v>0.48</v>
      </c>
      <c r="E132" s="129" t="s">
        <v>64</v>
      </c>
      <c r="F132" s="244">
        <v>2</v>
      </c>
      <c r="G132" s="129"/>
      <c r="H132" s="129"/>
      <c r="I132" s="100">
        <f t="shared" si="4"/>
        <v>0.96</v>
      </c>
      <c r="J132" s="94"/>
      <c r="K132" s="94"/>
      <c r="L132" s="94"/>
      <c r="M132" s="94"/>
      <c r="N132" s="94"/>
      <c r="O132" s="93"/>
    </row>
    <row r="133" spans="1:15" x14ac:dyDescent="0.25">
      <c r="A133" s="98"/>
      <c r="B133" s="704"/>
      <c r="C133" s="704"/>
      <c r="D133" s="95"/>
      <c r="E133" s="95"/>
      <c r="F133" s="95"/>
      <c r="G133" s="95"/>
      <c r="H133" s="1197" t="s">
        <v>58</v>
      </c>
      <c r="I133" s="1196">
        <f>SUM(I115:I132)</f>
        <v>14.5</v>
      </c>
      <c r="J133" s="94"/>
      <c r="K133" s="94"/>
      <c r="L133" s="94"/>
      <c r="M133" s="94"/>
      <c r="N133" s="94"/>
      <c r="O133" s="93"/>
    </row>
    <row r="134" spans="1:15" x14ac:dyDescent="0.25">
      <c r="A134" s="107"/>
      <c r="B134" s="142"/>
      <c r="C134" s="142"/>
      <c r="D134" s="94"/>
      <c r="E134" s="94"/>
      <c r="F134" s="94"/>
      <c r="G134" s="94"/>
      <c r="H134" s="94"/>
      <c r="I134" s="94"/>
      <c r="J134" s="94"/>
      <c r="K134" s="94"/>
      <c r="L134" s="94"/>
      <c r="M134" s="94"/>
      <c r="N134" s="94"/>
      <c r="O134" s="93"/>
    </row>
    <row r="135" spans="1:15" x14ac:dyDescent="0.25">
      <c r="A135" s="1199" t="s">
        <v>67</v>
      </c>
      <c r="B135" s="1200" t="s">
        <v>82</v>
      </c>
      <c r="C135" s="1200" t="s">
        <v>66</v>
      </c>
      <c r="D135" s="1199" t="s">
        <v>65</v>
      </c>
      <c r="E135" s="1199" t="s">
        <v>81</v>
      </c>
      <c r="F135" s="1199" t="s">
        <v>80</v>
      </c>
      <c r="G135" s="1199" t="s">
        <v>79</v>
      </c>
      <c r="H135" s="1199" t="s">
        <v>78</v>
      </c>
      <c r="I135" s="1199" t="s">
        <v>40</v>
      </c>
      <c r="J135" s="1199" t="s">
        <v>58</v>
      </c>
      <c r="K135" s="94"/>
      <c r="L135" s="94"/>
      <c r="M135" s="94"/>
      <c r="N135" s="94"/>
      <c r="O135" s="93"/>
    </row>
    <row r="136" spans="1:15" x14ac:dyDescent="0.25">
      <c r="A136" s="129">
        <v>10</v>
      </c>
      <c r="B136" s="601" t="s">
        <v>2025</v>
      </c>
      <c r="C136" s="601" t="s">
        <v>2026</v>
      </c>
      <c r="D136" s="553">
        <v>0.04</v>
      </c>
      <c r="E136" s="552">
        <v>6</v>
      </c>
      <c r="F136" s="552" t="s">
        <v>68</v>
      </c>
      <c r="G136" s="552">
        <v>20</v>
      </c>
      <c r="H136" s="552" t="s">
        <v>68</v>
      </c>
      <c r="I136" s="136">
        <v>2</v>
      </c>
      <c r="J136" s="100">
        <f t="shared" ref="J136:J146" si="5">I136*D136</f>
        <v>0.08</v>
      </c>
      <c r="K136" s="94"/>
      <c r="L136" s="94"/>
      <c r="M136" s="94"/>
      <c r="N136" s="94"/>
      <c r="O136" s="93"/>
    </row>
    <row r="137" spans="1:15" x14ac:dyDescent="0.25">
      <c r="A137" s="129">
        <v>20</v>
      </c>
      <c r="B137" s="601" t="s">
        <v>75</v>
      </c>
      <c r="C137" s="601"/>
      <c r="D137" s="553">
        <v>0.03</v>
      </c>
      <c r="E137" s="552">
        <v>6</v>
      </c>
      <c r="F137" s="1132" t="s">
        <v>68</v>
      </c>
      <c r="G137" s="129"/>
      <c r="H137" s="129"/>
      <c r="I137" s="136">
        <v>2</v>
      </c>
      <c r="J137" s="100">
        <f t="shared" si="5"/>
        <v>0.06</v>
      </c>
      <c r="K137" s="94"/>
      <c r="L137" s="94"/>
      <c r="M137" s="94"/>
      <c r="N137" s="94"/>
      <c r="O137" s="93"/>
    </row>
    <row r="138" spans="1:15" x14ac:dyDescent="0.25">
      <c r="A138" s="129">
        <v>30</v>
      </c>
      <c r="B138" s="601" t="s">
        <v>74</v>
      </c>
      <c r="C138" s="601"/>
      <c r="D138" s="553">
        <v>0.01</v>
      </c>
      <c r="E138" s="552">
        <v>6</v>
      </c>
      <c r="F138" s="1132" t="s">
        <v>68</v>
      </c>
      <c r="G138" s="129"/>
      <c r="H138" s="129"/>
      <c r="I138" s="136">
        <v>4</v>
      </c>
      <c r="J138" s="100">
        <f t="shared" si="5"/>
        <v>0.04</v>
      </c>
      <c r="K138" s="94"/>
      <c r="L138" s="94"/>
      <c r="M138" s="94"/>
      <c r="N138" s="94"/>
      <c r="O138" s="93"/>
    </row>
    <row r="139" spans="1:15" ht="30" x14ac:dyDescent="0.25">
      <c r="A139" s="129">
        <v>40</v>
      </c>
      <c r="B139" s="601" t="s">
        <v>2025</v>
      </c>
      <c r="C139" s="601" t="s">
        <v>2024</v>
      </c>
      <c r="D139" s="1131">
        <v>0.04</v>
      </c>
      <c r="E139" s="552">
        <v>6</v>
      </c>
      <c r="F139" s="1130" t="s">
        <v>68</v>
      </c>
      <c r="G139" s="601">
        <v>20</v>
      </c>
      <c r="H139" s="552" t="s">
        <v>68</v>
      </c>
      <c r="I139" s="1129">
        <v>3</v>
      </c>
      <c r="J139" s="100">
        <f t="shared" si="5"/>
        <v>0.12</v>
      </c>
      <c r="K139" s="142"/>
      <c r="L139" s="142"/>
      <c r="M139" s="142"/>
      <c r="N139" s="142"/>
      <c r="O139" s="93"/>
    </row>
    <row r="140" spans="1:15" x14ac:dyDescent="0.25">
      <c r="A140" s="129">
        <v>50</v>
      </c>
      <c r="B140" s="601" t="s">
        <v>75</v>
      </c>
      <c r="C140" s="601"/>
      <c r="D140" s="1131">
        <v>0.03</v>
      </c>
      <c r="E140" s="552">
        <v>6</v>
      </c>
      <c r="F140" s="1130" t="s">
        <v>68</v>
      </c>
      <c r="G140" s="601"/>
      <c r="H140" s="601"/>
      <c r="I140" s="1129">
        <v>3</v>
      </c>
      <c r="J140" s="100">
        <f t="shared" si="5"/>
        <v>0.09</v>
      </c>
      <c r="K140" s="142"/>
      <c r="L140" s="142"/>
      <c r="M140" s="142"/>
      <c r="N140" s="142"/>
      <c r="O140" s="93"/>
    </row>
    <row r="141" spans="1:15" x14ac:dyDescent="0.25">
      <c r="A141" s="129">
        <v>60</v>
      </c>
      <c r="B141" s="601" t="s">
        <v>74</v>
      </c>
      <c r="C141" s="601"/>
      <c r="D141" s="1131">
        <v>0.01</v>
      </c>
      <c r="E141" s="552">
        <v>6</v>
      </c>
      <c r="F141" s="1130" t="s">
        <v>68</v>
      </c>
      <c r="G141" s="601"/>
      <c r="H141" s="601"/>
      <c r="I141" s="1129">
        <v>4</v>
      </c>
      <c r="J141" s="100">
        <f t="shared" si="5"/>
        <v>0.04</v>
      </c>
      <c r="K141" s="142"/>
      <c r="L141" s="142"/>
      <c r="M141" s="142"/>
      <c r="N141" s="142"/>
      <c r="O141" s="93"/>
    </row>
    <row r="142" spans="1:15" ht="30" x14ac:dyDescent="0.25">
      <c r="A142" s="129">
        <v>70</v>
      </c>
      <c r="B142" s="601" t="s">
        <v>2025</v>
      </c>
      <c r="C142" s="601" t="s">
        <v>2024</v>
      </c>
      <c r="D142" s="1131">
        <v>7.0000000000000007E-2</v>
      </c>
      <c r="E142" s="552">
        <v>6</v>
      </c>
      <c r="F142" s="1130" t="s">
        <v>68</v>
      </c>
      <c r="G142" s="601">
        <v>30</v>
      </c>
      <c r="H142" s="552" t="s">
        <v>68</v>
      </c>
      <c r="I142" s="1129">
        <v>2</v>
      </c>
      <c r="J142" s="100">
        <f t="shared" si="5"/>
        <v>0.14000000000000001</v>
      </c>
      <c r="K142" s="142"/>
      <c r="L142" s="142"/>
      <c r="M142" s="142"/>
      <c r="N142" s="142"/>
      <c r="O142" s="93"/>
    </row>
    <row r="143" spans="1:15" x14ac:dyDescent="0.25">
      <c r="A143" s="129">
        <v>80</v>
      </c>
      <c r="B143" s="601" t="s">
        <v>75</v>
      </c>
      <c r="C143" s="601"/>
      <c r="D143" s="1131">
        <v>0.03</v>
      </c>
      <c r="E143" s="552">
        <v>6</v>
      </c>
      <c r="F143" s="1130" t="s">
        <v>68</v>
      </c>
      <c r="G143" s="601"/>
      <c r="H143" s="601"/>
      <c r="I143" s="1129">
        <v>2</v>
      </c>
      <c r="J143" s="100">
        <f t="shared" si="5"/>
        <v>0.06</v>
      </c>
      <c r="K143" s="142"/>
      <c r="L143" s="142"/>
      <c r="M143" s="142"/>
      <c r="N143" s="142"/>
      <c r="O143" s="93"/>
    </row>
    <row r="144" spans="1:15" ht="30" x14ac:dyDescent="0.25">
      <c r="A144" s="129">
        <v>90</v>
      </c>
      <c r="B144" s="601" t="s">
        <v>2025</v>
      </c>
      <c r="C144" s="601" t="s">
        <v>2024</v>
      </c>
      <c r="D144" s="1131">
        <v>0.04</v>
      </c>
      <c r="E144" s="552">
        <v>6</v>
      </c>
      <c r="F144" s="1130" t="s">
        <v>68</v>
      </c>
      <c r="G144" s="601">
        <v>15</v>
      </c>
      <c r="H144" s="552" t="s">
        <v>68</v>
      </c>
      <c r="I144" s="1129">
        <v>1</v>
      </c>
      <c r="J144" s="100">
        <f t="shared" si="5"/>
        <v>0.04</v>
      </c>
      <c r="K144" s="142"/>
      <c r="L144" s="142"/>
      <c r="M144" s="142"/>
      <c r="N144" s="142"/>
      <c r="O144" s="93"/>
    </row>
    <row r="145" spans="1:15" x14ac:dyDescent="0.25">
      <c r="A145" s="129">
        <v>100</v>
      </c>
      <c r="B145" s="601" t="s">
        <v>75</v>
      </c>
      <c r="C145" s="601"/>
      <c r="D145" s="1131">
        <v>0.03</v>
      </c>
      <c r="E145" s="552">
        <v>6</v>
      </c>
      <c r="F145" s="1130" t="s">
        <v>68</v>
      </c>
      <c r="G145" s="601"/>
      <c r="H145" s="601"/>
      <c r="I145" s="1129">
        <v>1</v>
      </c>
      <c r="J145" s="100">
        <f t="shared" si="5"/>
        <v>0.03</v>
      </c>
      <c r="K145" s="142"/>
      <c r="L145" s="142"/>
      <c r="M145" s="142"/>
      <c r="N145" s="142"/>
      <c r="O145" s="93"/>
    </row>
    <row r="146" spans="1:15" ht="30" x14ac:dyDescent="0.25">
      <c r="A146" s="129">
        <v>110</v>
      </c>
      <c r="B146" s="601" t="s">
        <v>2023</v>
      </c>
      <c r="C146" s="601" t="s">
        <v>2022</v>
      </c>
      <c r="D146" s="553">
        <v>0.03</v>
      </c>
      <c r="E146" s="129">
        <v>3.8</v>
      </c>
      <c r="F146" s="1132" t="s">
        <v>68</v>
      </c>
      <c r="G146" s="129"/>
      <c r="H146" s="129"/>
      <c r="I146" s="136">
        <v>8</v>
      </c>
      <c r="J146" s="100">
        <f t="shared" si="5"/>
        <v>0.24</v>
      </c>
      <c r="K146" s="99"/>
      <c r="L146" s="99"/>
      <c r="M146" s="99"/>
      <c r="N146" s="99"/>
      <c r="O146" s="130"/>
    </row>
    <row r="147" spans="1:15" x14ac:dyDescent="0.25">
      <c r="A147" s="98"/>
      <c r="B147" s="704"/>
      <c r="C147" s="704"/>
      <c r="D147" s="95"/>
      <c r="E147" s="95"/>
      <c r="F147" s="95"/>
      <c r="G147" s="95"/>
      <c r="H147" s="95"/>
      <c r="I147" s="1197" t="s">
        <v>58</v>
      </c>
      <c r="J147" s="1196">
        <f>SUM(J136:J145)</f>
        <v>0.70000000000000018</v>
      </c>
      <c r="K147" s="94"/>
      <c r="L147" s="94"/>
      <c r="M147" s="94"/>
      <c r="N147" s="94"/>
      <c r="O147" s="93"/>
    </row>
    <row r="148" spans="1:15" x14ac:dyDescent="0.25">
      <c r="A148" s="107"/>
      <c r="B148" s="142"/>
      <c r="C148" s="142"/>
      <c r="D148" s="94"/>
      <c r="E148" s="94"/>
      <c r="F148" s="94"/>
      <c r="G148" s="94"/>
      <c r="H148" s="94"/>
      <c r="I148" s="94"/>
      <c r="J148" s="94"/>
      <c r="K148" s="94"/>
      <c r="L148" s="94"/>
      <c r="M148" s="94"/>
      <c r="N148" s="94"/>
      <c r="O148" s="93"/>
    </row>
    <row r="149" spans="1:15" x14ac:dyDescent="0.25">
      <c r="A149" s="1199" t="s">
        <v>67</v>
      </c>
      <c r="B149" s="1200" t="s">
        <v>13</v>
      </c>
      <c r="C149" s="1200" t="s">
        <v>66</v>
      </c>
      <c r="D149" s="1199" t="s">
        <v>65</v>
      </c>
      <c r="E149" s="1199" t="s">
        <v>64</v>
      </c>
      <c r="F149" s="1199" t="s">
        <v>40</v>
      </c>
      <c r="G149" s="1199" t="s">
        <v>63</v>
      </c>
      <c r="H149" s="1199" t="s">
        <v>62</v>
      </c>
      <c r="I149" s="1199" t="s">
        <v>58</v>
      </c>
      <c r="J149" s="95"/>
      <c r="K149" s="94"/>
      <c r="L149" s="94"/>
      <c r="M149" s="94"/>
      <c r="N149" s="94"/>
      <c r="O149" s="93"/>
    </row>
    <row r="150" spans="1:15" x14ac:dyDescent="0.25">
      <c r="A150" s="129">
        <v>10</v>
      </c>
      <c r="B150" s="601" t="s">
        <v>61</v>
      </c>
      <c r="C150" s="601" t="s">
        <v>2021</v>
      </c>
      <c r="D150" s="100">
        <v>500</v>
      </c>
      <c r="E150" s="129" t="s">
        <v>59</v>
      </c>
      <c r="F150" s="129">
        <v>12</v>
      </c>
      <c r="G150" s="129">
        <v>3000</v>
      </c>
      <c r="H150" s="129">
        <v>1</v>
      </c>
      <c r="I150" s="100">
        <f>D150*F150/G150*H150</f>
        <v>2</v>
      </c>
      <c r="J150" s="99"/>
      <c r="K150" s="94"/>
      <c r="L150" s="94"/>
      <c r="M150" s="94"/>
      <c r="N150" s="94"/>
      <c r="O150" s="93"/>
    </row>
    <row r="151" spans="1:15" x14ac:dyDescent="0.25">
      <c r="A151" s="98"/>
      <c r="B151" s="704"/>
      <c r="C151" s="704"/>
      <c r="D151" s="95"/>
      <c r="E151" s="95"/>
      <c r="F151" s="95"/>
      <c r="G151" s="95"/>
      <c r="H151" s="1197" t="s">
        <v>58</v>
      </c>
      <c r="I151" s="1196">
        <f>SUM(I150)</f>
        <v>2</v>
      </c>
      <c r="J151" s="95"/>
      <c r="K151" s="94"/>
      <c r="L151" s="94"/>
      <c r="M151" s="94"/>
      <c r="N151" s="94"/>
      <c r="O151" s="93"/>
    </row>
    <row r="152" spans="1:15" ht="15.75" thickBot="1" x14ac:dyDescent="0.3">
      <c r="A152" s="92"/>
      <c r="B152" s="1195"/>
      <c r="C152" s="1195"/>
      <c r="D152" s="91"/>
      <c r="E152" s="91"/>
      <c r="F152" s="91"/>
      <c r="G152" s="91"/>
      <c r="H152" s="91"/>
      <c r="I152" s="91"/>
      <c r="J152" s="91"/>
      <c r="K152" s="91"/>
      <c r="L152" s="91"/>
      <c r="M152" s="91"/>
      <c r="N152" s="91"/>
      <c r="O152" s="90"/>
    </row>
    <row r="153" spans="1:15" ht="15.75" thickBot="1" x14ac:dyDescent="0.3"/>
    <row r="154" spans="1:15" x14ac:dyDescent="0.25">
      <c r="A154" s="141"/>
      <c r="B154" s="1204"/>
      <c r="C154" s="1204"/>
      <c r="D154" s="140"/>
      <c r="E154" s="140"/>
      <c r="F154" s="140"/>
      <c r="G154" s="140"/>
      <c r="H154" s="140"/>
      <c r="I154" s="140"/>
      <c r="J154" s="140"/>
      <c r="K154" s="140"/>
      <c r="L154" s="140"/>
      <c r="M154" s="140"/>
      <c r="N154" s="140"/>
      <c r="O154" s="139"/>
    </row>
    <row r="155" spans="1:15" x14ac:dyDescent="0.25">
      <c r="A155" s="1199" t="s">
        <v>57</v>
      </c>
      <c r="B155" s="1149" t="s">
        <v>127</v>
      </c>
      <c r="C155" s="142"/>
      <c r="D155" s="94"/>
      <c r="E155" s="94"/>
      <c r="F155" s="94"/>
      <c r="G155" s="94"/>
      <c r="H155" s="94"/>
      <c r="I155" s="94"/>
      <c r="J155" s="1199" t="s">
        <v>51</v>
      </c>
      <c r="K155" s="138">
        <v>81</v>
      </c>
      <c r="L155" s="94"/>
      <c r="M155" s="1199" t="s">
        <v>126</v>
      </c>
      <c r="N155" s="100">
        <f>E164+EL_A0003_m+EL_A0003_p+EL_A0003_f+EL_A0003_t</f>
        <v>32.830744333333335</v>
      </c>
      <c r="O155" s="93"/>
    </row>
    <row r="156" spans="1:15" x14ac:dyDescent="0.25">
      <c r="A156" s="1199" t="s">
        <v>125</v>
      </c>
      <c r="B156" s="1149" t="s">
        <v>1975</v>
      </c>
      <c r="C156" s="142"/>
      <c r="D156" s="94"/>
      <c r="E156" s="94"/>
      <c r="F156" s="94"/>
      <c r="G156" s="94"/>
      <c r="H156" s="94"/>
      <c r="I156" s="94"/>
      <c r="J156" s="94"/>
      <c r="K156" s="94"/>
      <c r="L156" s="94"/>
      <c r="M156" s="1199" t="s">
        <v>124</v>
      </c>
      <c r="N156" s="136">
        <v>1</v>
      </c>
      <c r="O156" s="93"/>
    </row>
    <row r="157" spans="1:15" x14ac:dyDescent="0.25">
      <c r="A157" s="1199" t="s">
        <v>123</v>
      </c>
      <c r="B157" s="142" t="s">
        <v>2020</v>
      </c>
      <c r="C157" s="142"/>
      <c r="D157" s="94"/>
      <c r="E157" s="94"/>
      <c r="F157" s="94"/>
      <c r="G157" s="94"/>
      <c r="H157" s="94"/>
      <c r="I157" s="94"/>
      <c r="J157" s="1202" t="s">
        <v>122</v>
      </c>
      <c r="K157" s="94"/>
      <c r="L157" s="94"/>
      <c r="M157" s="94"/>
      <c r="N157" s="94"/>
      <c r="O157" s="93"/>
    </row>
    <row r="158" spans="1:15" x14ac:dyDescent="0.25">
      <c r="A158" s="1199" t="s">
        <v>121</v>
      </c>
      <c r="B158" s="1203" t="s">
        <v>2019</v>
      </c>
      <c r="C158" s="142"/>
      <c r="D158" s="94"/>
      <c r="E158" s="94"/>
      <c r="F158" s="94"/>
      <c r="G158" s="94"/>
      <c r="H158" s="94"/>
      <c r="I158" s="94"/>
      <c r="J158" s="1202" t="s">
        <v>119</v>
      </c>
      <c r="K158" s="94"/>
      <c r="L158" s="94"/>
      <c r="M158" s="1199" t="s">
        <v>118</v>
      </c>
      <c r="N158" s="100">
        <f>N155*N156</f>
        <v>32.830744333333335</v>
      </c>
      <c r="O158" s="93"/>
    </row>
    <row r="159" spans="1:15" x14ac:dyDescent="0.25">
      <c r="A159" s="1199" t="s">
        <v>117</v>
      </c>
      <c r="B159" s="1149" t="s">
        <v>23</v>
      </c>
      <c r="C159" s="142"/>
      <c r="D159" s="94"/>
      <c r="E159" s="94"/>
      <c r="F159" s="94"/>
      <c r="G159" s="94"/>
      <c r="H159" s="94"/>
      <c r="I159" s="94"/>
      <c r="J159" s="1202" t="s">
        <v>116</v>
      </c>
      <c r="K159" s="94"/>
      <c r="L159" s="94"/>
      <c r="M159" s="94"/>
      <c r="N159" s="94"/>
      <c r="O159" s="93"/>
    </row>
    <row r="160" spans="1:15" x14ac:dyDescent="0.25">
      <c r="A160" s="1199" t="s">
        <v>115</v>
      </c>
      <c r="B160" s="1149" t="s">
        <v>2018</v>
      </c>
      <c r="C160" s="142"/>
      <c r="D160" s="94"/>
      <c r="E160" s="94"/>
      <c r="F160" s="94"/>
      <c r="G160" s="94"/>
      <c r="H160" s="94"/>
      <c r="I160" s="94"/>
      <c r="J160" s="94"/>
      <c r="K160" s="94"/>
      <c r="L160" s="94"/>
      <c r="M160" s="94"/>
      <c r="N160" s="94"/>
      <c r="O160" s="93"/>
    </row>
    <row r="161" spans="1:15" x14ac:dyDescent="0.25">
      <c r="A161" s="107"/>
      <c r="B161" s="142"/>
      <c r="C161" s="142"/>
      <c r="D161" s="94"/>
      <c r="E161" s="94"/>
      <c r="F161" s="94"/>
      <c r="G161" s="94"/>
      <c r="H161" s="94"/>
      <c r="I161" s="94"/>
      <c r="J161" s="94"/>
      <c r="K161" s="94"/>
      <c r="L161" s="94"/>
      <c r="M161" s="94"/>
      <c r="N161" s="94"/>
      <c r="O161" s="93"/>
    </row>
    <row r="162" spans="1:15" x14ac:dyDescent="0.25">
      <c r="A162" s="1199" t="s">
        <v>67</v>
      </c>
      <c r="B162" s="1200" t="s">
        <v>114</v>
      </c>
      <c r="C162" s="1200" t="s">
        <v>113</v>
      </c>
      <c r="D162" s="1199" t="s">
        <v>40</v>
      </c>
      <c r="E162" s="1199" t="s">
        <v>58</v>
      </c>
      <c r="F162" s="94"/>
      <c r="G162" s="94"/>
      <c r="H162" s="94"/>
      <c r="I162" s="94"/>
      <c r="J162" s="94"/>
      <c r="K162" s="94"/>
      <c r="L162" s="94"/>
      <c r="M162" s="94"/>
      <c r="N162" s="94"/>
      <c r="O162" s="93"/>
    </row>
    <row r="163" spans="1:15" x14ac:dyDescent="0.25">
      <c r="A163" s="129">
        <v>10</v>
      </c>
      <c r="B163" s="171" t="s">
        <v>2017</v>
      </c>
      <c r="C163" s="1206">
        <f>'EL Parts'!N275</f>
        <v>1.552411</v>
      </c>
      <c r="D163" s="127">
        <f>'EL Parts'!N276</f>
        <v>1</v>
      </c>
      <c r="E163" s="100">
        <f>C163*D163</f>
        <v>1.552411</v>
      </c>
      <c r="F163" s="94"/>
      <c r="G163" s="94"/>
      <c r="H163" s="94"/>
      <c r="I163" s="94"/>
      <c r="J163" s="94"/>
      <c r="K163" s="94"/>
      <c r="L163" s="94"/>
      <c r="M163" s="94"/>
      <c r="N163" s="94"/>
      <c r="O163" s="93"/>
    </row>
    <row r="164" spans="1:15" x14ac:dyDescent="0.25">
      <c r="A164" s="107"/>
      <c r="B164" s="142"/>
      <c r="C164" s="142"/>
      <c r="D164" s="1197" t="s">
        <v>58</v>
      </c>
      <c r="E164" s="1196">
        <f>SUM(E163:E163)</f>
        <v>1.552411</v>
      </c>
      <c r="F164" s="99"/>
      <c r="G164" s="99"/>
      <c r="H164" s="99"/>
      <c r="I164" s="99"/>
      <c r="J164" s="99"/>
      <c r="K164" s="99"/>
      <c r="L164" s="99"/>
      <c r="M164" s="99"/>
      <c r="N164" s="99"/>
      <c r="O164" s="93"/>
    </row>
    <row r="165" spans="1:15" x14ac:dyDescent="0.25">
      <c r="A165" s="107"/>
      <c r="B165" s="142"/>
      <c r="C165" s="142"/>
      <c r="D165" s="94"/>
      <c r="E165" s="94"/>
      <c r="F165" s="94"/>
      <c r="G165" s="94"/>
      <c r="H165" s="94"/>
      <c r="I165" s="94"/>
      <c r="J165" s="94"/>
      <c r="K165" s="94"/>
      <c r="L165" s="94"/>
      <c r="M165" s="94"/>
      <c r="N165" s="94"/>
      <c r="O165" s="93"/>
    </row>
    <row r="166" spans="1:15" x14ac:dyDescent="0.25">
      <c r="A166" s="1199" t="s">
        <v>67</v>
      </c>
      <c r="B166" s="1200" t="s">
        <v>112</v>
      </c>
      <c r="C166" s="1200" t="s">
        <v>66</v>
      </c>
      <c r="D166" s="1199" t="s">
        <v>65</v>
      </c>
      <c r="E166" s="1199" t="s">
        <v>81</v>
      </c>
      <c r="F166" s="1199" t="s">
        <v>80</v>
      </c>
      <c r="G166" s="1199" t="s">
        <v>79</v>
      </c>
      <c r="H166" s="1199" t="s">
        <v>78</v>
      </c>
      <c r="I166" s="1199" t="s">
        <v>111</v>
      </c>
      <c r="J166" s="1199" t="s">
        <v>110</v>
      </c>
      <c r="K166" s="1199" t="s">
        <v>109</v>
      </c>
      <c r="L166" s="1199" t="s">
        <v>108</v>
      </c>
      <c r="M166" s="1199" t="s">
        <v>40</v>
      </c>
      <c r="N166" s="1199" t="s">
        <v>58</v>
      </c>
      <c r="O166" s="93"/>
    </row>
    <row r="167" spans="1:15" x14ac:dyDescent="0.25">
      <c r="A167" s="129">
        <v>10</v>
      </c>
      <c r="B167" s="601" t="s">
        <v>2015</v>
      </c>
      <c r="C167" s="601" t="s">
        <v>2016</v>
      </c>
      <c r="D167" s="100">
        <v>1</v>
      </c>
      <c r="E167" s="129">
        <v>24</v>
      </c>
      <c r="F167" s="129" t="s">
        <v>345</v>
      </c>
      <c r="G167" s="129"/>
      <c r="H167" s="200"/>
      <c r="I167" s="202"/>
      <c r="J167" s="201"/>
      <c r="K167" s="200"/>
      <c r="L167" s="200"/>
      <c r="M167" s="200">
        <v>24</v>
      </c>
      <c r="N167" s="100">
        <f>M167*D167</f>
        <v>24</v>
      </c>
      <c r="O167" s="93"/>
    </row>
    <row r="168" spans="1:15" x14ac:dyDescent="0.25">
      <c r="A168" s="129">
        <v>20</v>
      </c>
      <c r="B168" s="601" t="s">
        <v>2015</v>
      </c>
      <c r="C168" s="601" t="s">
        <v>2014</v>
      </c>
      <c r="D168" s="100">
        <v>1</v>
      </c>
      <c r="E168" s="253">
        <v>2.5</v>
      </c>
      <c r="F168" s="253" t="s">
        <v>345</v>
      </c>
      <c r="G168" s="253"/>
      <c r="H168" s="200"/>
      <c r="I168" s="252"/>
      <c r="J168" s="249"/>
      <c r="K168" s="246"/>
      <c r="L168" s="251"/>
      <c r="M168" s="200">
        <v>2.5</v>
      </c>
      <c r="N168" s="100">
        <f>M168*D168</f>
        <v>2.5</v>
      </c>
      <c r="O168" s="143"/>
    </row>
    <row r="169" spans="1:15" x14ac:dyDescent="0.25">
      <c r="A169" s="129">
        <v>30</v>
      </c>
      <c r="B169" s="601" t="s">
        <v>1929</v>
      </c>
      <c r="C169" s="601" t="s">
        <v>2013</v>
      </c>
      <c r="D169" s="100">
        <v>0.5</v>
      </c>
      <c r="E169" s="129">
        <v>2</v>
      </c>
      <c r="F169" s="129" t="s">
        <v>345</v>
      </c>
      <c r="G169" s="129"/>
      <c r="H169" s="200"/>
      <c r="I169" s="248"/>
      <c r="J169" s="247"/>
      <c r="K169" s="200"/>
      <c r="L169" s="249"/>
      <c r="M169" s="200">
        <v>2</v>
      </c>
      <c r="N169" s="100">
        <f>M169*D169</f>
        <v>1</v>
      </c>
      <c r="O169" s="93"/>
    </row>
    <row r="170" spans="1:15" ht="30" x14ac:dyDescent="0.25">
      <c r="A170" s="129">
        <v>40</v>
      </c>
      <c r="B170" s="601" t="s">
        <v>1941</v>
      </c>
      <c r="C170" s="601" t="s">
        <v>2012</v>
      </c>
      <c r="D170" s="100">
        <v>0.05</v>
      </c>
      <c r="E170" s="129">
        <v>2</v>
      </c>
      <c r="F170" s="129" t="s">
        <v>1939</v>
      </c>
      <c r="G170" s="129"/>
      <c r="H170" s="200"/>
      <c r="I170" s="248"/>
      <c r="J170" s="247"/>
      <c r="K170" s="200"/>
      <c r="L170" s="200"/>
      <c r="M170" s="200">
        <v>2</v>
      </c>
      <c r="N170" s="100">
        <f>M170*D170</f>
        <v>0.1</v>
      </c>
      <c r="O170" s="93"/>
    </row>
    <row r="171" spans="1:15" x14ac:dyDescent="0.25">
      <c r="A171" s="98"/>
      <c r="B171" s="704"/>
      <c r="C171" s="704"/>
      <c r="D171" s="95"/>
      <c r="E171" s="95"/>
      <c r="F171" s="95"/>
      <c r="G171" s="95"/>
      <c r="H171" s="95"/>
      <c r="I171" s="95"/>
      <c r="J171" s="95"/>
      <c r="K171" s="95"/>
      <c r="L171" s="95"/>
      <c r="M171" s="1199" t="s">
        <v>58</v>
      </c>
      <c r="N171" s="1196">
        <f>SUM(N167:N170)</f>
        <v>27.6</v>
      </c>
      <c r="O171" s="93"/>
    </row>
    <row r="172" spans="1:15" x14ac:dyDescent="0.25">
      <c r="A172" s="107"/>
      <c r="B172" s="142"/>
      <c r="C172" s="142"/>
      <c r="D172" s="94"/>
      <c r="E172" s="94"/>
      <c r="F172" s="94"/>
      <c r="G172" s="94"/>
      <c r="H172" s="94"/>
      <c r="I172" s="94"/>
      <c r="J172" s="94"/>
      <c r="K172" s="94"/>
      <c r="L172" s="94"/>
      <c r="M172" s="94"/>
      <c r="N172" s="94"/>
      <c r="O172" s="93"/>
    </row>
    <row r="173" spans="1:15" x14ac:dyDescent="0.25">
      <c r="A173" s="1199" t="s">
        <v>67</v>
      </c>
      <c r="B173" s="1200" t="s">
        <v>106</v>
      </c>
      <c r="C173" s="1200" t="s">
        <v>66</v>
      </c>
      <c r="D173" s="1199" t="s">
        <v>65</v>
      </c>
      <c r="E173" s="1199" t="s">
        <v>64</v>
      </c>
      <c r="F173" s="1199" t="s">
        <v>40</v>
      </c>
      <c r="G173" s="1199" t="s">
        <v>105</v>
      </c>
      <c r="H173" s="1199" t="s">
        <v>104</v>
      </c>
      <c r="I173" s="1199" t="s">
        <v>58</v>
      </c>
      <c r="J173" s="95"/>
      <c r="K173" s="95"/>
      <c r="L173" s="95"/>
      <c r="M173" s="95"/>
      <c r="N173" s="95"/>
      <c r="O173" s="120"/>
    </row>
    <row r="174" spans="1:15" x14ac:dyDescent="0.25">
      <c r="A174" s="129">
        <v>10</v>
      </c>
      <c r="B174" s="601" t="s">
        <v>103</v>
      </c>
      <c r="C174" s="601" t="s">
        <v>2011</v>
      </c>
      <c r="D174" s="100">
        <v>0.15</v>
      </c>
      <c r="E174" s="129" t="s">
        <v>101</v>
      </c>
      <c r="F174" s="244">
        <v>1.5</v>
      </c>
      <c r="G174" s="244"/>
      <c r="H174" s="244"/>
      <c r="I174" s="100">
        <f t="shared" ref="I174:I182" si="6">IF(H174="",D174*F174,D174*F174*H174)</f>
        <v>0.22499999999999998</v>
      </c>
      <c r="J174" s="94"/>
      <c r="K174" s="94"/>
      <c r="L174" s="94"/>
      <c r="M174" s="94"/>
      <c r="N174" s="94"/>
      <c r="O174" s="93"/>
    </row>
    <row r="175" spans="1:15" x14ac:dyDescent="0.25">
      <c r="A175" s="129">
        <v>20</v>
      </c>
      <c r="B175" s="555" t="s">
        <v>1986</v>
      </c>
      <c r="C175" s="601" t="s">
        <v>2010</v>
      </c>
      <c r="D175" s="100">
        <v>0.08</v>
      </c>
      <c r="E175" s="555" t="s">
        <v>64</v>
      </c>
      <c r="F175" s="244">
        <v>12</v>
      </c>
      <c r="G175" s="129"/>
      <c r="H175" s="129"/>
      <c r="I175" s="100">
        <f t="shared" si="6"/>
        <v>0.96</v>
      </c>
      <c r="J175" s="94"/>
      <c r="K175" s="94"/>
      <c r="L175" s="94"/>
      <c r="M175" s="94"/>
      <c r="N175" s="94"/>
      <c r="O175" s="93"/>
    </row>
    <row r="176" spans="1:15" x14ac:dyDescent="0.25">
      <c r="A176" s="129">
        <v>30</v>
      </c>
      <c r="B176" s="555" t="s">
        <v>1984</v>
      </c>
      <c r="C176" s="601" t="s">
        <v>1921</v>
      </c>
      <c r="D176" s="100">
        <v>0.08</v>
      </c>
      <c r="E176" s="129" t="s">
        <v>64</v>
      </c>
      <c r="F176" s="244">
        <v>24</v>
      </c>
      <c r="G176" s="129"/>
      <c r="H176" s="129"/>
      <c r="I176" s="100">
        <f t="shared" si="6"/>
        <v>1.92</v>
      </c>
      <c r="J176" s="94"/>
      <c r="K176" s="94"/>
      <c r="L176" s="94"/>
      <c r="M176" s="94"/>
      <c r="N176" s="94"/>
      <c r="O176" s="93"/>
    </row>
    <row r="177" spans="1:15" x14ac:dyDescent="0.25">
      <c r="A177" s="129">
        <v>40</v>
      </c>
      <c r="B177" s="555" t="s">
        <v>1918</v>
      </c>
      <c r="C177" s="601" t="s">
        <v>2008</v>
      </c>
      <c r="D177" s="100">
        <v>0.36</v>
      </c>
      <c r="E177" s="129" t="s">
        <v>1916</v>
      </c>
      <c r="F177" s="244">
        <v>2</v>
      </c>
      <c r="G177" s="129"/>
      <c r="H177" s="129"/>
      <c r="I177" s="100">
        <f t="shared" si="6"/>
        <v>0.72</v>
      </c>
      <c r="J177" s="94"/>
      <c r="K177" s="94"/>
      <c r="L177" s="94"/>
      <c r="M177" s="94"/>
      <c r="N177" s="94"/>
      <c r="O177" s="93"/>
    </row>
    <row r="178" spans="1:15" x14ac:dyDescent="0.25">
      <c r="A178" s="129">
        <v>50</v>
      </c>
      <c r="B178" s="555" t="s">
        <v>2009</v>
      </c>
      <c r="C178" s="601" t="s">
        <v>2008</v>
      </c>
      <c r="D178" s="100">
        <v>0.52</v>
      </c>
      <c r="E178" s="129" t="s">
        <v>1916</v>
      </c>
      <c r="F178" s="244">
        <v>3</v>
      </c>
      <c r="G178" s="129"/>
      <c r="H178" s="129"/>
      <c r="I178" s="100">
        <f t="shared" si="6"/>
        <v>1.56</v>
      </c>
      <c r="J178" s="94"/>
      <c r="K178" s="94"/>
      <c r="L178" s="94"/>
      <c r="M178" s="94"/>
      <c r="N178" s="94"/>
      <c r="O178" s="93"/>
    </row>
    <row r="179" spans="1:15" x14ac:dyDescent="0.25">
      <c r="A179" s="129">
        <v>60</v>
      </c>
      <c r="B179" s="555" t="s">
        <v>290</v>
      </c>
      <c r="C179" s="601" t="s">
        <v>2007</v>
      </c>
      <c r="D179" s="100">
        <v>0.06</v>
      </c>
      <c r="E179" s="129" t="s">
        <v>101</v>
      </c>
      <c r="F179" s="244">
        <v>1</v>
      </c>
      <c r="G179" s="129"/>
      <c r="H179" s="129"/>
      <c r="I179" s="100">
        <f t="shared" si="6"/>
        <v>0.06</v>
      </c>
      <c r="J179" s="94"/>
      <c r="K179" s="94"/>
      <c r="L179" s="94"/>
      <c r="M179" s="94"/>
      <c r="N179" s="94"/>
      <c r="O179" s="93"/>
    </row>
    <row r="180" spans="1:15" x14ac:dyDescent="0.25">
      <c r="A180" s="129">
        <v>70</v>
      </c>
      <c r="B180" s="555" t="s">
        <v>2006</v>
      </c>
      <c r="C180" s="601" t="s">
        <v>1903</v>
      </c>
      <c r="D180" s="100">
        <v>1</v>
      </c>
      <c r="E180" s="129" t="s">
        <v>345</v>
      </c>
      <c r="F180" s="244">
        <v>2</v>
      </c>
      <c r="G180" s="129"/>
      <c r="H180" s="129"/>
      <c r="I180" s="100">
        <f t="shared" si="6"/>
        <v>2</v>
      </c>
      <c r="J180" s="94"/>
      <c r="K180" s="94"/>
      <c r="L180" s="94"/>
      <c r="M180" s="94"/>
      <c r="N180" s="94"/>
      <c r="O180" s="93"/>
    </row>
    <row r="181" spans="1:15" x14ac:dyDescent="0.25">
      <c r="A181" s="129">
        <v>80</v>
      </c>
      <c r="B181" s="555" t="s">
        <v>2005</v>
      </c>
      <c r="C181" s="601" t="s">
        <v>1903</v>
      </c>
      <c r="D181" s="100">
        <v>0.2</v>
      </c>
      <c r="E181" s="129" t="s">
        <v>345</v>
      </c>
      <c r="F181" s="244">
        <v>2</v>
      </c>
      <c r="G181" s="129"/>
      <c r="H181" s="129"/>
      <c r="I181" s="100">
        <f t="shared" si="6"/>
        <v>0.4</v>
      </c>
      <c r="J181" s="94"/>
      <c r="K181" s="94"/>
      <c r="L181" s="94"/>
      <c r="M181" s="94"/>
      <c r="N181" s="94"/>
      <c r="O181" s="93"/>
    </row>
    <row r="182" spans="1:15" ht="30" x14ac:dyDescent="0.25">
      <c r="A182" s="129">
        <v>90</v>
      </c>
      <c r="B182" s="555" t="s">
        <v>1763</v>
      </c>
      <c r="C182" s="601" t="s">
        <v>1903</v>
      </c>
      <c r="D182" s="100">
        <v>0.09</v>
      </c>
      <c r="E182" s="129" t="s">
        <v>64</v>
      </c>
      <c r="F182" s="244">
        <v>6</v>
      </c>
      <c r="G182" s="129"/>
      <c r="H182" s="129"/>
      <c r="I182" s="100">
        <f t="shared" si="6"/>
        <v>0.54</v>
      </c>
      <c r="J182" s="94"/>
      <c r="K182" s="94"/>
      <c r="L182" s="94"/>
      <c r="M182" s="94"/>
      <c r="N182" s="94"/>
      <c r="O182" s="93"/>
    </row>
    <row r="183" spans="1:15" x14ac:dyDescent="0.25">
      <c r="A183" s="98"/>
      <c r="B183" s="704"/>
      <c r="C183" s="704"/>
      <c r="D183" s="95"/>
      <c r="E183" s="95"/>
      <c r="F183" s="95"/>
      <c r="G183" s="95"/>
      <c r="H183" s="1197" t="s">
        <v>58</v>
      </c>
      <c r="I183" s="1196">
        <f>SUM(I174:I176)</f>
        <v>3.105</v>
      </c>
      <c r="J183" s="94"/>
      <c r="K183" s="94"/>
      <c r="L183" s="94"/>
      <c r="M183" s="94"/>
      <c r="N183" s="94"/>
      <c r="O183" s="93"/>
    </row>
    <row r="184" spans="1:15" x14ac:dyDescent="0.25">
      <c r="A184" s="107"/>
      <c r="B184" s="142"/>
      <c r="C184" s="142"/>
      <c r="D184" s="94"/>
      <c r="E184" s="94"/>
      <c r="F184" s="94"/>
      <c r="G184" s="94"/>
      <c r="H184" s="94"/>
      <c r="I184" s="94"/>
      <c r="J184" s="94"/>
      <c r="K184" s="94"/>
      <c r="L184" s="94"/>
      <c r="M184" s="94"/>
      <c r="N184" s="94"/>
      <c r="O184" s="93"/>
    </row>
    <row r="185" spans="1:15" x14ac:dyDescent="0.25">
      <c r="A185" s="1199" t="s">
        <v>67</v>
      </c>
      <c r="B185" s="1200" t="s">
        <v>82</v>
      </c>
      <c r="C185" s="1200" t="s">
        <v>66</v>
      </c>
      <c r="D185" s="1199" t="s">
        <v>65</v>
      </c>
      <c r="E185" s="1199" t="s">
        <v>81</v>
      </c>
      <c r="F185" s="1199" t="s">
        <v>80</v>
      </c>
      <c r="G185" s="1199" t="s">
        <v>79</v>
      </c>
      <c r="H185" s="1199" t="s">
        <v>78</v>
      </c>
      <c r="I185" s="1199" t="s">
        <v>40</v>
      </c>
      <c r="J185" s="1199" t="s">
        <v>58</v>
      </c>
      <c r="K185" s="94"/>
      <c r="L185" s="94"/>
      <c r="M185" s="94"/>
      <c r="N185" s="94"/>
      <c r="O185" s="93"/>
    </row>
    <row r="186" spans="1:15" x14ac:dyDescent="0.25">
      <c r="A186" s="129">
        <v>10</v>
      </c>
      <c r="B186" s="601" t="s">
        <v>1757</v>
      </c>
      <c r="C186" s="601" t="s">
        <v>1892</v>
      </c>
      <c r="D186" s="553">
        <v>0.04</v>
      </c>
      <c r="E186" s="552"/>
      <c r="F186" s="552"/>
      <c r="G186" s="552"/>
      <c r="H186" s="552"/>
      <c r="I186" s="136">
        <v>6</v>
      </c>
      <c r="J186" s="100">
        <f>I186*D186</f>
        <v>0.24</v>
      </c>
      <c r="K186" s="94"/>
      <c r="L186" s="94"/>
      <c r="M186" s="94"/>
      <c r="N186" s="94"/>
      <c r="O186" s="93"/>
    </row>
    <row r="187" spans="1:15" x14ac:dyDescent="0.25">
      <c r="A187" s="98"/>
      <c r="B187" s="704"/>
      <c r="C187" s="704"/>
      <c r="D187" s="95"/>
      <c r="E187" s="95"/>
      <c r="F187" s="95"/>
      <c r="G187" s="95"/>
      <c r="H187" s="95"/>
      <c r="I187" s="1197" t="s">
        <v>58</v>
      </c>
      <c r="J187" s="1196">
        <f>SUM(J186:J186)</f>
        <v>0.24</v>
      </c>
      <c r="K187" s="94"/>
      <c r="L187" s="94"/>
      <c r="M187" s="94"/>
      <c r="N187" s="94"/>
      <c r="O187" s="93"/>
    </row>
    <row r="188" spans="1:15" x14ac:dyDescent="0.25">
      <c r="A188" s="107"/>
      <c r="B188" s="142"/>
      <c r="C188" s="142"/>
      <c r="D188" s="94"/>
      <c r="E188" s="94"/>
      <c r="F188" s="94"/>
      <c r="G188" s="94"/>
      <c r="H188" s="94"/>
      <c r="I188" s="94"/>
      <c r="J188" s="94"/>
      <c r="K188" s="94"/>
      <c r="L188" s="94"/>
      <c r="M188" s="94"/>
      <c r="N188" s="94"/>
      <c r="O188" s="93"/>
    </row>
    <row r="189" spans="1:15" x14ac:dyDescent="0.25">
      <c r="A189" s="1199" t="s">
        <v>67</v>
      </c>
      <c r="B189" s="1200" t="s">
        <v>13</v>
      </c>
      <c r="C189" s="1200" t="s">
        <v>66</v>
      </c>
      <c r="D189" s="1199" t="s">
        <v>65</v>
      </c>
      <c r="E189" s="1199" t="s">
        <v>64</v>
      </c>
      <c r="F189" s="1199" t="s">
        <v>40</v>
      </c>
      <c r="G189" s="1199" t="s">
        <v>63</v>
      </c>
      <c r="H189" s="1199" t="s">
        <v>62</v>
      </c>
      <c r="I189" s="1199" t="s">
        <v>58</v>
      </c>
      <c r="J189" s="95"/>
      <c r="K189" s="94"/>
      <c r="L189" s="94"/>
      <c r="M189" s="94"/>
      <c r="N189" s="94"/>
      <c r="O189" s="93"/>
    </row>
    <row r="190" spans="1:15" x14ac:dyDescent="0.25">
      <c r="A190" s="129">
        <v>10</v>
      </c>
      <c r="B190" s="601" t="s">
        <v>61</v>
      </c>
      <c r="C190" s="601" t="s">
        <v>2004</v>
      </c>
      <c r="D190" s="100">
        <v>500</v>
      </c>
      <c r="E190" s="129" t="s">
        <v>59</v>
      </c>
      <c r="F190" s="129">
        <v>2</v>
      </c>
      <c r="G190" s="129">
        <v>3000</v>
      </c>
      <c r="H190" s="129">
        <v>1</v>
      </c>
      <c r="I190" s="100">
        <f>D190*F190/G190*H190</f>
        <v>0.33333333333333331</v>
      </c>
      <c r="J190" s="99"/>
      <c r="K190" s="94"/>
      <c r="L190" s="94"/>
      <c r="M190" s="94"/>
      <c r="N190" s="94"/>
      <c r="O190" s="93"/>
    </row>
    <row r="191" spans="1:15" x14ac:dyDescent="0.25">
      <c r="A191" s="98"/>
      <c r="B191" s="704"/>
      <c r="C191" s="704"/>
      <c r="D191" s="95"/>
      <c r="E191" s="95"/>
      <c r="F191" s="95"/>
      <c r="G191" s="95"/>
      <c r="H191" s="1197" t="s">
        <v>58</v>
      </c>
      <c r="I191" s="1196">
        <f>SUM(I190)</f>
        <v>0.33333333333333331</v>
      </c>
      <c r="J191" s="95"/>
      <c r="K191" s="94"/>
      <c r="L191" s="94"/>
      <c r="M191" s="94"/>
      <c r="N191" s="94"/>
      <c r="O191" s="93"/>
    </row>
    <row r="192" spans="1:15" ht="15.75" thickBot="1" x14ac:dyDescent="0.3">
      <c r="A192" s="92"/>
      <c r="B192" s="1195"/>
      <c r="C192" s="1195"/>
      <c r="D192" s="91"/>
      <c r="E192" s="91"/>
      <c r="F192" s="91"/>
      <c r="G192" s="91"/>
      <c r="H192" s="91"/>
      <c r="I192" s="91"/>
      <c r="J192" s="91"/>
      <c r="K192" s="91"/>
      <c r="L192" s="91"/>
      <c r="M192" s="91"/>
      <c r="N192" s="91"/>
      <c r="O192" s="90"/>
    </row>
    <row r="193" spans="1:15" ht="15.75" thickBot="1" x14ac:dyDescent="0.3"/>
    <row r="194" spans="1:15" x14ac:dyDescent="0.25">
      <c r="A194" s="141"/>
      <c r="B194" s="1204"/>
      <c r="C194" s="1204"/>
      <c r="D194" s="140"/>
      <c r="E194" s="140"/>
      <c r="F194" s="140"/>
      <c r="G194" s="140"/>
      <c r="H194" s="140"/>
      <c r="I194" s="140"/>
      <c r="J194" s="140"/>
      <c r="K194" s="140"/>
      <c r="L194" s="140"/>
      <c r="M194" s="140"/>
      <c r="N194" s="140"/>
      <c r="O194" s="139"/>
    </row>
    <row r="195" spans="1:15" x14ac:dyDescent="0.25">
      <c r="A195" s="1199" t="s">
        <v>57</v>
      </c>
      <c r="B195" s="1149" t="s">
        <v>127</v>
      </c>
      <c r="C195" s="142"/>
      <c r="D195" s="94"/>
      <c r="E195" s="94"/>
      <c r="F195" s="94"/>
      <c r="G195" s="94"/>
      <c r="H195" s="94"/>
      <c r="I195" s="94"/>
      <c r="J195" s="1199" t="s">
        <v>51</v>
      </c>
      <c r="K195" s="138">
        <v>81</v>
      </c>
      <c r="L195" s="94"/>
      <c r="M195" s="1199" t="s">
        <v>126</v>
      </c>
      <c r="N195" s="100">
        <f>E204+EL_A0004_m+EL_A0004_p</f>
        <v>45.22528419999999</v>
      </c>
      <c r="O195" s="93"/>
    </row>
    <row r="196" spans="1:15" x14ac:dyDescent="0.25">
      <c r="A196" s="1199" t="s">
        <v>125</v>
      </c>
      <c r="B196" s="1149" t="s">
        <v>1975</v>
      </c>
      <c r="C196" s="142"/>
      <c r="D196" s="94"/>
      <c r="E196" s="94"/>
      <c r="F196" s="94"/>
      <c r="G196" s="94"/>
      <c r="H196" s="94"/>
      <c r="I196" s="94"/>
      <c r="J196" s="94"/>
      <c r="K196" s="94"/>
      <c r="L196" s="94"/>
      <c r="M196" s="1199" t="s">
        <v>124</v>
      </c>
      <c r="N196" s="136">
        <v>1</v>
      </c>
      <c r="O196" s="93"/>
    </row>
    <row r="197" spans="1:15" x14ac:dyDescent="0.25">
      <c r="A197" s="1199" t="s">
        <v>123</v>
      </c>
      <c r="B197" s="142" t="s">
        <v>2003</v>
      </c>
      <c r="C197" s="142"/>
      <c r="D197" s="94"/>
      <c r="E197" s="94"/>
      <c r="F197" s="94"/>
      <c r="G197" s="94"/>
      <c r="H197" s="94"/>
      <c r="I197" s="94"/>
      <c r="J197" s="1202" t="s">
        <v>122</v>
      </c>
      <c r="K197" s="94"/>
      <c r="L197" s="94"/>
      <c r="M197" s="94"/>
      <c r="N197" s="94"/>
      <c r="O197" s="93"/>
    </row>
    <row r="198" spans="1:15" x14ac:dyDescent="0.25">
      <c r="A198" s="1199" t="s">
        <v>121</v>
      </c>
      <c r="B198" s="1203" t="s">
        <v>2002</v>
      </c>
      <c r="C198" s="142"/>
      <c r="D198" s="94"/>
      <c r="E198" s="94"/>
      <c r="F198" s="94"/>
      <c r="G198" s="94"/>
      <c r="H198" s="94"/>
      <c r="I198" s="94"/>
      <c r="J198" s="1202" t="s">
        <v>119</v>
      </c>
      <c r="K198" s="94"/>
      <c r="L198" s="94"/>
      <c r="M198" s="1199" t="s">
        <v>118</v>
      </c>
      <c r="N198" s="100">
        <f>N195*N196</f>
        <v>45.22528419999999</v>
      </c>
      <c r="O198" s="93"/>
    </row>
    <row r="199" spans="1:15" x14ac:dyDescent="0.25">
      <c r="A199" s="1199" t="s">
        <v>117</v>
      </c>
      <c r="B199" s="1149" t="s">
        <v>23</v>
      </c>
      <c r="C199" s="142"/>
      <c r="D199" s="94"/>
      <c r="E199" s="94"/>
      <c r="F199" s="94"/>
      <c r="G199" s="94"/>
      <c r="H199" s="94"/>
      <c r="I199" s="94"/>
      <c r="J199" s="1202" t="s">
        <v>116</v>
      </c>
      <c r="K199" s="94"/>
      <c r="L199" s="94"/>
      <c r="M199" s="94"/>
      <c r="N199" s="94"/>
      <c r="O199" s="93"/>
    </row>
    <row r="200" spans="1:15" x14ac:dyDescent="0.25">
      <c r="A200" s="1199" t="s">
        <v>115</v>
      </c>
      <c r="B200" s="1149" t="s">
        <v>2001</v>
      </c>
      <c r="C200" s="142"/>
      <c r="D200" s="94"/>
      <c r="E200" s="94"/>
      <c r="F200" s="94"/>
      <c r="G200" s="94"/>
      <c r="H200" s="94"/>
      <c r="I200" s="94"/>
      <c r="J200" s="94"/>
      <c r="K200" s="94"/>
      <c r="L200" s="94"/>
      <c r="M200" s="94"/>
      <c r="N200" s="94"/>
      <c r="O200" s="93"/>
    </row>
    <row r="201" spans="1:15" x14ac:dyDescent="0.25">
      <c r="A201" s="107"/>
      <c r="B201" s="142"/>
      <c r="C201" s="142"/>
      <c r="D201" s="94"/>
      <c r="E201" s="94"/>
      <c r="F201" s="94"/>
      <c r="G201" s="94"/>
      <c r="H201" s="94"/>
      <c r="I201" s="94"/>
      <c r="J201" s="94"/>
      <c r="K201" s="94"/>
      <c r="L201" s="94"/>
      <c r="M201" s="94"/>
      <c r="N201" s="94"/>
      <c r="O201" s="93"/>
    </row>
    <row r="202" spans="1:15" x14ac:dyDescent="0.25">
      <c r="A202" s="1199" t="s">
        <v>67</v>
      </c>
      <c r="B202" s="1200" t="s">
        <v>114</v>
      </c>
      <c r="C202" s="1200" t="s">
        <v>113</v>
      </c>
      <c r="D202" s="1199" t="s">
        <v>40</v>
      </c>
      <c r="E202" s="1199" t="s">
        <v>58</v>
      </c>
      <c r="F202" s="94"/>
      <c r="G202" s="94"/>
      <c r="H202" s="94"/>
      <c r="I202" s="94"/>
      <c r="J202" s="94"/>
      <c r="K202" s="94"/>
      <c r="L202" s="94"/>
      <c r="M202" s="94"/>
      <c r="N202" s="94"/>
      <c r="O202" s="93"/>
    </row>
    <row r="203" spans="1:15" x14ac:dyDescent="0.25">
      <c r="A203" s="129">
        <v>10</v>
      </c>
      <c r="B203" s="171" t="s">
        <v>2000</v>
      </c>
      <c r="C203" s="1206">
        <f>'EL Parts'!N294</f>
        <v>1.5352842</v>
      </c>
      <c r="D203" s="127">
        <f>'EL Parts'!N295</f>
        <v>1</v>
      </c>
      <c r="E203" s="100">
        <f>C203*D203</f>
        <v>1.5352842</v>
      </c>
      <c r="F203" s="94"/>
      <c r="G203" s="94"/>
      <c r="H203" s="94"/>
      <c r="I203" s="94"/>
      <c r="J203" s="94"/>
      <c r="K203" s="94"/>
      <c r="L203" s="94"/>
      <c r="M203" s="94"/>
      <c r="N203" s="94"/>
      <c r="O203" s="93"/>
    </row>
    <row r="204" spans="1:15" x14ac:dyDescent="0.25">
      <c r="A204" s="107"/>
      <c r="B204" s="142"/>
      <c r="C204" s="142"/>
      <c r="D204" s="1197" t="s">
        <v>58</v>
      </c>
      <c r="E204" s="1196">
        <f>SUM(E203:E203)</f>
        <v>1.5352842</v>
      </c>
      <c r="F204" s="99"/>
      <c r="G204" s="99"/>
      <c r="H204" s="99"/>
      <c r="I204" s="99"/>
      <c r="J204" s="99"/>
      <c r="K204" s="99"/>
      <c r="L204" s="99"/>
      <c r="M204" s="99"/>
      <c r="N204" s="99"/>
      <c r="O204" s="93"/>
    </row>
    <row r="205" spans="1:15" x14ac:dyDescent="0.25">
      <c r="A205" s="107"/>
      <c r="B205" s="142"/>
      <c r="C205" s="142"/>
      <c r="D205" s="94"/>
      <c r="E205" s="94"/>
      <c r="F205" s="94"/>
      <c r="G205" s="94"/>
      <c r="H205" s="94"/>
      <c r="I205" s="94"/>
      <c r="J205" s="94"/>
      <c r="K205" s="94"/>
      <c r="L205" s="94"/>
      <c r="M205" s="94"/>
      <c r="N205" s="94"/>
      <c r="O205" s="93"/>
    </row>
    <row r="206" spans="1:15" x14ac:dyDescent="0.25">
      <c r="A206" s="1199" t="s">
        <v>67</v>
      </c>
      <c r="B206" s="1200" t="s">
        <v>112</v>
      </c>
      <c r="C206" s="1200" t="s">
        <v>66</v>
      </c>
      <c r="D206" s="1199" t="s">
        <v>65</v>
      </c>
      <c r="E206" s="1199" t="s">
        <v>81</v>
      </c>
      <c r="F206" s="1199" t="s">
        <v>80</v>
      </c>
      <c r="G206" s="1199" t="s">
        <v>79</v>
      </c>
      <c r="H206" s="1199" t="s">
        <v>78</v>
      </c>
      <c r="I206" s="1199" t="s">
        <v>111</v>
      </c>
      <c r="J206" s="1199" t="s">
        <v>110</v>
      </c>
      <c r="K206" s="1199" t="s">
        <v>109</v>
      </c>
      <c r="L206" s="1199" t="s">
        <v>108</v>
      </c>
      <c r="M206" s="1199" t="s">
        <v>40</v>
      </c>
      <c r="N206" s="1199" t="s">
        <v>58</v>
      </c>
      <c r="O206" s="93"/>
    </row>
    <row r="207" spans="1:15" x14ac:dyDescent="0.25">
      <c r="A207" s="129">
        <v>10</v>
      </c>
      <c r="B207" s="601" t="s">
        <v>1990</v>
      </c>
      <c r="C207" s="601"/>
      <c r="D207" s="100">
        <v>1</v>
      </c>
      <c r="E207" s="129">
        <v>13.4</v>
      </c>
      <c r="F207" s="129" t="s">
        <v>345</v>
      </c>
      <c r="G207" s="129"/>
      <c r="H207" s="200"/>
      <c r="I207" s="202"/>
      <c r="J207" s="201"/>
      <c r="K207" s="200"/>
      <c r="L207" s="200"/>
      <c r="M207" s="200">
        <v>1</v>
      </c>
      <c r="N207" s="100">
        <f>M207*D207*E207</f>
        <v>13.4</v>
      </c>
      <c r="O207" s="93"/>
    </row>
    <row r="208" spans="1:15" x14ac:dyDescent="0.25">
      <c r="A208" s="129">
        <v>20</v>
      </c>
      <c r="B208" s="601" t="s">
        <v>1988</v>
      </c>
      <c r="C208" s="601" t="s">
        <v>1999</v>
      </c>
      <c r="D208" s="100">
        <v>1</v>
      </c>
      <c r="E208" s="253">
        <v>4</v>
      </c>
      <c r="F208" s="253" t="s">
        <v>1934</v>
      </c>
      <c r="G208" s="253"/>
      <c r="H208" s="200"/>
      <c r="I208" s="252"/>
      <c r="J208" s="249"/>
      <c r="K208" s="246"/>
      <c r="L208" s="251"/>
      <c r="M208" s="200">
        <v>1</v>
      </c>
      <c r="N208" s="100">
        <f>M208*D208</f>
        <v>1</v>
      </c>
      <c r="O208" s="143"/>
    </row>
    <row r="209" spans="1:15" x14ac:dyDescent="0.25">
      <c r="A209" s="129">
        <v>30</v>
      </c>
      <c r="B209" s="601" t="s">
        <v>1998</v>
      </c>
      <c r="C209" s="601"/>
      <c r="D209" s="100">
        <v>1</v>
      </c>
      <c r="E209" s="253">
        <v>6</v>
      </c>
      <c r="F209" s="253" t="s">
        <v>1934</v>
      </c>
      <c r="G209" s="253"/>
      <c r="H209" s="200"/>
      <c r="I209" s="252"/>
      <c r="J209" s="249"/>
      <c r="K209" s="246"/>
      <c r="L209" s="251"/>
      <c r="M209" s="200">
        <v>1</v>
      </c>
      <c r="N209" s="100">
        <f>M209*D209</f>
        <v>1</v>
      </c>
      <c r="O209" s="143"/>
    </row>
    <row r="210" spans="1:15" x14ac:dyDescent="0.25">
      <c r="A210" s="129">
        <v>40</v>
      </c>
      <c r="B210" s="601" t="s">
        <v>1998</v>
      </c>
      <c r="C210" s="601"/>
      <c r="D210" s="100">
        <v>1</v>
      </c>
      <c r="E210" s="253">
        <v>8</v>
      </c>
      <c r="F210" s="253" t="s">
        <v>1934</v>
      </c>
      <c r="G210" s="253"/>
      <c r="H210" s="200"/>
      <c r="I210" s="252"/>
      <c r="J210" s="249"/>
      <c r="K210" s="246"/>
      <c r="L210" s="251"/>
      <c r="M210" s="200">
        <v>1</v>
      </c>
      <c r="N210" s="100">
        <f>M210*D210</f>
        <v>1</v>
      </c>
      <c r="O210" s="143"/>
    </row>
    <row r="211" spans="1:15" x14ac:dyDescent="0.25">
      <c r="A211" s="129">
        <v>50</v>
      </c>
      <c r="B211" s="601" t="s">
        <v>1941</v>
      </c>
      <c r="C211" s="601" t="s">
        <v>1997</v>
      </c>
      <c r="D211" s="100">
        <v>0.05</v>
      </c>
      <c r="E211" s="253">
        <v>1</v>
      </c>
      <c r="F211" s="253" t="s">
        <v>1939</v>
      </c>
      <c r="G211" s="253"/>
      <c r="H211" s="200"/>
      <c r="I211" s="252"/>
      <c r="J211" s="249"/>
      <c r="K211" s="246"/>
      <c r="L211" s="251"/>
      <c r="M211" s="200">
        <v>4</v>
      </c>
      <c r="N211" s="100">
        <f>M211*D211</f>
        <v>0.2</v>
      </c>
      <c r="O211" s="143"/>
    </row>
    <row r="212" spans="1:15" x14ac:dyDescent="0.25">
      <c r="A212" s="129">
        <v>60</v>
      </c>
      <c r="B212" s="601" t="s">
        <v>1795</v>
      </c>
      <c r="C212" s="601"/>
      <c r="D212" s="100">
        <v>0.5</v>
      </c>
      <c r="E212" s="253">
        <v>0.5</v>
      </c>
      <c r="F212" s="253" t="s">
        <v>345</v>
      </c>
      <c r="G212" s="253"/>
      <c r="H212" s="200"/>
      <c r="I212" s="252"/>
      <c r="J212" s="249"/>
      <c r="K212" s="246"/>
      <c r="L212" s="251"/>
      <c r="M212" s="200">
        <v>1</v>
      </c>
      <c r="N212" s="100">
        <f>M212*D212*E212</f>
        <v>0.25</v>
      </c>
      <c r="O212" s="143"/>
    </row>
    <row r="213" spans="1:15" x14ac:dyDescent="0.25">
      <c r="A213" s="98"/>
      <c r="B213" s="704"/>
      <c r="C213" s="704"/>
      <c r="D213" s="95"/>
      <c r="E213" s="95"/>
      <c r="F213" s="95"/>
      <c r="G213" s="95"/>
      <c r="H213" s="95"/>
      <c r="I213" s="95"/>
      <c r="J213" s="95"/>
      <c r="K213" s="95"/>
      <c r="L213" s="95"/>
      <c r="M213" s="1199" t="s">
        <v>58</v>
      </c>
      <c r="N213" s="1196">
        <f>SUM(N207:N212)</f>
        <v>16.849999999999998</v>
      </c>
      <c r="O213" s="93"/>
    </row>
    <row r="214" spans="1:15" x14ac:dyDescent="0.25">
      <c r="A214" s="107"/>
      <c r="B214" s="142"/>
      <c r="C214" s="142"/>
      <c r="D214" s="94"/>
      <c r="E214" s="94"/>
      <c r="F214" s="94"/>
      <c r="G214" s="94"/>
      <c r="H214" s="94"/>
      <c r="I214" s="94"/>
      <c r="J214" s="94"/>
      <c r="K214" s="94"/>
      <c r="L214" s="94"/>
      <c r="M214" s="94"/>
      <c r="N214" s="94"/>
      <c r="O214" s="93"/>
    </row>
    <row r="215" spans="1:15" x14ac:dyDescent="0.25">
      <c r="A215" s="1199" t="s">
        <v>67</v>
      </c>
      <c r="B215" s="1200" t="s">
        <v>106</v>
      </c>
      <c r="C215" s="1200" t="s">
        <v>66</v>
      </c>
      <c r="D215" s="1199" t="s">
        <v>65</v>
      </c>
      <c r="E215" s="1199" t="s">
        <v>64</v>
      </c>
      <c r="F215" s="1199" t="s">
        <v>40</v>
      </c>
      <c r="G215" s="1199" t="s">
        <v>105</v>
      </c>
      <c r="H215" s="1199" t="s">
        <v>104</v>
      </c>
      <c r="I215" s="1199" t="s">
        <v>58</v>
      </c>
      <c r="J215" s="95"/>
      <c r="K215" s="95"/>
      <c r="L215" s="95"/>
      <c r="M215" s="95"/>
      <c r="N215" s="95"/>
      <c r="O215" s="120"/>
    </row>
    <row r="216" spans="1:15" x14ac:dyDescent="0.25">
      <c r="A216" s="129">
        <v>10</v>
      </c>
      <c r="B216" s="601" t="s">
        <v>1986</v>
      </c>
      <c r="C216" s="601"/>
      <c r="D216" s="100">
        <v>0.08</v>
      </c>
      <c r="E216" s="129" t="s">
        <v>64</v>
      </c>
      <c r="F216" s="244">
        <v>20</v>
      </c>
      <c r="G216" s="244"/>
      <c r="H216" s="244"/>
      <c r="I216" s="100">
        <f t="shared" ref="I216:I225" si="7">IF(H216="",D216*F216,D216*F216*H216)</f>
        <v>1.6</v>
      </c>
      <c r="J216" s="94"/>
      <c r="K216" s="94"/>
      <c r="L216" s="94"/>
      <c r="M216" s="94"/>
      <c r="N216" s="94"/>
      <c r="O216" s="93"/>
    </row>
    <row r="217" spans="1:15" x14ac:dyDescent="0.25">
      <c r="A217" s="129">
        <v>20</v>
      </c>
      <c r="B217" s="555" t="s">
        <v>1984</v>
      </c>
      <c r="C217" s="601"/>
      <c r="D217" s="100">
        <v>0.08</v>
      </c>
      <c r="E217" s="555" t="s">
        <v>64</v>
      </c>
      <c r="F217" s="244">
        <v>19</v>
      </c>
      <c r="G217" s="129"/>
      <c r="H217" s="129"/>
      <c r="I217" s="100">
        <f t="shared" si="7"/>
        <v>1.52</v>
      </c>
      <c r="J217" s="94"/>
      <c r="K217" s="94"/>
      <c r="L217" s="94"/>
      <c r="M217" s="94"/>
      <c r="N217" s="94"/>
      <c r="O217" s="93"/>
    </row>
    <row r="218" spans="1:15" x14ac:dyDescent="0.25">
      <c r="A218" s="129">
        <v>30</v>
      </c>
      <c r="B218" s="555" t="s">
        <v>1913</v>
      </c>
      <c r="C218" s="601"/>
      <c r="D218" s="100">
        <v>0.52</v>
      </c>
      <c r="E218" s="129" t="s">
        <v>64</v>
      </c>
      <c r="F218" s="244">
        <v>12</v>
      </c>
      <c r="G218" s="129"/>
      <c r="H218" s="129"/>
      <c r="I218" s="100">
        <f t="shared" si="7"/>
        <v>6.24</v>
      </c>
      <c r="J218" s="94"/>
      <c r="K218" s="94"/>
      <c r="L218" s="94"/>
      <c r="M218" s="94"/>
      <c r="N218" s="94"/>
      <c r="O218" s="93"/>
    </row>
    <row r="219" spans="1:15" x14ac:dyDescent="0.25">
      <c r="A219" s="129">
        <v>40</v>
      </c>
      <c r="B219" s="555" t="s">
        <v>1981</v>
      </c>
      <c r="C219" s="601"/>
      <c r="D219" s="100">
        <v>0.17</v>
      </c>
      <c r="E219" s="129" t="s">
        <v>64</v>
      </c>
      <c r="F219" s="244">
        <v>6</v>
      </c>
      <c r="G219" s="129"/>
      <c r="H219" s="129"/>
      <c r="I219" s="100">
        <f t="shared" si="7"/>
        <v>1.02</v>
      </c>
      <c r="J219" s="94"/>
      <c r="K219" s="94"/>
      <c r="L219" s="94"/>
      <c r="M219" s="94"/>
      <c r="N219" s="94"/>
      <c r="O219" s="93"/>
    </row>
    <row r="220" spans="1:15" x14ac:dyDescent="0.25">
      <c r="A220" s="129">
        <v>50</v>
      </c>
      <c r="B220" s="1205" t="s">
        <v>1980</v>
      </c>
      <c r="C220" s="601"/>
      <c r="D220" s="100">
        <v>0.36</v>
      </c>
      <c r="E220" s="129" t="s">
        <v>1979</v>
      </c>
      <c r="F220" s="244">
        <v>6</v>
      </c>
      <c r="G220" s="129"/>
      <c r="H220" s="129"/>
      <c r="I220" s="100">
        <f t="shared" si="7"/>
        <v>2.16</v>
      </c>
      <c r="J220" s="94"/>
      <c r="K220" s="94"/>
      <c r="L220" s="94"/>
      <c r="M220" s="94"/>
      <c r="N220" s="94"/>
      <c r="O220" s="93"/>
    </row>
    <row r="221" spans="1:15" x14ac:dyDescent="0.25">
      <c r="A221" s="129">
        <v>60</v>
      </c>
      <c r="B221" s="555" t="s">
        <v>1996</v>
      </c>
      <c r="C221" s="601"/>
      <c r="D221" s="100">
        <v>0.24</v>
      </c>
      <c r="E221" s="129" t="s">
        <v>1979</v>
      </c>
      <c r="F221" s="244">
        <v>17</v>
      </c>
      <c r="G221" s="129"/>
      <c r="H221" s="129"/>
      <c r="I221" s="100">
        <f t="shared" si="7"/>
        <v>4.08</v>
      </c>
      <c r="J221" s="94"/>
      <c r="K221" s="94"/>
      <c r="L221" s="94"/>
      <c r="M221" s="94"/>
      <c r="N221" s="94"/>
      <c r="O221" s="93"/>
    </row>
    <row r="222" spans="1:15" x14ac:dyDescent="0.25">
      <c r="A222" s="129">
        <v>70</v>
      </c>
      <c r="B222" s="555" t="s">
        <v>1978</v>
      </c>
      <c r="C222" s="601"/>
      <c r="D222" s="100">
        <v>0.15</v>
      </c>
      <c r="E222" s="129" t="s">
        <v>101</v>
      </c>
      <c r="F222" s="244">
        <v>50</v>
      </c>
      <c r="G222" s="129"/>
      <c r="H222" s="129"/>
      <c r="I222" s="100">
        <f t="shared" si="7"/>
        <v>7.5</v>
      </c>
      <c r="J222" s="94"/>
      <c r="K222" s="94"/>
      <c r="L222" s="94"/>
      <c r="M222" s="94"/>
      <c r="N222" s="94"/>
      <c r="O222" s="93"/>
    </row>
    <row r="223" spans="1:15" x14ac:dyDescent="0.25">
      <c r="A223" s="129">
        <v>80</v>
      </c>
      <c r="B223" s="555" t="s">
        <v>1977</v>
      </c>
      <c r="C223" s="601"/>
      <c r="D223" s="100">
        <v>1</v>
      </c>
      <c r="E223" s="129" t="s">
        <v>345</v>
      </c>
      <c r="F223" s="244">
        <v>2.2000000000000002</v>
      </c>
      <c r="G223" s="129"/>
      <c r="H223" s="129"/>
      <c r="I223" s="100">
        <f t="shared" si="7"/>
        <v>2.2000000000000002</v>
      </c>
      <c r="J223" s="94"/>
      <c r="K223" s="94"/>
      <c r="L223" s="94"/>
      <c r="M223" s="94"/>
      <c r="N223" s="94"/>
      <c r="O223" s="93"/>
    </row>
    <row r="224" spans="1:15" ht="30" x14ac:dyDescent="0.25">
      <c r="A224" s="129">
        <v>90</v>
      </c>
      <c r="B224" s="555" t="s">
        <v>1995</v>
      </c>
      <c r="C224" s="601"/>
      <c r="D224" s="100">
        <v>0.24</v>
      </c>
      <c r="E224" s="129" t="s">
        <v>64</v>
      </c>
      <c r="F224" s="244">
        <v>1</v>
      </c>
      <c r="G224" s="129"/>
      <c r="H224" s="129"/>
      <c r="I224" s="100">
        <f t="shared" si="7"/>
        <v>0.24</v>
      </c>
      <c r="J224" s="94"/>
      <c r="K224" s="94"/>
      <c r="L224" s="94"/>
      <c r="M224" s="94"/>
      <c r="N224" s="94"/>
      <c r="O224" s="93"/>
    </row>
    <row r="225" spans="1:15" x14ac:dyDescent="0.25">
      <c r="A225" s="129">
        <v>100</v>
      </c>
      <c r="B225" s="555" t="s">
        <v>1994</v>
      </c>
      <c r="C225" s="601"/>
      <c r="D225" s="100">
        <v>0.14000000000000001</v>
      </c>
      <c r="E225" s="129" t="s">
        <v>64</v>
      </c>
      <c r="F225" s="244">
        <v>2</v>
      </c>
      <c r="G225" s="129"/>
      <c r="H225" s="129"/>
      <c r="I225" s="100">
        <f t="shared" si="7"/>
        <v>0.28000000000000003</v>
      </c>
      <c r="J225" s="94"/>
      <c r="K225" s="94"/>
      <c r="L225" s="94"/>
      <c r="M225" s="94"/>
      <c r="N225" s="94"/>
      <c r="O225" s="93"/>
    </row>
    <row r="226" spans="1:15" x14ac:dyDescent="0.25">
      <c r="A226" s="98"/>
      <c r="B226" s="704"/>
      <c r="C226" s="704"/>
      <c r="D226" s="95"/>
      <c r="E226" s="95"/>
      <c r="F226" s="95"/>
      <c r="G226" s="95"/>
      <c r="H226" s="1197" t="s">
        <v>58</v>
      </c>
      <c r="I226" s="1196">
        <f>SUM(I216:I225)</f>
        <v>26.839999999999996</v>
      </c>
      <c r="J226" s="94"/>
      <c r="K226" s="94"/>
      <c r="L226" s="94"/>
      <c r="M226" s="94"/>
      <c r="N226" s="94"/>
      <c r="O226" s="93"/>
    </row>
    <row r="227" spans="1:15" ht="15.75" thickBot="1" x14ac:dyDescent="0.3">
      <c r="A227" s="92"/>
      <c r="B227" s="1195"/>
      <c r="C227" s="1195"/>
      <c r="D227" s="91"/>
      <c r="E227" s="91"/>
      <c r="F227" s="91"/>
      <c r="G227" s="91"/>
      <c r="H227" s="91"/>
      <c r="I227" s="91"/>
      <c r="J227" s="91"/>
      <c r="K227" s="91"/>
      <c r="L227" s="91"/>
      <c r="M227" s="91"/>
      <c r="N227" s="91"/>
      <c r="O227" s="90"/>
    </row>
    <row r="228" spans="1:15" ht="15.75" thickBot="1" x14ac:dyDescent="0.3"/>
    <row r="229" spans="1:15" x14ac:dyDescent="0.25">
      <c r="A229" s="141"/>
      <c r="B229" s="1204"/>
      <c r="C229" s="1204"/>
      <c r="D229" s="140"/>
      <c r="E229" s="140"/>
      <c r="F229" s="140"/>
      <c r="G229" s="140"/>
      <c r="H229" s="140"/>
      <c r="I229" s="140"/>
      <c r="J229" s="140"/>
      <c r="K229" s="140"/>
      <c r="L229" s="140"/>
      <c r="M229" s="140"/>
      <c r="N229" s="140"/>
      <c r="O229" s="139"/>
    </row>
    <row r="230" spans="1:15" x14ac:dyDescent="0.25">
      <c r="A230" s="1199" t="s">
        <v>57</v>
      </c>
      <c r="B230" s="1149" t="s">
        <v>127</v>
      </c>
      <c r="C230" s="142"/>
      <c r="D230" s="94"/>
      <c r="E230" s="94"/>
      <c r="F230" s="94"/>
      <c r="G230" s="94"/>
      <c r="H230" s="94"/>
      <c r="I230" s="94"/>
      <c r="J230" s="1199" t="s">
        <v>51</v>
      </c>
      <c r="K230" s="138">
        <v>81</v>
      </c>
      <c r="L230" s="94"/>
      <c r="M230" s="1199" t="s">
        <v>126</v>
      </c>
      <c r="N230" s="100">
        <f>EL_A0005_m+EL_A0005_p</f>
        <v>20.82</v>
      </c>
      <c r="O230" s="93"/>
    </row>
    <row r="231" spans="1:15" x14ac:dyDescent="0.25">
      <c r="A231" s="1199" t="s">
        <v>125</v>
      </c>
      <c r="B231" s="1149" t="s">
        <v>1975</v>
      </c>
      <c r="C231" s="142"/>
      <c r="D231" s="94"/>
      <c r="E231" s="94"/>
      <c r="F231" s="94"/>
      <c r="G231" s="94"/>
      <c r="H231" s="94"/>
      <c r="I231" s="94"/>
      <c r="J231" s="94"/>
      <c r="K231" s="94"/>
      <c r="L231" s="94"/>
      <c r="M231" s="1199" t="s">
        <v>124</v>
      </c>
      <c r="N231" s="136">
        <v>1</v>
      </c>
      <c r="O231" s="93"/>
    </row>
    <row r="232" spans="1:15" x14ac:dyDescent="0.25">
      <c r="A232" s="1199" t="s">
        <v>123</v>
      </c>
      <c r="B232" s="142" t="s">
        <v>1993</v>
      </c>
      <c r="C232" s="142"/>
      <c r="D232" s="94"/>
      <c r="E232" s="94"/>
      <c r="F232" s="94"/>
      <c r="G232" s="94"/>
      <c r="H232" s="94"/>
      <c r="I232" s="94"/>
      <c r="J232" s="1202" t="s">
        <v>122</v>
      </c>
      <c r="K232" s="94"/>
      <c r="L232" s="94"/>
      <c r="M232" s="94"/>
      <c r="N232" s="94"/>
      <c r="O232" s="93"/>
    </row>
    <row r="233" spans="1:15" x14ac:dyDescent="0.25">
      <c r="A233" s="1199" t="s">
        <v>121</v>
      </c>
      <c r="B233" s="1203" t="s">
        <v>1992</v>
      </c>
      <c r="C233" s="142"/>
      <c r="D233" s="94"/>
      <c r="E233" s="94"/>
      <c r="F233" s="94"/>
      <c r="G233" s="94"/>
      <c r="H233" s="94"/>
      <c r="I233" s="94"/>
      <c r="J233" s="1202" t="s">
        <v>119</v>
      </c>
      <c r="K233" s="94"/>
      <c r="L233" s="94"/>
      <c r="M233" s="1199" t="s">
        <v>118</v>
      </c>
      <c r="N233" s="100">
        <f>N230*N231</f>
        <v>20.82</v>
      </c>
      <c r="O233" s="93"/>
    </row>
    <row r="234" spans="1:15" x14ac:dyDescent="0.25">
      <c r="A234" s="1199" t="s">
        <v>117</v>
      </c>
      <c r="B234" s="1149" t="s">
        <v>23</v>
      </c>
      <c r="C234" s="142"/>
      <c r="D234" s="94"/>
      <c r="E234" s="94"/>
      <c r="F234" s="94"/>
      <c r="G234" s="94"/>
      <c r="H234" s="94"/>
      <c r="I234" s="94"/>
      <c r="J234" s="1202" t="s">
        <v>116</v>
      </c>
      <c r="K234" s="94"/>
      <c r="L234" s="94"/>
      <c r="M234" s="94"/>
      <c r="N234" s="94"/>
      <c r="O234" s="93"/>
    </row>
    <row r="235" spans="1:15" x14ac:dyDescent="0.25">
      <c r="A235" s="1199" t="s">
        <v>115</v>
      </c>
      <c r="B235" s="1201" t="s">
        <v>1991</v>
      </c>
      <c r="C235" s="142"/>
      <c r="D235" s="94"/>
      <c r="E235" s="94"/>
      <c r="F235" s="94"/>
      <c r="G235" s="94"/>
      <c r="H235" s="94"/>
      <c r="I235" s="94"/>
      <c r="J235" s="94"/>
      <c r="K235" s="94"/>
      <c r="L235" s="94"/>
      <c r="M235" s="94"/>
      <c r="N235" s="94"/>
      <c r="O235" s="93"/>
    </row>
    <row r="236" spans="1:15" x14ac:dyDescent="0.25">
      <c r="A236" s="107"/>
      <c r="B236" s="142"/>
      <c r="C236" s="142"/>
      <c r="D236" s="94"/>
      <c r="E236" s="94"/>
      <c r="F236" s="94"/>
      <c r="G236" s="94"/>
      <c r="H236" s="94"/>
      <c r="I236" s="94"/>
      <c r="J236" s="94"/>
      <c r="K236" s="94"/>
      <c r="L236" s="94"/>
      <c r="M236" s="94"/>
      <c r="N236" s="94"/>
      <c r="O236" s="93"/>
    </row>
    <row r="237" spans="1:15" x14ac:dyDescent="0.25">
      <c r="A237" s="1199" t="s">
        <v>67</v>
      </c>
      <c r="B237" s="1200" t="s">
        <v>112</v>
      </c>
      <c r="C237" s="1200" t="s">
        <v>66</v>
      </c>
      <c r="D237" s="1199" t="s">
        <v>65</v>
      </c>
      <c r="E237" s="1199" t="s">
        <v>81</v>
      </c>
      <c r="F237" s="1199" t="s">
        <v>80</v>
      </c>
      <c r="G237" s="1199" t="s">
        <v>79</v>
      </c>
      <c r="H237" s="1199" t="s">
        <v>78</v>
      </c>
      <c r="I237" s="1199" t="s">
        <v>111</v>
      </c>
      <c r="J237" s="1199" t="s">
        <v>110</v>
      </c>
      <c r="K237" s="1199" t="s">
        <v>109</v>
      </c>
      <c r="L237" s="1199" t="s">
        <v>108</v>
      </c>
      <c r="M237" s="1199" t="s">
        <v>40</v>
      </c>
      <c r="N237" s="1199" t="s">
        <v>58</v>
      </c>
      <c r="O237" s="93"/>
    </row>
    <row r="238" spans="1:15" x14ac:dyDescent="0.25">
      <c r="A238" s="129">
        <v>10</v>
      </c>
      <c r="B238" s="601" t="s">
        <v>1990</v>
      </c>
      <c r="C238" s="601"/>
      <c r="D238" s="100">
        <v>1</v>
      </c>
      <c r="E238" s="129">
        <v>4.0999999999999996</v>
      </c>
      <c r="F238" s="129" t="s">
        <v>345</v>
      </c>
      <c r="G238" s="129"/>
      <c r="H238" s="200"/>
      <c r="I238" s="202"/>
      <c r="J238" s="201"/>
      <c r="K238" s="200"/>
      <c r="L238" s="200"/>
      <c r="M238" s="200">
        <v>1</v>
      </c>
      <c r="N238" s="100">
        <f>M238*D238*E238</f>
        <v>4.0999999999999996</v>
      </c>
      <c r="O238" s="93"/>
    </row>
    <row r="239" spans="1:15" x14ac:dyDescent="0.25">
      <c r="A239" s="129">
        <v>20</v>
      </c>
      <c r="B239" s="601" t="s">
        <v>1989</v>
      </c>
      <c r="C239" s="601"/>
      <c r="D239" s="100">
        <v>3</v>
      </c>
      <c r="E239" s="253">
        <v>1.4</v>
      </c>
      <c r="F239" s="253" t="s">
        <v>345</v>
      </c>
      <c r="G239" s="253"/>
      <c r="H239" s="200"/>
      <c r="I239" s="252"/>
      <c r="J239" s="249"/>
      <c r="K239" s="246"/>
      <c r="L239" s="251"/>
      <c r="M239" s="200">
        <v>1</v>
      </c>
      <c r="N239" s="100">
        <f>M239*D239*E239</f>
        <v>4.1999999999999993</v>
      </c>
      <c r="O239" s="143"/>
    </row>
    <row r="240" spans="1:15" x14ac:dyDescent="0.25">
      <c r="A240" s="129">
        <v>30</v>
      </c>
      <c r="B240" s="601" t="s">
        <v>1988</v>
      </c>
      <c r="C240" s="601"/>
      <c r="D240" s="100">
        <v>1</v>
      </c>
      <c r="E240" s="129">
        <v>12</v>
      </c>
      <c r="F240" s="129" t="s">
        <v>1987</v>
      </c>
      <c r="G240" s="129"/>
      <c r="H240" s="200"/>
      <c r="I240" s="248"/>
      <c r="J240" s="247"/>
      <c r="K240" s="200"/>
      <c r="L240" s="249"/>
      <c r="M240" s="200">
        <v>1</v>
      </c>
      <c r="N240" s="100">
        <f>M240*D240</f>
        <v>1</v>
      </c>
      <c r="O240" s="93"/>
    </row>
    <row r="241" spans="1:15" x14ac:dyDescent="0.25">
      <c r="A241" s="129">
        <v>40</v>
      </c>
      <c r="B241" s="601" t="s">
        <v>1795</v>
      </c>
      <c r="C241" s="601"/>
      <c r="D241" s="100">
        <v>0.5</v>
      </c>
      <c r="E241" s="129">
        <v>0.4</v>
      </c>
      <c r="F241" s="129" t="s">
        <v>345</v>
      </c>
      <c r="G241" s="129"/>
      <c r="H241" s="200"/>
      <c r="I241" s="248"/>
      <c r="J241" s="247"/>
      <c r="K241" s="200"/>
      <c r="L241" s="200"/>
      <c r="M241" s="200">
        <v>1</v>
      </c>
      <c r="N241" s="100">
        <f>M241*D241*E241</f>
        <v>0.2</v>
      </c>
      <c r="O241" s="93"/>
    </row>
    <row r="242" spans="1:15" x14ac:dyDescent="0.25">
      <c r="A242" s="98"/>
      <c r="B242" s="704"/>
      <c r="C242" s="704"/>
      <c r="D242" s="95"/>
      <c r="E242" s="95"/>
      <c r="F242" s="95"/>
      <c r="G242" s="95"/>
      <c r="H242" s="95"/>
      <c r="I242" s="95"/>
      <c r="J242" s="95"/>
      <c r="K242" s="95"/>
      <c r="L242" s="95"/>
      <c r="M242" s="1199" t="s">
        <v>58</v>
      </c>
      <c r="N242" s="1196">
        <f>SUM(N238:N241)</f>
        <v>9.4999999999999982</v>
      </c>
      <c r="O242" s="93"/>
    </row>
    <row r="243" spans="1:15" x14ac:dyDescent="0.25">
      <c r="A243" s="107"/>
      <c r="B243" s="142"/>
      <c r="C243" s="142"/>
      <c r="D243" s="94"/>
      <c r="E243" s="94"/>
      <c r="F243" s="94"/>
      <c r="G243" s="94"/>
      <c r="H243" s="94"/>
      <c r="I243" s="94"/>
      <c r="J243" s="94"/>
      <c r="K243" s="94"/>
      <c r="L243" s="94"/>
      <c r="M243" s="94"/>
      <c r="N243" s="94"/>
      <c r="O243" s="93"/>
    </row>
    <row r="244" spans="1:15" x14ac:dyDescent="0.25">
      <c r="A244" s="1199" t="s">
        <v>67</v>
      </c>
      <c r="B244" s="1200" t="s">
        <v>106</v>
      </c>
      <c r="C244" s="1200" t="s">
        <v>66</v>
      </c>
      <c r="D244" s="1199" t="s">
        <v>65</v>
      </c>
      <c r="E244" s="1199" t="s">
        <v>64</v>
      </c>
      <c r="F244" s="1199" t="s">
        <v>40</v>
      </c>
      <c r="G244" s="1199" t="s">
        <v>105</v>
      </c>
      <c r="H244" s="1199" t="s">
        <v>104</v>
      </c>
      <c r="I244" s="1199" t="s">
        <v>58</v>
      </c>
      <c r="J244" s="95"/>
      <c r="K244" s="95"/>
      <c r="L244" s="95"/>
      <c r="M244" s="95"/>
      <c r="N244" s="95"/>
      <c r="O244" s="120"/>
    </row>
    <row r="245" spans="1:15" x14ac:dyDescent="0.25">
      <c r="A245" s="129">
        <v>10</v>
      </c>
      <c r="B245" s="601" t="s">
        <v>1986</v>
      </c>
      <c r="C245" s="601" t="s">
        <v>1985</v>
      </c>
      <c r="D245" s="100">
        <v>0.08</v>
      </c>
      <c r="E245" s="129" t="s">
        <v>64</v>
      </c>
      <c r="F245" s="244">
        <v>18</v>
      </c>
      <c r="G245" s="244"/>
      <c r="H245" s="244"/>
      <c r="I245" s="100">
        <f t="shared" ref="I245:I252" si="8">IF(H245="",D245*F245,D245*F245*H245)</f>
        <v>1.44</v>
      </c>
      <c r="J245" s="94"/>
      <c r="K245" s="94"/>
      <c r="L245" s="94"/>
      <c r="M245" s="94"/>
      <c r="N245" s="94"/>
      <c r="O245" s="93"/>
    </row>
    <row r="246" spans="1:15" ht="30" x14ac:dyDescent="0.25">
      <c r="A246" s="129">
        <v>20</v>
      </c>
      <c r="B246" s="555" t="s">
        <v>1984</v>
      </c>
      <c r="C246" s="601" t="s">
        <v>1983</v>
      </c>
      <c r="D246" s="100">
        <v>0.08</v>
      </c>
      <c r="E246" s="555" t="s">
        <v>64</v>
      </c>
      <c r="F246" s="244">
        <v>52</v>
      </c>
      <c r="G246" s="129"/>
      <c r="H246" s="129"/>
      <c r="I246" s="100">
        <f t="shared" si="8"/>
        <v>4.16</v>
      </c>
      <c r="J246" s="94"/>
      <c r="K246" s="94"/>
      <c r="L246" s="94"/>
      <c r="M246" s="94"/>
      <c r="N246" s="94"/>
      <c r="O246" s="93"/>
    </row>
    <row r="247" spans="1:15" x14ac:dyDescent="0.25">
      <c r="A247" s="129">
        <v>30</v>
      </c>
      <c r="B247" s="555" t="s">
        <v>1913</v>
      </c>
      <c r="C247" s="601" t="s">
        <v>1982</v>
      </c>
      <c r="D247" s="100">
        <v>0.52</v>
      </c>
      <c r="E247" s="129" t="s">
        <v>64</v>
      </c>
      <c r="F247" s="244">
        <v>11</v>
      </c>
      <c r="G247" s="129"/>
      <c r="H247" s="129"/>
      <c r="I247" s="100">
        <f t="shared" si="8"/>
        <v>5.7200000000000006</v>
      </c>
      <c r="J247" s="94"/>
      <c r="K247" s="94"/>
      <c r="L247" s="94"/>
      <c r="M247" s="94"/>
      <c r="N247" s="94"/>
      <c r="O247" s="93"/>
    </row>
    <row r="248" spans="1:15" x14ac:dyDescent="0.25">
      <c r="A248" s="129">
        <v>40</v>
      </c>
      <c r="B248" s="555" t="s">
        <v>1981</v>
      </c>
      <c r="C248" s="601"/>
      <c r="D248" s="100">
        <v>0.17</v>
      </c>
      <c r="E248" s="129" t="s">
        <v>64</v>
      </c>
      <c r="F248" s="244">
        <v>24</v>
      </c>
      <c r="G248" s="129"/>
      <c r="H248" s="129"/>
      <c r="I248" s="100">
        <f t="shared" si="8"/>
        <v>4.08</v>
      </c>
      <c r="J248" s="99"/>
      <c r="K248" s="99"/>
      <c r="L248" s="99"/>
      <c r="M248" s="99"/>
      <c r="N248" s="99"/>
      <c r="O248" s="130"/>
    </row>
    <row r="249" spans="1:15" x14ac:dyDescent="0.25">
      <c r="A249" s="129">
        <v>50</v>
      </c>
      <c r="B249" s="555" t="s">
        <v>1980</v>
      </c>
      <c r="C249" s="601"/>
      <c r="D249" s="100">
        <v>0.36</v>
      </c>
      <c r="E249" s="129" t="s">
        <v>1979</v>
      </c>
      <c r="F249" s="244">
        <v>24</v>
      </c>
      <c r="G249" s="129"/>
      <c r="H249" s="129"/>
      <c r="I249" s="100">
        <f t="shared" si="8"/>
        <v>8.64</v>
      </c>
      <c r="J249" s="99"/>
      <c r="K249" s="99"/>
      <c r="L249" s="99"/>
      <c r="M249" s="99"/>
      <c r="N249" s="99"/>
      <c r="O249" s="130"/>
    </row>
    <row r="250" spans="1:15" x14ac:dyDescent="0.25">
      <c r="A250" s="129">
        <v>60</v>
      </c>
      <c r="B250" s="555" t="s">
        <v>1978</v>
      </c>
      <c r="C250" s="601"/>
      <c r="D250" s="100">
        <v>0.15</v>
      </c>
      <c r="E250" s="129" t="s">
        <v>101</v>
      </c>
      <c r="F250" s="244">
        <v>20</v>
      </c>
      <c r="G250" s="129"/>
      <c r="H250" s="129"/>
      <c r="I250" s="100">
        <f t="shared" si="8"/>
        <v>3</v>
      </c>
      <c r="J250" s="99"/>
      <c r="K250" s="99"/>
      <c r="L250" s="99"/>
      <c r="M250" s="99"/>
      <c r="N250" s="99"/>
      <c r="O250" s="130"/>
    </row>
    <row r="251" spans="1:15" x14ac:dyDescent="0.25">
      <c r="A251" s="129">
        <v>70</v>
      </c>
      <c r="B251" s="555" t="s">
        <v>1977</v>
      </c>
      <c r="C251" s="601"/>
      <c r="D251" s="100">
        <v>1</v>
      </c>
      <c r="E251" s="129" t="s">
        <v>345</v>
      </c>
      <c r="F251" s="244">
        <v>0.4</v>
      </c>
      <c r="G251" s="129"/>
      <c r="H251" s="129"/>
      <c r="I251" s="100">
        <f t="shared" si="8"/>
        <v>0.4</v>
      </c>
      <c r="J251" s="99"/>
      <c r="K251" s="99"/>
      <c r="L251" s="99"/>
      <c r="M251" s="99"/>
      <c r="N251" s="99"/>
      <c r="O251" s="130"/>
    </row>
    <row r="252" spans="1:15" ht="30" x14ac:dyDescent="0.25">
      <c r="A252" s="129">
        <v>80</v>
      </c>
      <c r="B252" s="555" t="s">
        <v>1976</v>
      </c>
      <c r="C252" s="601"/>
      <c r="D252" s="100">
        <v>0.24</v>
      </c>
      <c r="E252" s="129" t="s">
        <v>64</v>
      </c>
      <c r="F252" s="244">
        <v>1</v>
      </c>
      <c r="G252" s="244"/>
      <c r="H252" s="244"/>
      <c r="I252" s="100">
        <f t="shared" si="8"/>
        <v>0.24</v>
      </c>
      <c r="J252" s="99"/>
      <c r="K252" s="99"/>
      <c r="L252" s="99"/>
      <c r="M252" s="99"/>
      <c r="N252" s="99"/>
      <c r="O252" s="120"/>
    </row>
    <row r="253" spans="1:15" x14ac:dyDescent="0.25">
      <c r="A253" s="98"/>
      <c r="B253" s="704"/>
      <c r="C253" s="704"/>
      <c r="D253" s="95"/>
      <c r="E253" s="95"/>
      <c r="F253" s="95"/>
      <c r="G253" s="95"/>
      <c r="H253" s="1197" t="s">
        <v>58</v>
      </c>
      <c r="I253" s="1196">
        <f>SUM(I245:I247)</f>
        <v>11.32</v>
      </c>
      <c r="J253" s="94"/>
      <c r="K253" s="94"/>
      <c r="L253" s="94"/>
      <c r="M253" s="94"/>
      <c r="N253" s="94"/>
      <c r="O253" s="93"/>
    </row>
    <row r="254" spans="1:15" ht="15.75" thickBot="1" x14ac:dyDescent="0.3">
      <c r="A254" s="92"/>
      <c r="B254" s="1195"/>
      <c r="C254" s="1195"/>
      <c r="D254" s="91"/>
      <c r="E254" s="91"/>
      <c r="F254" s="91"/>
      <c r="G254" s="91"/>
      <c r="H254" s="91"/>
      <c r="I254" s="91"/>
      <c r="J254" s="91"/>
      <c r="K254" s="91"/>
      <c r="L254" s="91"/>
      <c r="M254" s="91"/>
      <c r="N254" s="91"/>
      <c r="O254" s="90"/>
    </row>
    <row r="255" spans="1:15" ht="15.75" thickBot="1" x14ac:dyDescent="0.3"/>
    <row r="256" spans="1:15" x14ac:dyDescent="0.25">
      <c r="A256" s="141"/>
      <c r="B256" s="1204"/>
      <c r="C256" s="1204"/>
      <c r="D256" s="140"/>
      <c r="E256" s="140"/>
      <c r="F256" s="140"/>
      <c r="G256" s="140"/>
      <c r="H256" s="140"/>
      <c r="I256" s="140"/>
      <c r="J256" s="140"/>
      <c r="K256" s="140"/>
      <c r="L256" s="140"/>
      <c r="M256" s="140"/>
      <c r="N256" s="140"/>
      <c r="O256" s="139"/>
    </row>
    <row r="257" spans="1:15" x14ac:dyDescent="0.25">
      <c r="A257" s="1199" t="s">
        <v>57</v>
      </c>
      <c r="B257" s="1149" t="s">
        <v>127</v>
      </c>
      <c r="C257" s="142"/>
      <c r="D257" s="94"/>
      <c r="E257" s="94"/>
      <c r="F257" s="94"/>
      <c r="G257" s="94"/>
      <c r="H257" s="94"/>
      <c r="I257" s="94"/>
      <c r="J257" s="1199" t="s">
        <v>51</v>
      </c>
      <c r="K257" s="138">
        <v>81</v>
      </c>
      <c r="L257" s="94"/>
      <c r="M257" s="1199" t="s">
        <v>126</v>
      </c>
      <c r="N257" s="100">
        <f>EL_A0006_m+EL_A0006_p+EL_A0006_f</f>
        <v>1116.2499999999998</v>
      </c>
      <c r="O257" s="93"/>
    </row>
    <row r="258" spans="1:15" x14ac:dyDescent="0.25">
      <c r="A258" s="1199" t="s">
        <v>125</v>
      </c>
      <c r="B258" s="1149" t="s">
        <v>1975</v>
      </c>
      <c r="C258" s="142"/>
      <c r="D258" s="94"/>
      <c r="E258" s="94"/>
      <c r="F258" s="94"/>
      <c r="G258" s="94"/>
      <c r="H258" s="94"/>
      <c r="I258" s="94"/>
      <c r="J258" s="94"/>
      <c r="K258" s="94"/>
      <c r="L258" s="94"/>
      <c r="M258" s="1199" t="s">
        <v>124</v>
      </c>
      <c r="N258" s="136">
        <v>1</v>
      </c>
      <c r="O258" s="93"/>
    </row>
    <row r="259" spans="1:15" x14ac:dyDescent="0.25">
      <c r="A259" s="1199" t="s">
        <v>123</v>
      </c>
      <c r="B259" s="142" t="s">
        <v>1974</v>
      </c>
      <c r="C259" s="142"/>
      <c r="D259" s="94"/>
      <c r="E259" s="94"/>
      <c r="F259" s="94"/>
      <c r="G259" s="94"/>
      <c r="H259" s="94"/>
      <c r="I259" s="94"/>
      <c r="J259" s="1202" t="s">
        <v>122</v>
      </c>
      <c r="K259" s="94"/>
      <c r="L259" s="94"/>
      <c r="M259" s="94"/>
      <c r="N259" s="94"/>
      <c r="O259" s="93"/>
    </row>
    <row r="260" spans="1:15" x14ac:dyDescent="0.25">
      <c r="A260" s="1199" t="s">
        <v>121</v>
      </c>
      <c r="B260" s="1203" t="s">
        <v>1973</v>
      </c>
      <c r="C260" s="142"/>
      <c r="D260" s="94"/>
      <c r="E260" s="94"/>
      <c r="F260" s="94"/>
      <c r="G260" s="94"/>
      <c r="H260" s="94"/>
      <c r="I260" s="94"/>
      <c r="J260" s="1202" t="s">
        <v>119</v>
      </c>
      <c r="K260" s="94"/>
      <c r="L260" s="94"/>
      <c r="M260" s="1199" t="s">
        <v>118</v>
      </c>
      <c r="N260" s="100">
        <f>N257*N258</f>
        <v>1116.2499999999998</v>
      </c>
      <c r="O260" s="93"/>
    </row>
    <row r="261" spans="1:15" x14ac:dyDescent="0.25">
      <c r="A261" s="1199" t="s">
        <v>117</v>
      </c>
      <c r="B261" s="1149" t="s">
        <v>23</v>
      </c>
      <c r="C261" s="142"/>
      <c r="D261" s="94"/>
      <c r="E261" s="94"/>
      <c r="F261" s="94"/>
      <c r="G261" s="94"/>
      <c r="H261" s="94"/>
      <c r="I261" s="94"/>
      <c r="J261" s="1202" t="s">
        <v>116</v>
      </c>
      <c r="K261" s="94"/>
      <c r="L261" s="94"/>
      <c r="M261" s="94"/>
      <c r="N261" s="94"/>
      <c r="O261" s="93"/>
    </row>
    <row r="262" spans="1:15" x14ac:dyDescent="0.25">
      <c r="A262" s="1199" t="s">
        <v>115</v>
      </c>
      <c r="B262" s="1201" t="s">
        <v>1972</v>
      </c>
      <c r="C262" s="142"/>
      <c r="D262" s="94"/>
      <c r="E262" s="94"/>
      <c r="F262" s="94"/>
      <c r="G262" s="94"/>
      <c r="H262" s="94"/>
      <c r="I262" s="94"/>
      <c r="J262" s="94"/>
      <c r="K262" s="94"/>
      <c r="L262" s="94"/>
      <c r="M262" s="94"/>
      <c r="N262" s="94"/>
      <c r="O262" s="93"/>
    </row>
    <row r="263" spans="1:15" x14ac:dyDescent="0.25">
      <c r="A263" s="107"/>
      <c r="B263" s="142"/>
      <c r="C263" s="142"/>
      <c r="D263" s="94"/>
      <c r="E263" s="94"/>
      <c r="F263" s="94"/>
      <c r="G263" s="94"/>
      <c r="H263" s="94"/>
      <c r="I263" s="94"/>
      <c r="J263" s="94"/>
      <c r="K263" s="94"/>
      <c r="L263" s="94"/>
      <c r="M263" s="94"/>
      <c r="N263" s="94"/>
      <c r="O263" s="93"/>
    </row>
    <row r="264" spans="1:15" x14ac:dyDescent="0.25">
      <c r="A264" s="1199" t="s">
        <v>67</v>
      </c>
      <c r="B264" s="1200" t="s">
        <v>112</v>
      </c>
      <c r="C264" s="1200" t="s">
        <v>66</v>
      </c>
      <c r="D264" s="1199" t="s">
        <v>65</v>
      </c>
      <c r="E264" s="1199" t="s">
        <v>81</v>
      </c>
      <c r="F264" s="1199" t="s">
        <v>80</v>
      </c>
      <c r="G264" s="1199" t="s">
        <v>79</v>
      </c>
      <c r="H264" s="1199" t="s">
        <v>78</v>
      </c>
      <c r="I264" s="1199" t="s">
        <v>111</v>
      </c>
      <c r="J264" s="1199" t="s">
        <v>110</v>
      </c>
      <c r="K264" s="1199" t="s">
        <v>109</v>
      </c>
      <c r="L264" s="1199" t="s">
        <v>108</v>
      </c>
      <c r="M264" s="1199" t="s">
        <v>40</v>
      </c>
      <c r="N264" s="1199" t="s">
        <v>58</v>
      </c>
      <c r="O264" s="93"/>
    </row>
    <row r="265" spans="1:15" x14ac:dyDescent="0.25">
      <c r="A265" s="129">
        <v>10</v>
      </c>
      <c r="B265" s="601" t="s">
        <v>1971</v>
      </c>
      <c r="C265" s="601" t="s">
        <v>1970</v>
      </c>
      <c r="D265" s="100">
        <v>750</v>
      </c>
      <c r="E265" s="129"/>
      <c r="F265" s="129" t="s">
        <v>64</v>
      </c>
      <c r="G265" s="129"/>
      <c r="H265" s="200"/>
      <c r="I265" s="202"/>
      <c r="J265" s="201"/>
      <c r="K265" s="200"/>
      <c r="L265" s="200"/>
      <c r="M265" s="200">
        <v>1</v>
      </c>
      <c r="N265" s="100">
        <f t="shared" ref="N265:N295" si="9">IF(E265="",D265*M265,D265*M265*E265)</f>
        <v>750</v>
      </c>
      <c r="O265" s="93"/>
    </row>
    <row r="266" spans="1:15" x14ac:dyDescent="0.25">
      <c r="A266" s="129">
        <v>20</v>
      </c>
      <c r="B266" s="601" t="s">
        <v>961</v>
      </c>
      <c r="C266" s="601" t="s">
        <v>1902</v>
      </c>
      <c r="D266" s="100"/>
      <c r="E266" s="129"/>
      <c r="F266" s="129"/>
      <c r="G266" s="129"/>
      <c r="H266" s="200"/>
      <c r="I266" s="202"/>
      <c r="J266" s="201"/>
      <c r="K266" s="200"/>
      <c r="L266" s="200"/>
      <c r="M266" s="200">
        <v>1</v>
      </c>
      <c r="N266" s="100">
        <f t="shared" si="9"/>
        <v>0</v>
      </c>
      <c r="O266" s="93"/>
    </row>
    <row r="267" spans="1:15" x14ac:dyDescent="0.25">
      <c r="A267" s="129">
        <v>30</v>
      </c>
      <c r="B267" s="601" t="s">
        <v>1969</v>
      </c>
      <c r="C267" s="601" t="s">
        <v>1968</v>
      </c>
      <c r="D267" s="100">
        <v>4</v>
      </c>
      <c r="E267" s="129"/>
      <c r="F267" s="129" t="s">
        <v>64</v>
      </c>
      <c r="G267" s="129"/>
      <c r="H267" s="200"/>
      <c r="I267" s="202"/>
      <c r="J267" s="201"/>
      <c r="K267" s="200"/>
      <c r="L267" s="200"/>
      <c r="M267" s="200">
        <v>1</v>
      </c>
      <c r="N267" s="100">
        <f t="shared" si="9"/>
        <v>4</v>
      </c>
      <c r="O267" s="93"/>
    </row>
    <row r="268" spans="1:15" x14ac:dyDescent="0.25">
      <c r="A268" s="129">
        <v>40</v>
      </c>
      <c r="B268" s="601" t="s">
        <v>1965</v>
      </c>
      <c r="C268" s="601" t="s">
        <v>1967</v>
      </c>
      <c r="D268" s="100">
        <v>4</v>
      </c>
      <c r="E268" s="129"/>
      <c r="F268" s="129" t="s">
        <v>64</v>
      </c>
      <c r="G268" s="129"/>
      <c r="H268" s="200"/>
      <c r="I268" s="202"/>
      <c r="J268" s="201"/>
      <c r="K268" s="200"/>
      <c r="L268" s="200"/>
      <c r="M268" s="200">
        <v>1</v>
      </c>
      <c r="N268" s="100">
        <f t="shared" si="9"/>
        <v>4</v>
      </c>
      <c r="O268" s="93"/>
    </row>
    <row r="269" spans="1:15" x14ac:dyDescent="0.25">
      <c r="A269" s="129">
        <v>50</v>
      </c>
      <c r="B269" s="601" t="s">
        <v>1965</v>
      </c>
      <c r="C269" s="601" t="s">
        <v>1966</v>
      </c>
      <c r="D269" s="100">
        <v>4</v>
      </c>
      <c r="E269" s="129"/>
      <c r="F269" s="129" t="s">
        <v>64</v>
      </c>
      <c r="G269" s="129"/>
      <c r="H269" s="200"/>
      <c r="I269" s="202"/>
      <c r="J269" s="201"/>
      <c r="K269" s="200"/>
      <c r="L269" s="200"/>
      <c r="M269" s="200">
        <v>1</v>
      </c>
      <c r="N269" s="100">
        <f t="shared" si="9"/>
        <v>4</v>
      </c>
      <c r="O269" s="93"/>
    </row>
    <row r="270" spans="1:15" x14ac:dyDescent="0.25">
      <c r="A270" s="129">
        <v>60</v>
      </c>
      <c r="B270" s="601" t="s">
        <v>1965</v>
      </c>
      <c r="C270" s="601" t="s">
        <v>1964</v>
      </c>
      <c r="D270" s="100">
        <v>4</v>
      </c>
      <c r="E270" s="129"/>
      <c r="F270" s="129" t="s">
        <v>64</v>
      </c>
      <c r="G270" s="129"/>
      <c r="H270" s="200"/>
      <c r="I270" s="202"/>
      <c r="J270" s="201"/>
      <c r="K270" s="200"/>
      <c r="L270" s="200"/>
      <c r="M270" s="200">
        <v>1</v>
      </c>
      <c r="N270" s="100">
        <f t="shared" si="9"/>
        <v>4</v>
      </c>
      <c r="O270" s="93"/>
    </row>
    <row r="271" spans="1:15" x14ac:dyDescent="0.25">
      <c r="A271" s="129">
        <v>70</v>
      </c>
      <c r="B271" s="601" t="s">
        <v>1963</v>
      </c>
      <c r="C271" s="601" t="s">
        <v>1962</v>
      </c>
      <c r="D271" s="100">
        <v>8</v>
      </c>
      <c r="E271" s="129"/>
      <c r="F271" s="129" t="s">
        <v>64</v>
      </c>
      <c r="G271" s="129"/>
      <c r="H271" s="200"/>
      <c r="I271" s="202"/>
      <c r="J271" s="201"/>
      <c r="K271" s="200"/>
      <c r="L271" s="200"/>
      <c r="M271" s="200">
        <v>1</v>
      </c>
      <c r="N271" s="100">
        <f t="shared" si="9"/>
        <v>8</v>
      </c>
      <c r="O271" s="93"/>
    </row>
    <row r="272" spans="1:15" x14ac:dyDescent="0.25">
      <c r="A272" s="129">
        <v>80</v>
      </c>
      <c r="B272" s="601" t="s">
        <v>1961</v>
      </c>
      <c r="C272" s="601" t="s">
        <v>1960</v>
      </c>
      <c r="D272" s="100">
        <v>35</v>
      </c>
      <c r="E272" s="129"/>
      <c r="F272" s="129" t="s">
        <v>64</v>
      </c>
      <c r="G272" s="129"/>
      <c r="H272" s="200"/>
      <c r="I272" s="202"/>
      <c r="J272" s="201"/>
      <c r="K272" s="200"/>
      <c r="L272" s="200"/>
      <c r="M272" s="200">
        <v>1</v>
      </c>
      <c r="N272" s="100">
        <f t="shared" si="9"/>
        <v>35</v>
      </c>
      <c r="O272" s="93"/>
    </row>
    <row r="273" spans="1:15" x14ac:dyDescent="0.25">
      <c r="A273" s="129">
        <v>90</v>
      </c>
      <c r="B273" s="601" t="s">
        <v>1948</v>
      </c>
      <c r="C273" s="601" t="s">
        <v>1959</v>
      </c>
      <c r="D273" s="100">
        <v>0.5</v>
      </c>
      <c r="E273" s="129">
        <v>3</v>
      </c>
      <c r="F273" s="129" t="s">
        <v>1934</v>
      </c>
      <c r="G273" s="129"/>
      <c r="H273" s="200"/>
      <c r="I273" s="202"/>
      <c r="J273" s="201"/>
      <c r="K273" s="200"/>
      <c r="L273" s="200"/>
      <c r="M273" s="200">
        <v>1</v>
      </c>
      <c r="N273" s="100">
        <f t="shared" si="9"/>
        <v>1.5</v>
      </c>
      <c r="O273" s="93"/>
    </row>
    <row r="274" spans="1:15" x14ac:dyDescent="0.25">
      <c r="A274" s="129">
        <v>100</v>
      </c>
      <c r="B274" s="601" t="s">
        <v>1948</v>
      </c>
      <c r="C274" s="601" t="s">
        <v>1958</v>
      </c>
      <c r="D274" s="100">
        <v>0.5</v>
      </c>
      <c r="E274" s="129">
        <v>1</v>
      </c>
      <c r="F274" s="129" t="s">
        <v>1934</v>
      </c>
      <c r="G274" s="129"/>
      <c r="H274" s="200"/>
      <c r="I274" s="202"/>
      <c r="J274" s="201"/>
      <c r="K274" s="200"/>
      <c r="L274" s="200"/>
      <c r="M274" s="200">
        <v>1</v>
      </c>
      <c r="N274" s="100">
        <f t="shared" si="9"/>
        <v>0.5</v>
      </c>
      <c r="O274" s="93"/>
    </row>
    <row r="275" spans="1:15" x14ac:dyDescent="0.25">
      <c r="A275" s="129">
        <v>110</v>
      </c>
      <c r="B275" s="601" t="s">
        <v>1948</v>
      </c>
      <c r="C275" s="601" t="s">
        <v>1957</v>
      </c>
      <c r="D275" s="100">
        <v>0.5</v>
      </c>
      <c r="E275" s="129">
        <v>1</v>
      </c>
      <c r="F275" s="129" t="s">
        <v>1934</v>
      </c>
      <c r="G275" s="129"/>
      <c r="H275" s="200"/>
      <c r="I275" s="202"/>
      <c r="J275" s="201"/>
      <c r="K275" s="200"/>
      <c r="L275" s="200"/>
      <c r="M275" s="200">
        <v>1</v>
      </c>
      <c r="N275" s="100">
        <f t="shared" si="9"/>
        <v>0.5</v>
      </c>
      <c r="O275" s="93"/>
    </row>
    <row r="276" spans="1:15" x14ac:dyDescent="0.25">
      <c r="A276" s="129">
        <v>120</v>
      </c>
      <c r="B276" s="601" t="s">
        <v>1948</v>
      </c>
      <c r="C276" s="601" t="s">
        <v>1956</v>
      </c>
      <c r="D276" s="100">
        <v>0.5</v>
      </c>
      <c r="E276" s="129">
        <v>1</v>
      </c>
      <c r="F276" s="129" t="s">
        <v>1934</v>
      </c>
      <c r="G276" s="129"/>
      <c r="H276" s="200"/>
      <c r="I276" s="202"/>
      <c r="J276" s="201"/>
      <c r="K276" s="200"/>
      <c r="L276" s="200"/>
      <c r="M276" s="200">
        <v>1</v>
      </c>
      <c r="N276" s="100">
        <f t="shared" si="9"/>
        <v>0.5</v>
      </c>
      <c r="O276" s="93"/>
    </row>
    <row r="277" spans="1:15" x14ac:dyDescent="0.25">
      <c r="A277" s="129">
        <v>130</v>
      </c>
      <c r="B277" s="601" t="s">
        <v>1948</v>
      </c>
      <c r="C277" s="601" t="s">
        <v>1955</v>
      </c>
      <c r="D277" s="100">
        <v>0.5</v>
      </c>
      <c r="E277" s="129">
        <v>3</v>
      </c>
      <c r="F277" s="129" t="s">
        <v>1934</v>
      </c>
      <c r="G277" s="129"/>
      <c r="H277" s="200"/>
      <c r="I277" s="202"/>
      <c r="J277" s="201"/>
      <c r="K277" s="200"/>
      <c r="L277" s="200"/>
      <c r="M277" s="200">
        <v>1</v>
      </c>
      <c r="N277" s="100">
        <f t="shared" si="9"/>
        <v>1.5</v>
      </c>
      <c r="O277" s="93"/>
    </row>
    <row r="278" spans="1:15" ht="30" x14ac:dyDescent="0.25">
      <c r="A278" s="129">
        <v>140</v>
      </c>
      <c r="B278" s="601" t="s">
        <v>1948</v>
      </c>
      <c r="C278" s="601" t="s">
        <v>1954</v>
      </c>
      <c r="D278" s="100">
        <v>0.5</v>
      </c>
      <c r="E278" s="129">
        <v>6</v>
      </c>
      <c r="F278" s="129" t="s">
        <v>1934</v>
      </c>
      <c r="G278" s="129"/>
      <c r="H278" s="200"/>
      <c r="I278" s="202"/>
      <c r="J278" s="201"/>
      <c r="K278" s="200"/>
      <c r="L278" s="200"/>
      <c r="M278" s="200">
        <v>1</v>
      </c>
      <c r="N278" s="100">
        <f t="shared" si="9"/>
        <v>3</v>
      </c>
      <c r="O278" s="93"/>
    </row>
    <row r="279" spans="1:15" x14ac:dyDescent="0.25">
      <c r="A279" s="129">
        <v>150</v>
      </c>
      <c r="B279" s="601" t="s">
        <v>1948</v>
      </c>
      <c r="C279" s="601" t="s">
        <v>1953</v>
      </c>
      <c r="D279" s="100">
        <v>0.5</v>
      </c>
      <c r="E279" s="129">
        <v>2</v>
      </c>
      <c r="F279" s="129" t="s">
        <v>1934</v>
      </c>
      <c r="G279" s="129"/>
      <c r="H279" s="200"/>
      <c r="I279" s="202"/>
      <c r="J279" s="201"/>
      <c r="K279" s="200"/>
      <c r="L279" s="200"/>
      <c r="M279" s="200">
        <v>1</v>
      </c>
      <c r="N279" s="100">
        <f t="shared" si="9"/>
        <v>1</v>
      </c>
      <c r="O279" s="93"/>
    </row>
    <row r="280" spans="1:15" x14ac:dyDescent="0.25">
      <c r="A280" s="129">
        <v>160</v>
      </c>
      <c r="B280" s="601" t="s">
        <v>1948</v>
      </c>
      <c r="C280" s="601" t="s">
        <v>1952</v>
      </c>
      <c r="D280" s="100">
        <v>0.5</v>
      </c>
      <c r="E280" s="129">
        <v>2</v>
      </c>
      <c r="F280" s="129" t="s">
        <v>1934</v>
      </c>
      <c r="G280" s="129"/>
      <c r="H280" s="200"/>
      <c r="I280" s="202"/>
      <c r="J280" s="201"/>
      <c r="K280" s="200"/>
      <c r="L280" s="200"/>
      <c r="M280" s="200">
        <v>1</v>
      </c>
      <c r="N280" s="100">
        <f t="shared" si="9"/>
        <v>1</v>
      </c>
      <c r="O280" s="93"/>
    </row>
    <row r="281" spans="1:15" x14ac:dyDescent="0.25">
      <c r="A281" s="129">
        <v>170</v>
      </c>
      <c r="B281" s="601" t="s">
        <v>1948</v>
      </c>
      <c r="C281" s="601" t="s">
        <v>1951</v>
      </c>
      <c r="D281" s="100">
        <v>0.5</v>
      </c>
      <c r="E281" s="129">
        <v>34</v>
      </c>
      <c r="F281" s="129" t="s">
        <v>1934</v>
      </c>
      <c r="G281" s="129"/>
      <c r="H281" s="200"/>
      <c r="I281" s="202"/>
      <c r="J281" s="201"/>
      <c r="K281" s="200"/>
      <c r="L281" s="200"/>
      <c r="M281" s="200">
        <v>2</v>
      </c>
      <c r="N281" s="100">
        <f t="shared" si="9"/>
        <v>34</v>
      </c>
      <c r="O281" s="93"/>
    </row>
    <row r="282" spans="1:15" x14ac:dyDescent="0.25">
      <c r="A282" s="129">
        <v>180</v>
      </c>
      <c r="B282" s="601" t="s">
        <v>1948</v>
      </c>
      <c r="C282" s="601" t="s">
        <v>1950</v>
      </c>
      <c r="D282" s="100">
        <v>0.5</v>
      </c>
      <c r="E282" s="129">
        <v>2</v>
      </c>
      <c r="F282" s="129" t="s">
        <v>1934</v>
      </c>
      <c r="G282" s="129"/>
      <c r="H282" s="200"/>
      <c r="I282" s="202"/>
      <c r="J282" s="201"/>
      <c r="K282" s="200"/>
      <c r="L282" s="200"/>
      <c r="M282" s="200">
        <v>1</v>
      </c>
      <c r="N282" s="100">
        <f t="shared" si="9"/>
        <v>1</v>
      </c>
      <c r="O282" s="93"/>
    </row>
    <row r="283" spans="1:15" x14ac:dyDescent="0.25">
      <c r="A283" s="129">
        <v>190</v>
      </c>
      <c r="B283" s="601" t="s">
        <v>1948</v>
      </c>
      <c r="C283" s="601" t="s">
        <v>1949</v>
      </c>
      <c r="D283" s="100">
        <v>0.5</v>
      </c>
      <c r="E283" s="129">
        <v>2</v>
      </c>
      <c r="F283" s="129" t="s">
        <v>1934</v>
      </c>
      <c r="G283" s="129"/>
      <c r="H283" s="200"/>
      <c r="I283" s="202"/>
      <c r="J283" s="201"/>
      <c r="K283" s="200"/>
      <c r="L283" s="200"/>
      <c r="M283" s="200">
        <v>1</v>
      </c>
      <c r="N283" s="100">
        <f t="shared" si="9"/>
        <v>1</v>
      </c>
      <c r="O283" s="93"/>
    </row>
    <row r="284" spans="1:15" x14ac:dyDescent="0.25">
      <c r="A284" s="129">
        <v>200</v>
      </c>
      <c r="B284" s="601" t="s">
        <v>1948</v>
      </c>
      <c r="C284" s="601" t="s">
        <v>1947</v>
      </c>
      <c r="D284" s="100">
        <v>0.5</v>
      </c>
      <c r="E284" s="129">
        <v>2</v>
      </c>
      <c r="F284" s="129" t="s">
        <v>1934</v>
      </c>
      <c r="G284" s="129"/>
      <c r="H284" s="200"/>
      <c r="I284" s="202"/>
      <c r="J284" s="201"/>
      <c r="K284" s="200"/>
      <c r="L284" s="200"/>
      <c r="M284" s="200">
        <v>1</v>
      </c>
      <c r="N284" s="100">
        <f t="shared" si="9"/>
        <v>1</v>
      </c>
      <c r="O284" s="93"/>
    </row>
    <row r="285" spans="1:15" x14ac:dyDescent="0.25">
      <c r="A285" s="129">
        <v>210</v>
      </c>
      <c r="B285" s="601" t="s">
        <v>1943</v>
      </c>
      <c r="C285" s="601" t="s">
        <v>1946</v>
      </c>
      <c r="D285" s="100">
        <v>2</v>
      </c>
      <c r="E285" s="129">
        <v>3</v>
      </c>
      <c r="F285" s="129" t="s">
        <v>1934</v>
      </c>
      <c r="G285" s="129"/>
      <c r="H285" s="200"/>
      <c r="I285" s="202"/>
      <c r="J285" s="201"/>
      <c r="K285" s="200"/>
      <c r="L285" s="200"/>
      <c r="M285" s="200">
        <v>1</v>
      </c>
      <c r="N285" s="100">
        <f t="shared" si="9"/>
        <v>6</v>
      </c>
      <c r="O285" s="93"/>
    </row>
    <row r="286" spans="1:15" x14ac:dyDescent="0.25">
      <c r="A286" s="129">
        <v>220</v>
      </c>
      <c r="B286" s="601" t="s">
        <v>1943</v>
      </c>
      <c r="C286" s="601" t="s">
        <v>1945</v>
      </c>
      <c r="D286" s="100">
        <v>2</v>
      </c>
      <c r="E286" s="129">
        <v>4</v>
      </c>
      <c r="F286" s="129" t="s">
        <v>1934</v>
      </c>
      <c r="G286" s="129"/>
      <c r="H286" s="200"/>
      <c r="I286" s="202"/>
      <c r="J286" s="201"/>
      <c r="K286" s="200"/>
      <c r="L286" s="200"/>
      <c r="M286" s="200">
        <v>1</v>
      </c>
      <c r="N286" s="100">
        <f t="shared" si="9"/>
        <v>8</v>
      </c>
      <c r="O286" s="93"/>
    </row>
    <row r="287" spans="1:15" x14ac:dyDescent="0.25">
      <c r="A287" s="129">
        <v>230</v>
      </c>
      <c r="B287" s="601" t="s">
        <v>1941</v>
      </c>
      <c r="C287" s="601" t="s">
        <v>1944</v>
      </c>
      <c r="D287" s="100">
        <v>0.05</v>
      </c>
      <c r="E287" s="129">
        <v>1</v>
      </c>
      <c r="F287" s="129" t="s">
        <v>1939</v>
      </c>
      <c r="G287" s="129"/>
      <c r="H287" s="200"/>
      <c r="I287" s="202"/>
      <c r="J287" s="201"/>
      <c r="K287" s="200"/>
      <c r="L287" s="200"/>
      <c r="M287" s="200">
        <v>1</v>
      </c>
      <c r="N287" s="100">
        <f t="shared" si="9"/>
        <v>0.05</v>
      </c>
      <c r="O287" s="93"/>
    </row>
    <row r="288" spans="1:15" x14ac:dyDescent="0.25">
      <c r="A288" s="129">
        <v>240</v>
      </c>
      <c r="B288" s="601" t="s">
        <v>1943</v>
      </c>
      <c r="C288" s="601" t="s">
        <v>1942</v>
      </c>
      <c r="D288" s="100">
        <v>2</v>
      </c>
      <c r="E288" s="129">
        <v>1</v>
      </c>
      <c r="F288" s="129" t="s">
        <v>1934</v>
      </c>
      <c r="G288" s="129"/>
      <c r="H288" s="200"/>
      <c r="I288" s="202"/>
      <c r="J288" s="201"/>
      <c r="K288" s="200"/>
      <c r="L288" s="200"/>
      <c r="M288" s="200">
        <v>1</v>
      </c>
      <c r="N288" s="100">
        <f t="shared" si="9"/>
        <v>2</v>
      </c>
      <c r="O288" s="93"/>
    </row>
    <row r="289" spans="1:15" x14ac:dyDescent="0.25">
      <c r="A289" s="129">
        <v>250</v>
      </c>
      <c r="B289" s="601" t="s">
        <v>1941</v>
      </c>
      <c r="C289" s="601" t="s">
        <v>1940</v>
      </c>
      <c r="D289" s="100">
        <v>0.05</v>
      </c>
      <c r="E289" s="129">
        <v>8</v>
      </c>
      <c r="F289" s="129" t="s">
        <v>1939</v>
      </c>
      <c r="G289" s="129"/>
      <c r="H289" s="200"/>
      <c r="I289" s="202"/>
      <c r="J289" s="201"/>
      <c r="K289" s="200"/>
      <c r="L289" s="200"/>
      <c r="M289" s="200">
        <v>1</v>
      </c>
      <c r="N289" s="100">
        <f t="shared" si="9"/>
        <v>0.4</v>
      </c>
      <c r="O289" s="93"/>
    </row>
    <row r="290" spans="1:15" ht="45" x14ac:dyDescent="0.25">
      <c r="A290" s="129">
        <v>260</v>
      </c>
      <c r="B290" s="601" t="s">
        <v>1938</v>
      </c>
      <c r="C290" s="555" t="s">
        <v>1937</v>
      </c>
      <c r="D290" s="100">
        <v>4</v>
      </c>
      <c r="E290" s="129">
        <v>7</v>
      </c>
      <c r="F290" s="129" t="s">
        <v>64</v>
      </c>
      <c r="G290" s="129"/>
      <c r="H290" s="200"/>
      <c r="I290" s="202"/>
      <c r="J290" s="201"/>
      <c r="K290" s="200"/>
      <c r="L290" s="200"/>
      <c r="M290" s="200">
        <v>1</v>
      </c>
      <c r="N290" s="100">
        <f t="shared" si="9"/>
        <v>28</v>
      </c>
      <c r="O290" s="93"/>
    </row>
    <row r="291" spans="1:15" x14ac:dyDescent="0.25">
      <c r="A291" s="129">
        <v>270</v>
      </c>
      <c r="B291" s="601" t="s">
        <v>1936</v>
      </c>
      <c r="C291" s="601" t="s">
        <v>1935</v>
      </c>
      <c r="D291" s="100">
        <v>0.25</v>
      </c>
      <c r="E291" s="129">
        <v>19</v>
      </c>
      <c r="F291" s="129" t="s">
        <v>1934</v>
      </c>
      <c r="G291" s="129"/>
      <c r="H291" s="200"/>
      <c r="I291" s="202"/>
      <c r="J291" s="201"/>
      <c r="K291" s="200"/>
      <c r="L291" s="200"/>
      <c r="M291" s="200">
        <v>1</v>
      </c>
      <c r="N291" s="100">
        <f t="shared" si="9"/>
        <v>4.75</v>
      </c>
      <c r="O291" s="93"/>
    </row>
    <row r="292" spans="1:15" x14ac:dyDescent="0.25">
      <c r="A292" s="129">
        <v>280</v>
      </c>
      <c r="B292" s="601" t="s">
        <v>1933</v>
      </c>
      <c r="C292" s="601" t="s">
        <v>1932</v>
      </c>
      <c r="D292" s="100">
        <v>1</v>
      </c>
      <c r="E292" s="129">
        <v>8</v>
      </c>
      <c r="F292" s="129" t="s">
        <v>64</v>
      </c>
      <c r="G292" s="129"/>
      <c r="H292" s="200"/>
      <c r="I292" s="202"/>
      <c r="J292" s="201"/>
      <c r="K292" s="200"/>
      <c r="L292" s="200"/>
      <c r="M292" s="200">
        <v>1</v>
      </c>
      <c r="N292" s="100">
        <f t="shared" si="9"/>
        <v>8</v>
      </c>
      <c r="O292" s="93"/>
    </row>
    <row r="293" spans="1:15" ht="30" x14ac:dyDescent="0.25">
      <c r="A293" s="129">
        <v>290</v>
      </c>
      <c r="B293" s="601" t="s">
        <v>1931</v>
      </c>
      <c r="C293" s="555" t="s">
        <v>1930</v>
      </c>
      <c r="D293" s="100">
        <v>1</v>
      </c>
      <c r="E293" s="129">
        <v>40.799999999999997</v>
      </c>
      <c r="F293" s="129" t="s">
        <v>345</v>
      </c>
      <c r="G293" s="129"/>
      <c r="H293" s="200"/>
      <c r="I293" s="202"/>
      <c r="J293" s="201"/>
      <c r="K293" s="200"/>
      <c r="L293" s="200"/>
      <c r="M293" s="200">
        <v>1</v>
      </c>
      <c r="N293" s="100">
        <f t="shared" si="9"/>
        <v>40.799999999999997</v>
      </c>
      <c r="O293" s="93"/>
    </row>
    <row r="294" spans="1:15" x14ac:dyDescent="0.25">
      <c r="A294" s="129">
        <v>300</v>
      </c>
      <c r="B294" s="601" t="s">
        <v>1929</v>
      </c>
      <c r="C294" s="601" t="s">
        <v>1928</v>
      </c>
      <c r="D294" s="100">
        <v>0.5</v>
      </c>
      <c r="E294" s="129">
        <v>3</v>
      </c>
      <c r="F294" s="129" t="s">
        <v>345</v>
      </c>
      <c r="G294" s="129"/>
      <c r="H294" s="200"/>
      <c r="I294" s="202"/>
      <c r="J294" s="201"/>
      <c r="K294" s="200"/>
      <c r="L294" s="200"/>
      <c r="M294" s="200">
        <v>1</v>
      </c>
      <c r="N294" s="100">
        <f t="shared" si="9"/>
        <v>1.5</v>
      </c>
      <c r="O294" s="93"/>
    </row>
    <row r="295" spans="1:15" x14ac:dyDescent="0.25">
      <c r="A295" s="129">
        <v>310</v>
      </c>
      <c r="B295" s="601" t="s">
        <v>1795</v>
      </c>
      <c r="C295" s="601" t="s">
        <v>1927</v>
      </c>
      <c r="D295" s="100">
        <v>0.5</v>
      </c>
      <c r="E295" s="129">
        <v>4</v>
      </c>
      <c r="F295" s="129" t="s">
        <v>345</v>
      </c>
      <c r="G295" s="129"/>
      <c r="H295" s="200"/>
      <c r="I295" s="202"/>
      <c r="J295" s="201"/>
      <c r="K295" s="200"/>
      <c r="L295" s="200"/>
      <c r="M295" s="200">
        <v>1</v>
      </c>
      <c r="N295" s="100">
        <f t="shared" si="9"/>
        <v>2</v>
      </c>
      <c r="O295" s="93"/>
    </row>
    <row r="296" spans="1:15" x14ac:dyDescent="0.25">
      <c r="A296" s="98"/>
      <c r="B296" s="704"/>
      <c r="C296" s="704"/>
      <c r="D296" s="95"/>
      <c r="E296" s="95"/>
      <c r="F296" s="95"/>
      <c r="G296" s="95"/>
      <c r="H296" s="95"/>
      <c r="I296" s="95"/>
      <c r="J296" s="95"/>
      <c r="K296" s="95"/>
      <c r="L296" s="95"/>
      <c r="M296" s="1199" t="s">
        <v>58</v>
      </c>
      <c r="N296" s="1196">
        <f>SUM(N265:N295)</f>
        <v>956.99999999999989</v>
      </c>
      <c r="O296" s="93"/>
    </row>
    <row r="297" spans="1:15" x14ac:dyDescent="0.25">
      <c r="A297" s="107"/>
      <c r="B297" s="142"/>
      <c r="C297" s="142"/>
      <c r="D297" s="94"/>
      <c r="E297" s="94"/>
      <c r="F297" s="94"/>
      <c r="G297" s="94"/>
      <c r="H297" s="94"/>
      <c r="I297" s="94"/>
      <c r="J297" s="94"/>
      <c r="K297" s="94"/>
      <c r="L297" s="94"/>
      <c r="M297" s="94"/>
      <c r="N297" s="94"/>
      <c r="O297" s="93"/>
    </row>
    <row r="298" spans="1:15" x14ac:dyDescent="0.25">
      <c r="A298" s="1199" t="s">
        <v>67</v>
      </c>
      <c r="B298" s="1200" t="s">
        <v>106</v>
      </c>
      <c r="C298" s="1200" t="s">
        <v>66</v>
      </c>
      <c r="D298" s="1199" t="s">
        <v>65</v>
      </c>
      <c r="E298" s="1199" t="s">
        <v>64</v>
      </c>
      <c r="F298" s="1199" t="s">
        <v>40</v>
      </c>
      <c r="G298" s="1199" t="s">
        <v>105</v>
      </c>
      <c r="H298" s="1199" t="s">
        <v>104</v>
      </c>
      <c r="I298" s="1199" t="s">
        <v>58</v>
      </c>
      <c r="J298" s="95"/>
      <c r="K298" s="95"/>
      <c r="L298" s="95"/>
      <c r="M298" s="95"/>
      <c r="N298" s="95"/>
      <c r="O298" s="120"/>
    </row>
    <row r="299" spans="1:15" x14ac:dyDescent="0.25">
      <c r="A299" s="129">
        <v>10</v>
      </c>
      <c r="B299" s="601" t="s">
        <v>1924</v>
      </c>
      <c r="C299" s="601" t="s">
        <v>1926</v>
      </c>
      <c r="D299" s="100">
        <v>0.08</v>
      </c>
      <c r="E299" s="129" t="s">
        <v>64</v>
      </c>
      <c r="F299" s="244">
        <v>22</v>
      </c>
      <c r="G299" s="244"/>
      <c r="H299" s="244"/>
      <c r="I299" s="100">
        <f t="shared" ref="I299:I321" si="10">IF(H299="",D299*F299,D299*F299*H299)</f>
        <v>1.76</v>
      </c>
      <c r="J299" s="94"/>
      <c r="K299" s="94"/>
      <c r="L299" s="94"/>
      <c r="M299" s="94"/>
      <c r="N299" s="94"/>
      <c r="O299" s="93"/>
    </row>
    <row r="300" spans="1:15" x14ac:dyDescent="0.25">
      <c r="A300" s="129">
        <v>20</v>
      </c>
      <c r="B300" s="555" t="s">
        <v>1922</v>
      </c>
      <c r="C300" s="601" t="s">
        <v>1921</v>
      </c>
      <c r="D300" s="100">
        <v>0.08</v>
      </c>
      <c r="E300" s="555" t="s">
        <v>64</v>
      </c>
      <c r="F300" s="244">
        <v>44</v>
      </c>
      <c r="G300" s="129"/>
      <c r="H300" s="129"/>
      <c r="I300" s="100">
        <f t="shared" si="10"/>
        <v>3.52</v>
      </c>
      <c r="J300" s="94"/>
      <c r="K300" s="94"/>
      <c r="L300" s="94"/>
      <c r="M300" s="94"/>
      <c r="N300" s="94"/>
      <c r="O300" s="93"/>
    </row>
    <row r="301" spans="1:15" ht="30" x14ac:dyDescent="0.25">
      <c r="A301" s="129">
        <v>30</v>
      </c>
      <c r="B301" s="555" t="s">
        <v>1924</v>
      </c>
      <c r="C301" s="601" t="s">
        <v>1925</v>
      </c>
      <c r="D301" s="100">
        <v>0.08</v>
      </c>
      <c r="E301" s="129" t="s">
        <v>64</v>
      </c>
      <c r="F301" s="244">
        <v>32</v>
      </c>
      <c r="G301" s="129"/>
      <c r="H301" s="129"/>
      <c r="I301" s="100">
        <f t="shared" si="10"/>
        <v>2.56</v>
      </c>
      <c r="J301" s="94"/>
      <c r="K301" s="94"/>
      <c r="L301" s="94"/>
      <c r="M301" s="94"/>
      <c r="N301" s="94"/>
      <c r="O301" s="93"/>
    </row>
    <row r="302" spans="1:15" x14ac:dyDescent="0.25">
      <c r="A302" s="129">
        <v>40</v>
      </c>
      <c r="B302" s="555" t="s">
        <v>1922</v>
      </c>
      <c r="C302" s="601" t="s">
        <v>1921</v>
      </c>
      <c r="D302" s="100">
        <v>0.08</v>
      </c>
      <c r="E302" s="129" t="s">
        <v>64</v>
      </c>
      <c r="F302" s="244">
        <v>64</v>
      </c>
      <c r="G302" s="129"/>
      <c r="H302" s="129"/>
      <c r="I302" s="100">
        <f t="shared" si="10"/>
        <v>5.12</v>
      </c>
      <c r="J302" s="94"/>
      <c r="K302" s="94"/>
      <c r="L302" s="94"/>
      <c r="M302" s="94"/>
      <c r="N302" s="94"/>
      <c r="O302" s="93"/>
    </row>
    <row r="303" spans="1:15" x14ac:dyDescent="0.25">
      <c r="A303" s="129">
        <v>50</v>
      </c>
      <c r="B303" s="555" t="s">
        <v>1924</v>
      </c>
      <c r="C303" s="601" t="s">
        <v>1923</v>
      </c>
      <c r="D303" s="100">
        <v>0.08</v>
      </c>
      <c r="E303" s="129" t="s">
        <v>64</v>
      </c>
      <c r="F303" s="244">
        <v>30</v>
      </c>
      <c r="G303" s="129"/>
      <c r="H303" s="129"/>
      <c r="I303" s="100">
        <f t="shared" si="10"/>
        <v>2.4</v>
      </c>
      <c r="J303" s="94"/>
      <c r="K303" s="94"/>
      <c r="L303" s="94"/>
      <c r="M303" s="94"/>
      <c r="N303" s="94"/>
      <c r="O303" s="93"/>
    </row>
    <row r="304" spans="1:15" x14ac:dyDescent="0.25">
      <c r="A304" s="129">
        <v>60</v>
      </c>
      <c r="B304" s="555" t="s">
        <v>1922</v>
      </c>
      <c r="C304" s="601" t="s">
        <v>1921</v>
      </c>
      <c r="D304" s="100">
        <v>0.08</v>
      </c>
      <c r="E304" s="129" t="s">
        <v>64</v>
      </c>
      <c r="F304" s="244">
        <v>60</v>
      </c>
      <c r="G304" s="129"/>
      <c r="H304" s="129"/>
      <c r="I304" s="100">
        <f t="shared" si="10"/>
        <v>4.8</v>
      </c>
      <c r="J304" s="94"/>
      <c r="K304" s="94"/>
      <c r="L304" s="94"/>
      <c r="M304" s="94"/>
      <c r="N304" s="94"/>
      <c r="O304" s="93"/>
    </row>
    <row r="305" spans="1:15" x14ac:dyDescent="0.25">
      <c r="A305" s="129">
        <v>70</v>
      </c>
      <c r="B305" s="555" t="s">
        <v>1920</v>
      </c>
      <c r="C305" s="601" t="s">
        <v>1919</v>
      </c>
      <c r="D305" s="100">
        <v>0.17</v>
      </c>
      <c r="E305" s="129" t="s">
        <v>64</v>
      </c>
      <c r="F305" s="244">
        <v>10</v>
      </c>
      <c r="G305" s="129"/>
      <c r="H305" s="129"/>
      <c r="I305" s="100">
        <f t="shared" si="10"/>
        <v>1.7000000000000002</v>
      </c>
      <c r="J305" s="94"/>
      <c r="K305" s="94"/>
      <c r="L305" s="94"/>
      <c r="M305" s="94"/>
      <c r="N305" s="94"/>
      <c r="O305" s="93"/>
    </row>
    <row r="306" spans="1:15" ht="30" x14ac:dyDescent="0.25">
      <c r="A306" s="129">
        <v>80</v>
      </c>
      <c r="B306" s="555" t="s">
        <v>1918</v>
      </c>
      <c r="C306" s="601" t="s">
        <v>1917</v>
      </c>
      <c r="D306" s="100">
        <v>0.36</v>
      </c>
      <c r="E306" s="129" t="s">
        <v>1916</v>
      </c>
      <c r="F306" s="244">
        <v>125</v>
      </c>
      <c r="G306" s="129"/>
      <c r="H306" s="129"/>
      <c r="I306" s="100">
        <f t="shared" si="10"/>
        <v>45</v>
      </c>
      <c r="J306" s="94"/>
      <c r="K306" s="94"/>
      <c r="L306" s="94"/>
      <c r="M306" s="94"/>
      <c r="N306" s="94"/>
      <c r="O306" s="93"/>
    </row>
    <row r="307" spans="1:15" x14ac:dyDescent="0.25">
      <c r="A307" s="129">
        <v>90</v>
      </c>
      <c r="B307" s="555" t="s">
        <v>1915</v>
      </c>
      <c r="C307" s="601" t="s">
        <v>1914</v>
      </c>
      <c r="D307" s="100">
        <v>0.48</v>
      </c>
      <c r="E307" s="129" t="s">
        <v>64</v>
      </c>
      <c r="F307" s="244">
        <v>9</v>
      </c>
      <c r="G307" s="129"/>
      <c r="H307" s="129"/>
      <c r="I307" s="100">
        <f t="shared" si="10"/>
        <v>4.32</v>
      </c>
      <c r="J307" s="94"/>
      <c r="K307" s="94"/>
      <c r="L307" s="94"/>
      <c r="M307" s="94"/>
      <c r="N307" s="94"/>
      <c r="O307" s="93"/>
    </row>
    <row r="308" spans="1:15" x14ac:dyDescent="0.25">
      <c r="A308" s="129">
        <v>100</v>
      </c>
      <c r="B308" s="555" t="s">
        <v>1913</v>
      </c>
      <c r="C308" s="601" t="s">
        <v>1912</v>
      </c>
      <c r="D308" s="100">
        <v>0.52</v>
      </c>
      <c r="E308" s="129" t="s">
        <v>64</v>
      </c>
      <c r="F308" s="244">
        <v>30</v>
      </c>
      <c r="G308" s="129"/>
      <c r="H308" s="129"/>
      <c r="I308" s="100">
        <f t="shared" si="10"/>
        <v>15.600000000000001</v>
      </c>
      <c r="J308" s="94"/>
      <c r="K308" s="94"/>
      <c r="L308" s="94"/>
      <c r="M308" s="94"/>
      <c r="N308" s="94"/>
      <c r="O308" s="93"/>
    </row>
    <row r="309" spans="1:15" x14ac:dyDescent="0.25">
      <c r="A309" s="129">
        <v>110</v>
      </c>
      <c r="B309" s="555" t="s">
        <v>290</v>
      </c>
      <c r="C309" s="601" t="s">
        <v>1911</v>
      </c>
      <c r="D309" s="100">
        <v>0.06</v>
      </c>
      <c r="E309" s="129" t="s">
        <v>101</v>
      </c>
      <c r="F309" s="244">
        <v>1</v>
      </c>
      <c r="G309" s="129" t="s">
        <v>1910</v>
      </c>
      <c r="H309" s="129">
        <v>50</v>
      </c>
      <c r="I309" s="100">
        <f t="shared" si="10"/>
        <v>3</v>
      </c>
      <c r="J309" s="94"/>
      <c r="K309" s="94"/>
      <c r="L309" s="94"/>
      <c r="M309" s="94"/>
      <c r="N309" s="94"/>
      <c r="O309" s="93"/>
    </row>
    <row r="310" spans="1:15" x14ac:dyDescent="0.25">
      <c r="A310" s="129">
        <v>120</v>
      </c>
      <c r="B310" s="555" t="s">
        <v>1767</v>
      </c>
      <c r="C310" s="601" t="s">
        <v>1909</v>
      </c>
      <c r="D310" s="100">
        <v>0.15</v>
      </c>
      <c r="E310" s="129" t="s">
        <v>101</v>
      </c>
      <c r="F310" s="244">
        <v>400</v>
      </c>
      <c r="G310" s="129"/>
      <c r="H310" s="129"/>
      <c r="I310" s="100">
        <f t="shared" si="10"/>
        <v>60</v>
      </c>
      <c r="J310" s="94"/>
      <c r="K310" s="94"/>
      <c r="L310" s="94"/>
      <c r="M310" s="94"/>
      <c r="N310" s="94"/>
      <c r="O310" s="93"/>
    </row>
    <row r="311" spans="1:15" x14ac:dyDescent="0.25">
      <c r="A311" s="129">
        <v>130</v>
      </c>
      <c r="B311" s="555" t="s">
        <v>1908</v>
      </c>
      <c r="C311" s="601" t="s">
        <v>1903</v>
      </c>
      <c r="D311" s="100">
        <v>1</v>
      </c>
      <c r="E311" s="129" t="s">
        <v>345</v>
      </c>
      <c r="F311" s="244">
        <v>3</v>
      </c>
      <c r="G311" s="129"/>
      <c r="H311" s="129"/>
      <c r="I311" s="100">
        <f t="shared" si="10"/>
        <v>3</v>
      </c>
      <c r="J311" s="94"/>
      <c r="K311" s="94"/>
      <c r="L311" s="94"/>
      <c r="M311" s="94"/>
      <c r="N311" s="94"/>
      <c r="O311" s="93"/>
    </row>
    <row r="312" spans="1:15" x14ac:dyDescent="0.25">
      <c r="A312" s="129">
        <v>140</v>
      </c>
      <c r="B312" s="555" t="s">
        <v>1907</v>
      </c>
      <c r="C312" s="601" t="s">
        <v>1903</v>
      </c>
      <c r="D312" s="100">
        <v>0.2</v>
      </c>
      <c r="E312" s="129" t="s">
        <v>345</v>
      </c>
      <c r="F312" s="244">
        <v>3</v>
      </c>
      <c r="G312" s="129"/>
      <c r="H312" s="129"/>
      <c r="I312" s="100">
        <f t="shared" si="10"/>
        <v>0.60000000000000009</v>
      </c>
      <c r="J312" s="94"/>
      <c r="K312" s="94"/>
      <c r="L312" s="94"/>
      <c r="M312" s="94"/>
      <c r="N312" s="94"/>
      <c r="O312" s="93"/>
    </row>
    <row r="313" spans="1:15" x14ac:dyDescent="0.25">
      <c r="A313" s="129">
        <v>150</v>
      </c>
      <c r="B313" s="555" t="s">
        <v>1906</v>
      </c>
      <c r="C313" s="601" t="s">
        <v>1905</v>
      </c>
      <c r="D313" s="100">
        <v>0.04</v>
      </c>
      <c r="E313" s="129" t="s">
        <v>101</v>
      </c>
      <c r="F313" s="244">
        <v>20</v>
      </c>
      <c r="G313" s="129"/>
      <c r="H313" s="129"/>
      <c r="I313" s="100">
        <f t="shared" si="10"/>
        <v>0.8</v>
      </c>
      <c r="J313" s="94"/>
      <c r="K313" s="94"/>
      <c r="L313" s="94"/>
      <c r="M313" s="94"/>
      <c r="N313" s="94"/>
      <c r="O313" s="93"/>
    </row>
    <row r="314" spans="1:15" x14ac:dyDescent="0.25">
      <c r="A314" s="129">
        <v>160</v>
      </c>
      <c r="B314" s="555" t="s">
        <v>1904</v>
      </c>
      <c r="C314" s="601" t="s">
        <v>1903</v>
      </c>
      <c r="D314" s="100">
        <v>0.09</v>
      </c>
      <c r="E314" s="129" t="s">
        <v>64</v>
      </c>
      <c r="F314" s="244">
        <v>15</v>
      </c>
      <c r="G314" s="129"/>
      <c r="H314" s="129"/>
      <c r="I314" s="100">
        <f t="shared" si="10"/>
        <v>1.3499999999999999</v>
      </c>
      <c r="J314" s="94"/>
      <c r="K314" s="94"/>
      <c r="L314" s="94"/>
      <c r="M314" s="94"/>
      <c r="N314" s="94"/>
      <c r="O314" s="93"/>
    </row>
    <row r="315" spans="1:15" x14ac:dyDescent="0.25">
      <c r="A315" s="129">
        <v>170</v>
      </c>
      <c r="B315" s="555" t="s">
        <v>961</v>
      </c>
      <c r="C315" s="601" t="s">
        <v>1902</v>
      </c>
      <c r="D315" s="100">
        <v>0.8</v>
      </c>
      <c r="E315" s="129" t="s">
        <v>345</v>
      </c>
      <c r="F315" s="244">
        <v>0.6</v>
      </c>
      <c r="G315" s="129"/>
      <c r="H315" s="129"/>
      <c r="I315" s="100">
        <f t="shared" si="10"/>
        <v>0.48</v>
      </c>
      <c r="J315" s="94"/>
      <c r="K315" s="94"/>
      <c r="L315" s="94"/>
      <c r="M315" s="94"/>
      <c r="N315" s="94"/>
      <c r="O315" s="93"/>
    </row>
    <row r="316" spans="1:15" x14ac:dyDescent="0.25">
      <c r="A316" s="129">
        <v>180</v>
      </c>
      <c r="B316" s="555" t="s">
        <v>165</v>
      </c>
      <c r="C316" s="601" t="s">
        <v>1901</v>
      </c>
      <c r="D316" s="100">
        <v>0.06</v>
      </c>
      <c r="E316" s="129" t="s">
        <v>64</v>
      </c>
      <c r="F316" s="244">
        <v>1</v>
      </c>
      <c r="G316" s="129"/>
      <c r="H316" s="129"/>
      <c r="I316" s="100">
        <f t="shared" si="10"/>
        <v>0.06</v>
      </c>
      <c r="J316" s="94"/>
      <c r="K316" s="94"/>
      <c r="L316" s="94"/>
      <c r="M316" s="94"/>
      <c r="N316" s="94"/>
      <c r="O316" s="93"/>
    </row>
    <row r="317" spans="1:15" x14ac:dyDescent="0.25">
      <c r="A317" s="129">
        <v>190</v>
      </c>
      <c r="B317" s="555" t="s">
        <v>328</v>
      </c>
      <c r="C317" s="601" t="s">
        <v>1900</v>
      </c>
      <c r="D317" s="100">
        <v>0.5</v>
      </c>
      <c r="E317" s="129" t="s">
        <v>64</v>
      </c>
      <c r="F317" s="244">
        <v>1</v>
      </c>
      <c r="G317" s="129"/>
      <c r="H317" s="129"/>
      <c r="I317" s="100">
        <f t="shared" si="10"/>
        <v>0.5</v>
      </c>
      <c r="J317" s="94"/>
      <c r="K317" s="94"/>
      <c r="L317" s="94"/>
      <c r="M317" s="94"/>
      <c r="N317" s="94"/>
      <c r="O317" s="93"/>
    </row>
    <row r="318" spans="1:15" x14ac:dyDescent="0.25">
      <c r="A318" s="129">
        <v>200</v>
      </c>
      <c r="B318" s="555" t="s">
        <v>1897</v>
      </c>
      <c r="C318" s="601" t="s">
        <v>1896</v>
      </c>
      <c r="D318" s="100">
        <v>0.25</v>
      </c>
      <c r="E318" s="129" t="s">
        <v>64</v>
      </c>
      <c r="F318" s="244">
        <v>1</v>
      </c>
      <c r="G318" s="129"/>
      <c r="H318" s="129"/>
      <c r="I318" s="100">
        <f t="shared" si="10"/>
        <v>0.25</v>
      </c>
      <c r="J318" s="94"/>
      <c r="K318" s="94"/>
      <c r="L318" s="94"/>
      <c r="M318" s="94"/>
      <c r="N318" s="94"/>
      <c r="O318" s="93"/>
    </row>
    <row r="319" spans="1:15" x14ac:dyDescent="0.25">
      <c r="A319" s="129">
        <v>210</v>
      </c>
      <c r="B319" s="555" t="s">
        <v>165</v>
      </c>
      <c r="C319" s="601" t="s">
        <v>1899</v>
      </c>
      <c r="D319" s="100">
        <v>0.06</v>
      </c>
      <c r="E319" s="129" t="s">
        <v>64</v>
      </c>
      <c r="F319" s="244">
        <v>1</v>
      </c>
      <c r="G319" s="129"/>
      <c r="H319" s="129"/>
      <c r="I319" s="100">
        <f t="shared" si="10"/>
        <v>0.06</v>
      </c>
      <c r="J319" s="94"/>
      <c r="K319" s="94"/>
      <c r="L319" s="94"/>
      <c r="M319" s="94"/>
      <c r="N319" s="94"/>
      <c r="O319" s="93"/>
    </row>
    <row r="320" spans="1:15" x14ac:dyDescent="0.25">
      <c r="A320" s="129">
        <v>220</v>
      </c>
      <c r="B320" s="555" t="s">
        <v>328</v>
      </c>
      <c r="C320" s="601" t="s">
        <v>1898</v>
      </c>
      <c r="D320" s="100">
        <v>0.5</v>
      </c>
      <c r="E320" s="129" t="s">
        <v>64</v>
      </c>
      <c r="F320" s="244">
        <v>2</v>
      </c>
      <c r="G320" s="129"/>
      <c r="H320" s="129"/>
      <c r="I320" s="100">
        <f t="shared" si="10"/>
        <v>1</v>
      </c>
      <c r="J320" s="94"/>
      <c r="K320" s="94"/>
      <c r="L320" s="94"/>
      <c r="M320" s="94"/>
      <c r="N320" s="94"/>
      <c r="O320" s="93"/>
    </row>
    <row r="321" spans="1:15" x14ac:dyDescent="0.25">
      <c r="A321" s="129">
        <v>230</v>
      </c>
      <c r="B321" s="555" t="s">
        <v>1897</v>
      </c>
      <c r="C321" s="601" t="s">
        <v>1896</v>
      </c>
      <c r="D321" s="100">
        <v>0.25</v>
      </c>
      <c r="E321" s="129" t="s">
        <v>64</v>
      </c>
      <c r="F321" s="244">
        <v>2</v>
      </c>
      <c r="G321" s="129"/>
      <c r="H321" s="129"/>
      <c r="I321" s="100">
        <f t="shared" si="10"/>
        <v>0.5</v>
      </c>
      <c r="J321" s="99"/>
      <c r="K321" s="99"/>
      <c r="L321" s="99"/>
      <c r="M321" s="99"/>
      <c r="N321" s="99"/>
      <c r="O321" s="130"/>
    </row>
    <row r="322" spans="1:15" x14ac:dyDescent="0.25">
      <c r="A322" s="98"/>
      <c r="B322" s="704"/>
      <c r="C322" s="704"/>
      <c r="D322" s="95"/>
      <c r="E322" s="95"/>
      <c r="F322" s="95"/>
      <c r="G322" s="95"/>
      <c r="H322" s="1197" t="s">
        <v>58</v>
      </c>
      <c r="I322" s="1196">
        <f>SUM(I299:I321)</f>
        <v>158.38</v>
      </c>
      <c r="J322" s="94"/>
      <c r="K322" s="94"/>
      <c r="L322" s="94"/>
      <c r="M322" s="94"/>
      <c r="N322" s="94"/>
      <c r="O322" s="93"/>
    </row>
    <row r="323" spans="1:15" x14ac:dyDescent="0.25">
      <c r="A323" s="107"/>
      <c r="B323" s="142"/>
      <c r="C323" s="142"/>
      <c r="D323" s="94"/>
      <c r="E323" s="94"/>
      <c r="F323" s="94"/>
      <c r="G323" s="94"/>
      <c r="H323" s="94"/>
      <c r="I323" s="94"/>
      <c r="J323" s="94"/>
      <c r="K323" s="94"/>
      <c r="L323" s="94"/>
      <c r="M323" s="94"/>
      <c r="N323" s="94"/>
      <c r="O323" s="93"/>
    </row>
    <row r="324" spans="1:15" x14ac:dyDescent="0.25">
      <c r="A324" s="1199" t="s">
        <v>67</v>
      </c>
      <c r="B324" s="1200" t="s">
        <v>82</v>
      </c>
      <c r="C324" s="1200" t="s">
        <v>66</v>
      </c>
      <c r="D324" s="1199" t="s">
        <v>65</v>
      </c>
      <c r="E324" s="1199" t="s">
        <v>81</v>
      </c>
      <c r="F324" s="1199" t="s">
        <v>80</v>
      </c>
      <c r="G324" s="1199" t="s">
        <v>79</v>
      </c>
      <c r="H324" s="1199" t="s">
        <v>78</v>
      </c>
      <c r="I324" s="1199" t="s">
        <v>40</v>
      </c>
      <c r="J324" s="1199" t="s">
        <v>58</v>
      </c>
      <c r="K324" s="94"/>
      <c r="L324" s="94"/>
      <c r="M324" s="94"/>
      <c r="N324" s="94"/>
      <c r="O324" s="93"/>
    </row>
    <row r="325" spans="1:15" ht="30" x14ac:dyDescent="0.25">
      <c r="A325" s="129">
        <v>10</v>
      </c>
      <c r="B325" s="601" t="s">
        <v>184</v>
      </c>
      <c r="C325" s="601" t="s">
        <v>1895</v>
      </c>
      <c r="D325" s="553">
        <v>0.04</v>
      </c>
      <c r="E325" s="552">
        <v>6</v>
      </c>
      <c r="F325" s="552" t="s">
        <v>68</v>
      </c>
      <c r="G325" s="552">
        <v>20</v>
      </c>
      <c r="H325" s="552" t="s">
        <v>68</v>
      </c>
      <c r="I325" s="136">
        <v>3</v>
      </c>
      <c r="J325" s="100">
        <f>I325*D325</f>
        <v>0.12</v>
      </c>
      <c r="K325" s="94"/>
      <c r="L325" s="94"/>
      <c r="M325" s="94"/>
      <c r="N325" s="94"/>
      <c r="O325" s="93"/>
    </row>
    <row r="326" spans="1:15" x14ac:dyDescent="0.25">
      <c r="A326" s="129">
        <v>20</v>
      </c>
      <c r="B326" s="601" t="s">
        <v>74</v>
      </c>
      <c r="C326" s="601" t="s">
        <v>1894</v>
      </c>
      <c r="D326" s="553">
        <v>0.01</v>
      </c>
      <c r="E326" s="129">
        <v>6</v>
      </c>
      <c r="F326" s="1132" t="s">
        <v>68</v>
      </c>
      <c r="G326" s="129"/>
      <c r="H326" s="129"/>
      <c r="I326" s="136">
        <v>6</v>
      </c>
      <c r="J326" s="100">
        <f>I326*D326</f>
        <v>0.06</v>
      </c>
      <c r="K326" s="94"/>
      <c r="L326" s="94"/>
      <c r="M326" s="94"/>
      <c r="N326" s="94"/>
      <c r="O326" s="93"/>
    </row>
    <row r="327" spans="1:15" x14ac:dyDescent="0.25">
      <c r="A327" s="129">
        <v>30</v>
      </c>
      <c r="B327" s="601" t="s">
        <v>75</v>
      </c>
      <c r="C327" s="601" t="s">
        <v>1893</v>
      </c>
      <c r="D327" s="553">
        <v>0.03</v>
      </c>
      <c r="E327" s="129">
        <v>6</v>
      </c>
      <c r="F327" s="1132" t="s">
        <v>68</v>
      </c>
      <c r="G327" s="129"/>
      <c r="H327" s="129"/>
      <c r="I327" s="136">
        <v>3</v>
      </c>
      <c r="J327" s="100">
        <f>I327*D327</f>
        <v>0.09</v>
      </c>
      <c r="K327" s="94"/>
      <c r="L327" s="94"/>
      <c r="M327" s="94"/>
      <c r="N327" s="94"/>
      <c r="O327" s="93"/>
    </row>
    <row r="328" spans="1:15" x14ac:dyDescent="0.25">
      <c r="A328" s="129">
        <v>40</v>
      </c>
      <c r="B328" s="1198" t="s">
        <v>1757</v>
      </c>
      <c r="C328" s="601" t="s">
        <v>1892</v>
      </c>
      <c r="D328" s="1131">
        <v>0.04</v>
      </c>
      <c r="E328" s="601"/>
      <c r="F328" s="1130"/>
      <c r="G328" s="601"/>
      <c r="H328" s="601"/>
      <c r="I328" s="1129">
        <v>15</v>
      </c>
      <c r="J328" s="100">
        <f>I328*D328</f>
        <v>0.6</v>
      </c>
      <c r="K328" s="142"/>
      <c r="L328" s="142"/>
      <c r="M328" s="142"/>
      <c r="N328" s="142"/>
      <c r="O328" s="93"/>
    </row>
    <row r="329" spans="1:15" x14ac:dyDescent="0.25">
      <c r="A329" s="98"/>
      <c r="B329" s="704"/>
      <c r="C329" s="704"/>
      <c r="D329" s="95"/>
      <c r="E329" s="95"/>
      <c r="F329" s="95"/>
      <c r="G329" s="95"/>
      <c r="H329" s="95"/>
      <c r="I329" s="1197" t="s">
        <v>58</v>
      </c>
      <c r="J329" s="1196">
        <f>SUM(J325:J328)</f>
        <v>0.87</v>
      </c>
      <c r="K329" s="94"/>
      <c r="L329" s="94"/>
      <c r="M329" s="94"/>
      <c r="N329" s="94"/>
      <c r="O329" s="93"/>
    </row>
    <row r="330" spans="1:15" ht="15.75" thickBot="1" x14ac:dyDescent="0.3">
      <c r="A330" s="92"/>
      <c r="B330" s="1195"/>
      <c r="C330" s="1195"/>
      <c r="D330" s="91"/>
      <c r="E330" s="91"/>
      <c r="F330" s="91"/>
      <c r="G330" s="91"/>
      <c r="H330" s="91"/>
      <c r="I330" s="91"/>
      <c r="J330" s="91"/>
      <c r="K330" s="91"/>
      <c r="L330" s="91"/>
      <c r="M330" s="91"/>
      <c r="N330" s="91"/>
      <c r="O330" s="90"/>
    </row>
  </sheetData>
  <hyperlinks>
    <hyperlink ref="B10" location="EL_01001" display="EL_01001"/>
    <hyperlink ref="B96" location="EL_02001" display="EL_02001"/>
    <hyperlink ref="B97" location="EL_02002" display="EL_02002"/>
    <hyperlink ref="B163" location="EL_03001" display="Ground tab"/>
    <hyperlink ref="B203" location="EL_04001" display="Paddles connector mount"/>
    <hyperlink ref="B11" location="EL_01002" display="Welded Tabs"/>
    <hyperlink ref="B13" location="EL_01004" display="Speed Sensor Disc"/>
    <hyperlink ref="B98" location="EL_02003" display="Front tab"/>
    <hyperlink ref="B99" location="EL_02004" display="Rear tab"/>
    <hyperlink ref="B100" location="EL_02005" display="Master Switch mount"/>
    <hyperlink ref="B12" location="EL_01003" display="Sensor Tabs"/>
    <hyperlink ref="B14" location="EL_01005" display="Rear Roll Bar Mount"/>
  </hyperlinks>
  <pageMargins left="0.7" right="0.7" top="0.75" bottom="0.75" header="0.51180555555555496" footer="0.3"/>
  <pageSetup paperSize="9" scale="65" firstPageNumber="0" fitToHeight="0" orientation="landscape" r:id="rId1"/>
  <headerFooter>
    <oddFooter>&amp;C&amp;P</oddFooter>
  </headerFooter>
  <rowBreaks count="7" manualBreakCount="7">
    <brk id="85" max="16383" man="1"/>
    <brk id="152" max="16383" man="1"/>
    <brk id="192" max="16383" man="1"/>
    <brk id="227" max="16383" man="1"/>
    <brk id="254" max="16383" man="1"/>
    <brk id="297" max="16383" man="1"/>
    <brk id="330" max="1638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AC090"/>
    <pageSetUpPr fitToPage="1"/>
  </sheetPr>
  <dimension ref="A1:O311"/>
  <sheetViews>
    <sheetView zoomScale="80" zoomScaleNormal="80" workbookViewId="0"/>
  </sheetViews>
  <sheetFormatPr baseColWidth="10" defaultColWidth="9.140625" defaultRowHeight="15" x14ac:dyDescent="0.25"/>
  <cols>
    <col min="1" max="1" width="14" style="89" customWidth="1"/>
    <col min="2" max="2" width="34.28515625" style="89" customWidth="1"/>
    <col min="3" max="3" width="30.7109375" style="89" customWidth="1"/>
    <col min="4" max="4" width="13.42578125" style="89" customWidth="1"/>
    <col min="5" max="6" width="9.140625" style="89"/>
    <col min="7" max="7" width="18.28515625" style="89" customWidth="1"/>
    <col min="8" max="8" width="9.140625" style="89"/>
    <col min="9" max="9" width="21.7109375" style="89" bestFit="1" customWidth="1"/>
    <col min="10" max="10" width="11.85546875" style="89" customWidth="1"/>
    <col min="11" max="13" width="9.140625" style="89"/>
    <col min="14" max="14" width="11.42578125" style="89" customWidth="1"/>
    <col min="15" max="15" width="3.140625" style="89" customWidth="1"/>
    <col min="16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1219" t="s">
        <v>57</v>
      </c>
      <c r="B2" s="133" t="s">
        <v>523</v>
      </c>
      <c r="C2" s="94"/>
      <c r="D2" s="94"/>
      <c r="E2" s="94"/>
      <c r="F2" s="94"/>
      <c r="G2" s="94"/>
      <c r="H2" s="94"/>
      <c r="I2" s="94"/>
      <c r="J2" s="1221" t="s">
        <v>51</v>
      </c>
      <c r="K2" s="138">
        <v>81</v>
      </c>
      <c r="L2" s="94"/>
      <c r="M2" s="1219" t="s">
        <v>113</v>
      </c>
      <c r="N2" s="100">
        <f>EL_01001_m+EL_01001_p+EL_01001_t</f>
        <v>172.88800000000001</v>
      </c>
      <c r="O2" s="93"/>
    </row>
    <row r="3" spans="1:15" x14ac:dyDescent="0.25">
      <c r="A3" s="1219" t="s">
        <v>125</v>
      </c>
      <c r="B3" s="133" t="s">
        <v>1975</v>
      </c>
      <c r="C3" s="94"/>
      <c r="D3" s="1219" t="s">
        <v>122</v>
      </c>
      <c r="E3" s="547" t="s">
        <v>522</v>
      </c>
      <c r="F3" s="94"/>
      <c r="G3" s="94"/>
      <c r="H3" s="94"/>
      <c r="I3" s="94"/>
      <c r="J3" s="94"/>
      <c r="K3" s="94"/>
      <c r="L3" s="94"/>
      <c r="M3" s="1219" t="s">
        <v>124</v>
      </c>
      <c r="N3" s="136">
        <v>1</v>
      </c>
      <c r="O3" s="93"/>
    </row>
    <row r="4" spans="1:15" x14ac:dyDescent="0.25">
      <c r="A4" s="1219" t="s">
        <v>123</v>
      </c>
      <c r="B4" s="270" t="str">
        <f>'EL Assemblies'!$B$4</f>
        <v>Monitoring System</v>
      </c>
      <c r="C4" s="94"/>
      <c r="D4" s="1219" t="s">
        <v>119</v>
      </c>
      <c r="E4" s="94"/>
      <c r="F4" s="94"/>
      <c r="G4" s="94"/>
      <c r="H4" s="94"/>
      <c r="I4" s="94"/>
      <c r="J4" s="1220" t="s">
        <v>122</v>
      </c>
      <c r="K4" s="94"/>
      <c r="L4" s="94"/>
      <c r="M4" s="94"/>
      <c r="N4" s="94"/>
      <c r="O4" s="93"/>
    </row>
    <row r="5" spans="1:15" x14ac:dyDescent="0.25">
      <c r="A5" s="1219" t="s">
        <v>114</v>
      </c>
      <c r="B5" s="135" t="str">
        <f>'EL Assemblies'!B10</f>
        <v>Dashboard</v>
      </c>
      <c r="C5" s="94"/>
      <c r="D5" s="1219" t="s">
        <v>116</v>
      </c>
      <c r="E5" s="94"/>
      <c r="F5" s="94"/>
      <c r="G5" s="94"/>
      <c r="H5" s="94"/>
      <c r="I5" s="94"/>
      <c r="J5" s="1220" t="s">
        <v>119</v>
      </c>
      <c r="K5" s="94"/>
      <c r="L5" s="94"/>
      <c r="M5" s="1219" t="s">
        <v>118</v>
      </c>
      <c r="N5" s="100">
        <f>N3*N2</f>
        <v>172.88800000000001</v>
      </c>
      <c r="O5" s="93"/>
    </row>
    <row r="6" spans="1:15" x14ac:dyDescent="0.25">
      <c r="A6" s="1219" t="s">
        <v>121</v>
      </c>
      <c r="B6" s="269" t="s">
        <v>2195</v>
      </c>
      <c r="C6" s="94"/>
      <c r="D6" s="94"/>
      <c r="E6" s="94"/>
      <c r="F6" s="94"/>
      <c r="G6" s="94"/>
      <c r="H6" s="94"/>
      <c r="I6" s="94"/>
      <c r="J6" s="1220" t="s">
        <v>116</v>
      </c>
      <c r="K6" s="94"/>
      <c r="L6" s="94"/>
      <c r="M6" s="94"/>
      <c r="N6" s="94"/>
      <c r="O6" s="93"/>
    </row>
    <row r="7" spans="1:15" x14ac:dyDescent="0.25">
      <c r="A7" s="1219" t="s">
        <v>117</v>
      </c>
      <c r="B7" s="133" t="s">
        <v>23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1219" t="s">
        <v>115</v>
      </c>
      <c r="B8" s="133" t="s">
        <v>2194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266"/>
      <c r="B9" s="265"/>
      <c r="C9" s="265"/>
      <c r="D9" s="265"/>
      <c r="E9" s="265"/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1218" t="s">
        <v>67</v>
      </c>
      <c r="B10" s="1217" t="s">
        <v>112</v>
      </c>
      <c r="C10" s="1217" t="s">
        <v>66</v>
      </c>
      <c r="D10" s="1217" t="s">
        <v>65</v>
      </c>
      <c r="E10" s="1217" t="s">
        <v>81</v>
      </c>
      <c r="F10" s="1213" t="s">
        <v>80</v>
      </c>
      <c r="G10" s="1213" t="s">
        <v>79</v>
      </c>
      <c r="H10" s="1213" t="s">
        <v>78</v>
      </c>
      <c r="I10" s="1213" t="s">
        <v>111</v>
      </c>
      <c r="J10" s="1213" t="s">
        <v>110</v>
      </c>
      <c r="K10" s="1213" t="s">
        <v>109</v>
      </c>
      <c r="L10" s="1213" t="s">
        <v>108</v>
      </c>
      <c r="M10" s="1213" t="s">
        <v>40</v>
      </c>
      <c r="N10" s="1213" t="s">
        <v>58</v>
      </c>
      <c r="O10" s="93"/>
    </row>
    <row r="11" spans="1:15" s="250" customFormat="1" x14ac:dyDescent="0.25">
      <c r="A11" s="1077">
        <v>10</v>
      </c>
      <c r="B11" s="402" t="s">
        <v>1000</v>
      </c>
      <c r="C11" s="564" t="s">
        <v>2193</v>
      </c>
      <c r="D11" s="276">
        <v>200</v>
      </c>
      <c r="E11" s="296">
        <v>0.2</v>
      </c>
      <c r="F11" s="296" t="s">
        <v>794</v>
      </c>
      <c r="G11" s="296"/>
      <c r="H11" s="401"/>
      <c r="I11" s="400"/>
      <c r="J11" s="399"/>
      <c r="K11" s="398"/>
      <c r="L11" s="319"/>
      <c r="M11" s="397">
        <v>2</v>
      </c>
      <c r="N11" s="276">
        <f>IF(E11="",D11*M11,D11*E11*M11)</f>
        <v>80</v>
      </c>
      <c r="O11" s="143"/>
    </row>
    <row r="12" spans="1:15" s="250" customFormat="1" x14ac:dyDescent="0.25">
      <c r="A12" s="1077">
        <v>20</v>
      </c>
      <c r="B12" s="402" t="s">
        <v>796</v>
      </c>
      <c r="C12" s="564" t="s">
        <v>2193</v>
      </c>
      <c r="D12" s="276">
        <v>100</v>
      </c>
      <c r="E12" s="296">
        <v>0.02</v>
      </c>
      <c r="F12" s="296" t="s">
        <v>794</v>
      </c>
      <c r="G12" s="296"/>
      <c r="H12" s="401"/>
      <c r="I12" s="400"/>
      <c r="J12" s="399"/>
      <c r="K12" s="398"/>
      <c r="L12" s="319"/>
      <c r="M12" s="397">
        <v>1</v>
      </c>
      <c r="N12" s="276">
        <f>IF(E12="",D12*M12,D12*E12*M12)</f>
        <v>2</v>
      </c>
      <c r="O12" s="143"/>
    </row>
    <row r="13" spans="1:15" s="250" customFormat="1" x14ac:dyDescent="0.25">
      <c r="A13" s="1077">
        <v>30</v>
      </c>
      <c r="B13" s="402" t="s">
        <v>1686</v>
      </c>
      <c r="C13" s="564" t="s">
        <v>2193</v>
      </c>
      <c r="D13" s="276">
        <v>125</v>
      </c>
      <c r="E13" s="296">
        <v>8.0000000000000002E-3</v>
      </c>
      <c r="F13" s="296" t="s">
        <v>794</v>
      </c>
      <c r="G13" s="296"/>
      <c r="H13" s="401"/>
      <c r="I13" s="400"/>
      <c r="J13" s="399"/>
      <c r="K13" s="398"/>
      <c r="L13" s="319"/>
      <c r="M13" s="397">
        <v>1</v>
      </c>
      <c r="N13" s="276">
        <f>IF(E13="",D13*M13,D13*E13*M13)</f>
        <v>1</v>
      </c>
      <c r="O13" s="143"/>
    </row>
    <row r="14" spans="1:15" s="250" customFormat="1" x14ac:dyDescent="0.25">
      <c r="A14" s="1077">
        <v>40</v>
      </c>
      <c r="B14" s="402" t="s">
        <v>2192</v>
      </c>
      <c r="C14" s="564" t="s">
        <v>2191</v>
      </c>
      <c r="D14" s="276">
        <v>48.75</v>
      </c>
      <c r="E14" s="296">
        <v>7.8</v>
      </c>
      <c r="F14" s="296" t="s">
        <v>101</v>
      </c>
      <c r="G14" s="296">
        <v>5</v>
      </c>
      <c r="H14" s="401" t="s">
        <v>101</v>
      </c>
      <c r="I14" s="400"/>
      <c r="J14" s="399"/>
      <c r="K14" s="398"/>
      <c r="L14" s="319"/>
      <c r="M14" s="397">
        <v>1</v>
      </c>
      <c r="N14" s="276">
        <f t="shared" ref="N14:N20" si="0">D14*M14</f>
        <v>48.75</v>
      </c>
      <c r="O14" s="143"/>
    </row>
    <row r="15" spans="1:15" s="250" customFormat="1" x14ac:dyDescent="0.25">
      <c r="A15" s="1077">
        <v>50</v>
      </c>
      <c r="B15" s="402" t="s">
        <v>2190</v>
      </c>
      <c r="C15" s="564" t="s">
        <v>2189</v>
      </c>
      <c r="D15" s="276">
        <v>0.5</v>
      </c>
      <c r="E15" s="296"/>
      <c r="F15" s="296" t="s">
        <v>64</v>
      </c>
      <c r="G15" s="296"/>
      <c r="H15" s="401"/>
      <c r="I15" s="400"/>
      <c r="J15" s="399"/>
      <c r="K15" s="398"/>
      <c r="L15" s="319"/>
      <c r="M15" s="397">
        <v>5</v>
      </c>
      <c r="N15" s="276">
        <f t="shared" si="0"/>
        <v>2.5</v>
      </c>
      <c r="O15" s="143"/>
    </row>
    <row r="16" spans="1:15" s="250" customFormat="1" x14ac:dyDescent="0.25">
      <c r="A16" s="1077">
        <v>60</v>
      </c>
      <c r="B16" s="402" t="s">
        <v>2050</v>
      </c>
      <c r="C16" s="564" t="s">
        <v>2188</v>
      </c>
      <c r="D16" s="276">
        <v>3</v>
      </c>
      <c r="E16" s="296"/>
      <c r="F16" s="296" t="s">
        <v>64</v>
      </c>
      <c r="G16" s="296"/>
      <c r="H16" s="401"/>
      <c r="I16" s="400"/>
      <c r="J16" s="399"/>
      <c r="K16" s="398"/>
      <c r="L16" s="319"/>
      <c r="M16" s="397">
        <v>1</v>
      </c>
      <c r="N16" s="276">
        <f t="shared" si="0"/>
        <v>3</v>
      </c>
      <c r="O16" s="143"/>
    </row>
    <row r="17" spans="1:15" s="250" customFormat="1" x14ac:dyDescent="0.25">
      <c r="A17" s="1077">
        <v>70</v>
      </c>
      <c r="B17" s="402" t="s">
        <v>2187</v>
      </c>
      <c r="C17" s="564" t="s">
        <v>2186</v>
      </c>
      <c r="D17" s="276">
        <v>1</v>
      </c>
      <c r="E17" s="296"/>
      <c r="F17" s="296" t="s">
        <v>64</v>
      </c>
      <c r="G17" s="296"/>
      <c r="H17" s="401"/>
      <c r="I17" s="400"/>
      <c r="J17" s="399"/>
      <c r="K17" s="398"/>
      <c r="L17" s="319"/>
      <c r="M17" s="397">
        <v>1</v>
      </c>
      <c r="N17" s="276">
        <f t="shared" si="0"/>
        <v>1</v>
      </c>
      <c r="O17" s="143"/>
    </row>
    <row r="18" spans="1:15" s="250" customFormat="1" ht="30" x14ac:dyDescent="0.25">
      <c r="A18" s="1077">
        <v>80</v>
      </c>
      <c r="B18" s="402" t="s">
        <v>2185</v>
      </c>
      <c r="C18" s="564" t="s">
        <v>2184</v>
      </c>
      <c r="D18" s="276">
        <v>1</v>
      </c>
      <c r="E18" s="296"/>
      <c r="F18" s="296" t="s">
        <v>64</v>
      </c>
      <c r="G18" s="296"/>
      <c r="H18" s="401"/>
      <c r="I18" s="400"/>
      <c r="J18" s="399"/>
      <c r="K18" s="398"/>
      <c r="L18" s="319"/>
      <c r="M18" s="397">
        <v>5</v>
      </c>
      <c r="N18" s="276">
        <f t="shared" si="0"/>
        <v>5</v>
      </c>
      <c r="O18" s="143"/>
    </row>
    <row r="19" spans="1:15" s="250" customFormat="1" x14ac:dyDescent="0.25">
      <c r="A19" s="1077">
        <v>90</v>
      </c>
      <c r="B19" s="402" t="s">
        <v>1990</v>
      </c>
      <c r="C19" s="564" t="s">
        <v>2183</v>
      </c>
      <c r="D19" s="276">
        <v>1</v>
      </c>
      <c r="E19" s="296">
        <v>2.1</v>
      </c>
      <c r="F19" s="296" t="s">
        <v>345</v>
      </c>
      <c r="G19" s="296"/>
      <c r="H19" s="401"/>
      <c r="I19" s="400"/>
      <c r="J19" s="399"/>
      <c r="K19" s="398"/>
      <c r="L19" s="319"/>
      <c r="M19" s="397">
        <v>1</v>
      </c>
      <c r="N19" s="276">
        <f t="shared" si="0"/>
        <v>1</v>
      </c>
      <c r="O19" s="143"/>
    </row>
    <row r="20" spans="1:15" s="250" customFormat="1" ht="30" x14ac:dyDescent="0.25">
      <c r="A20" s="1077">
        <v>110</v>
      </c>
      <c r="B20" s="402" t="s">
        <v>1795</v>
      </c>
      <c r="C20" s="564" t="s">
        <v>1927</v>
      </c>
      <c r="D20" s="276">
        <v>0.5</v>
      </c>
      <c r="E20" s="296">
        <v>0.2</v>
      </c>
      <c r="F20" s="296" t="s">
        <v>345</v>
      </c>
      <c r="G20" s="296"/>
      <c r="H20" s="401"/>
      <c r="I20" s="400"/>
      <c r="J20" s="399"/>
      <c r="K20" s="398"/>
      <c r="L20" s="319"/>
      <c r="M20" s="397">
        <v>1</v>
      </c>
      <c r="N20" s="276">
        <f t="shared" si="0"/>
        <v>0.5</v>
      </c>
      <c r="O20" s="143"/>
    </row>
    <row r="21" spans="1:15" x14ac:dyDescent="0.25">
      <c r="A21" s="98"/>
      <c r="B21" s="95"/>
      <c r="C21" s="95"/>
      <c r="D21" s="95"/>
      <c r="E21" s="95"/>
      <c r="F21" s="95"/>
      <c r="G21" s="95"/>
      <c r="H21" s="95"/>
      <c r="I21" s="95"/>
      <c r="J21" s="95"/>
      <c r="K21" s="95"/>
      <c r="L21" s="95"/>
      <c r="M21" s="1215" t="s">
        <v>58</v>
      </c>
      <c r="N21" s="1211">
        <f>SUM(N11:N20)</f>
        <v>144.75</v>
      </c>
      <c r="O21" s="93"/>
    </row>
    <row r="22" spans="1:15" x14ac:dyDescent="0.25">
      <c r="A22" s="107"/>
      <c r="B22" s="94"/>
      <c r="C22" s="94"/>
      <c r="D22" s="94"/>
      <c r="E22" s="94"/>
      <c r="F22" s="94"/>
      <c r="G22" s="94"/>
      <c r="H22" s="94"/>
      <c r="I22" s="94"/>
      <c r="J22" s="94"/>
      <c r="K22" s="94"/>
      <c r="L22" s="94"/>
      <c r="M22" s="94"/>
      <c r="N22" s="94"/>
      <c r="O22" s="93"/>
    </row>
    <row r="23" spans="1:15" x14ac:dyDescent="0.25">
      <c r="A23" s="1214" t="s">
        <v>67</v>
      </c>
      <c r="B23" s="1213" t="s">
        <v>106</v>
      </c>
      <c r="C23" s="1213" t="s">
        <v>66</v>
      </c>
      <c r="D23" s="1213" t="s">
        <v>65</v>
      </c>
      <c r="E23" s="1213" t="s">
        <v>64</v>
      </c>
      <c r="F23" s="1213" t="s">
        <v>40</v>
      </c>
      <c r="G23" s="1213" t="s">
        <v>105</v>
      </c>
      <c r="H23" s="1213" t="s">
        <v>104</v>
      </c>
      <c r="I23" s="1213" t="s">
        <v>58</v>
      </c>
      <c r="J23" s="95"/>
      <c r="K23" s="95"/>
      <c r="L23" s="95"/>
      <c r="M23" s="95"/>
      <c r="N23" s="95"/>
      <c r="O23" s="93"/>
    </row>
    <row r="24" spans="1:15" s="245" customFormat="1" ht="30" x14ac:dyDescent="0.25">
      <c r="A24" s="1072">
        <v>10</v>
      </c>
      <c r="B24" s="564" t="s">
        <v>290</v>
      </c>
      <c r="C24" s="367" t="s">
        <v>2182</v>
      </c>
      <c r="D24" s="293">
        <v>0.06</v>
      </c>
      <c r="E24" s="564" t="s">
        <v>101</v>
      </c>
      <c r="F24" s="367">
        <v>381</v>
      </c>
      <c r="G24" s="367"/>
      <c r="H24" s="367"/>
      <c r="I24" s="293">
        <f t="shared" ref="I24:I37" si="1">IF(H24="",D24*F24,D24*F24*H24)</f>
        <v>22.86</v>
      </c>
      <c r="J24" s="142"/>
      <c r="K24" s="142"/>
      <c r="L24" s="142"/>
      <c r="M24" s="142"/>
      <c r="N24" s="142"/>
      <c r="O24" s="120"/>
    </row>
    <row r="25" spans="1:15" s="245" customFormat="1" x14ac:dyDescent="0.25">
      <c r="A25" s="1072">
        <v>20</v>
      </c>
      <c r="B25" s="564" t="s">
        <v>790</v>
      </c>
      <c r="C25" s="367" t="s">
        <v>2181</v>
      </c>
      <c r="D25" s="293">
        <v>35</v>
      </c>
      <c r="E25" s="564" t="s">
        <v>241</v>
      </c>
      <c r="F25" s="367">
        <v>3.5999999999999997E-2</v>
      </c>
      <c r="G25" s="367"/>
      <c r="H25" s="367"/>
      <c r="I25" s="293">
        <f t="shared" si="1"/>
        <v>1.26</v>
      </c>
      <c r="J25" s="142"/>
      <c r="K25" s="142"/>
      <c r="L25" s="142"/>
      <c r="M25" s="142"/>
      <c r="N25" s="142"/>
      <c r="O25" s="120"/>
    </row>
    <row r="26" spans="1:15" x14ac:dyDescent="0.25">
      <c r="A26" s="1072">
        <v>30</v>
      </c>
      <c r="B26" s="564" t="s">
        <v>788</v>
      </c>
      <c r="C26" s="331" t="s">
        <v>2180</v>
      </c>
      <c r="D26" s="276">
        <v>5</v>
      </c>
      <c r="E26" s="325" t="s">
        <v>241</v>
      </c>
      <c r="F26" s="367">
        <v>3.5999999999999997E-2</v>
      </c>
      <c r="G26" s="564"/>
      <c r="H26" s="299"/>
      <c r="I26" s="293">
        <f t="shared" si="1"/>
        <v>0.18</v>
      </c>
      <c r="J26" s="94"/>
      <c r="K26" s="94"/>
      <c r="L26" s="94"/>
      <c r="M26" s="94"/>
      <c r="N26" s="94"/>
      <c r="O26" s="93"/>
    </row>
    <row r="27" spans="1:15" x14ac:dyDescent="0.25">
      <c r="A27" s="1072">
        <v>40</v>
      </c>
      <c r="B27" s="564" t="s">
        <v>1680</v>
      </c>
      <c r="C27" s="331"/>
      <c r="D27" s="276">
        <v>10</v>
      </c>
      <c r="E27" s="325" t="s">
        <v>241</v>
      </c>
      <c r="F27" s="367">
        <v>3.5999999999999997E-2</v>
      </c>
      <c r="G27" s="564"/>
      <c r="H27" s="299"/>
      <c r="I27" s="293">
        <f t="shared" si="1"/>
        <v>0.36</v>
      </c>
      <c r="J27" s="94"/>
      <c r="K27" s="94"/>
      <c r="L27" s="94"/>
      <c r="M27" s="94"/>
      <c r="N27" s="94"/>
      <c r="O27" s="93"/>
    </row>
    <row r="28" spans="1:15" x14ac:dyDescent="0.25">
      <c r="A28" s="1072">
        <v>50</v>
      </c>
      <c r="B28" s="564" t="s">
        <v>785</v>
      </c>
      <c r="C28" s="331" t="s">
        <v>1517</v>
      </c>
      <c r="D28" s="276">
        <v>10</v>
      </c>
      <c r="E28" s="325" t="s">
        <v>241</v>
      </c>
      <c r="F28" s="367">
        <v>3.5999999999999997E-2</v>
      </c>
      <c r="G28" s="564"/>
      <c r="H28" s="299"/>
      <c r="I28" s="293">
        <f t="shared" si="1"/>
        <v>0.36</v>
      </c>
      <c r="J28" s="94"/>
      <c r="K28" s="94"/>
      <c r="L28" s="94"/>
      <c r="M28" s="94"/>
      <c r="N28" s="94"/>
      <c r="O28" s="93"/>
    </row>
    <row r="29" spans="1:15" x14ac:dyDescent="0.25">
      <c r="A29" s="1072">
        <v>60</v>
      </c>
      <c r="B29" s="564" t="s">
        <v>516</v>
      </c>
      <c r="C29" s="331" t="s">
        <v>2179</v>
      </c>
      <c r="D29" s="276">
        <v>1.3</v>
      </c>
      <c r="E29" s="325" t="s">
        <v>64</v>
      </c>
      <c r="F29" s="367">
        <v>1</v>
      </c>
      <c r="G29" s="564"/>
      <c r="H29" s="299"/>
      <c r="I29" s="293">
        <f t="shared" si="1"/>
        <v>1.3</v>
      </c>
      <c r="J29" s="94"/>
      <c r="K29" s="94"/>
      <c r="L29" s="94"/>
      <c r="M29" s="94"/>
      <c r="N29" s="94"/>
      <c r="O29" s="93"/>
    </row>
    <row r="30" spans="1:15" ht="30" x14ac:dyDescent="0.25">
      <c r="A30" s="1072">
        <v>70</v>
      </c>
      <c r="B30" s="564" t="s">
        <v>1516</v>
      </c>
      <c r="C30" s="331" t="s">
        <v>2178</v>
      </c>
      <c r="D30" s="276">
        <v>0.01</v>
      </c>
      <c r="E30" s="325" t="s">
        <v>101</v>
      </c>
      <c r="F30" s="367">
        <v>187</v>
      </c>
      <c r="G30" s="564"/>
      <c r="H30" s="299"/>
      <c r="I30" s="293">
        <f t="shared" si="1"/>
        <v>1.87</v>
      </c>
      <c r="J30" s="94"/>
      <c r="K30" s="94"/>
      <c r="L30" s="94"/>
      <c r="M30" s="94"/>
      <c r="N30" s="94"/>
      <c r="O30" s="93"/>
    </row>
    <row r="31" spans="1:15" x14ac:dyDescent="0.25">
      <c r="A31" s="1072">
        <v>80</v>
      </c>
      <c r="B31" s="564" t="s">
        <v>2177</v>
      </c>
      <c r="C31" s="331" t="s">
        <v>2176</v>
      </c>
      <c r="D31" s="276">
        <v>0.35</v>
      </c>
      <c r="E31" s="325" t="s">
        <v>294</v>
      </c>
      <c r="F31" s="367">
        <v>4</v>
      </c>
      <c r="G31" s="564"/>
      <c r="H31" s="299"/>
      <c r="I31" s="293">
        <f t="shared" si="1"/>
        <v>1.4</v>
      </c>
      <c r="J31" s="94"/>
      <c r="K31" s="94"/>
      <c r="L31" s="94"/>
      <c r="M31" s="94"/>
      <c r="N31" s="94"/>
      <c r="O31" s="93"/>
    </row>
    <row r="32" spans="1:15" x14ac:dyDescent="0.25">
      <c r="A32" s="1072">
        <v>90</v>
      </c>
      <c r="B32" s="564" t="s">
        <v>1924</v>
      </c>
      <c r="C32" s="331" t="s">
        <v>2175</v>
      </c>
      <c r="D32" s="276">
        <v>0.08</v>
      </c>
      <c r="E32" s="325" t="s">
        <v>64</v>
      </c>
      <c r="F32" s="367">
        <v>40</v>
      </c>
      <c r="G32" s="564"/>
      <c r="H32" s="299"/>
      <c r="I32" s="293">
        <f t="shared" si="1"/>
        <v>3.2</v>
      </c>
      <c r="J32" s="94"/>
      <c r="K32" s="94"/>
      <c r="L32" s="94"/>
      <c r="M32" s="94"/>
      <c r="N32" s="94"/>
      <c r="O32" s="93"/>
    </row>
    <row r="33" spans="1:15" x14ac:dyDescent="0.25">
      <c r="A33" s="1072">
        <v>100</v>
      </c>
      <c r="B33" s="564" t="s">
        <v>1922</v>
      </c>
      <c r="C33" s="331" t="s">
        <v>2175</v>
      </c>
      <c r="D33" s="276">
        <v>0.08</v>
      </c>
      <c r="E33" s="325" t="s">
        <v>64</v>
      </c>
      <c r="F33" s="367">
        <v>40</v>
      </c>
      <c r="G33" s="564"/>
      <c r="H33" s="299"/>
      <c r="I33" s="293">
        <f t="shared" si="1"/>
        <v>3.2</v>
      </c>
      <c r="J33" s="94"/>
      <c r="K33" s="94"/>
      <c r="L33" s="94"/>
      <c r="M33" s="94"/>
      <c r="N33" s="94"/>
      <c r="O33" s="93"/>
    </row>
    <row r="34" spans="1:15" x14ac:dyDescent="0.25">
      <c r="A34" s="1072">
        <v>110</v>
      </c>
      <c r="B34" s="564" t="s">
        <v>1920</v>
      </c>
      <c r="C34" s="331" t="s">
        <v>2175</v>
      </c>
      <c r="D34" s="276">
        <v>0.17</v>
      </c>
      <c r="E34" s="325" t="s">
        <v>64</v>
      </c>
      <c r="F34" s="367">
        <v>30</v>
      </c>
      <c r="G34" s="564"/>
      <c r="H34" s="299"/>
      <c r="I34" s="293">
        <f t="shared" si="1"/>
        <v>5.1000000000000005</v>
      </c>
      <c r="J34" s="94"/>
      <c r="K34" s="94"/>
      <c r="L34" s="94"/>
      <c r="M34" s="94"/>
      <c r="N34" s="94"/>
      <c r="O34" s="93"/>
    </row>
    <row r="35" spans="1:15" x14ac:dyDescent="0.25">
      <c r="A35" s="1072">
        <v>120</v>
      </c>
      <c r="B35" s="564" t="s">
        <v>1913</v>
      </c>
      <c r="C35" s="331" t="s">
        <v>2174</v>
      </c>
      <c r="D35" s="276">
        <v>0.52</v>
      </c>
      <c r="E35" s="325" t="s">
        <v>64</v>
      </c>
      <c r="F35" s="367">
        <v>10</v>
      </c>
      <c r="G35" s="564"/>
      <c r="H35" s="299"/>
      <c r="I35" s="293">
        <f t="shared" si="1"/>
        <v>5.2</v>
      </c>
      <c r="J35" s="94"/>
      <c r="K35" s="94"/>
      <c r="L35" s="94"/>
      <c r="M35" s="94"/>
      <c r="N35" s="94"/>
      <c r="O35" s="93"/>
    </row>
    <row r="36" spans="1:15" x14ac:dyDescent="0.25">
      <c r="A36" s="1072">
        <v>130</v>
      </c>
      <c r="B36" s="564" t="s">
        <v>1767</v>
      </c>
      <c r="C36" s="601" t="s">
        <v>1909</v>
      </c>
      <c r="D36" s="276">
        <v>0.15</v>
      </c>
      <c r="E36" s="325" t="s">
        <v>101</v>
      </c>
      <c r="F36" s="367">
        <v>20</v>
      </c>
      <c r="G36" s="564"/>
      <c r="H36" s="299"/>
      <c r="I36" s="293">
        <f t="shared" si="1"/>
        <v>3</v>
      </c>
      <c r="J36" s="94"/>
      <c r="K36" s="94"/>
      <c r="L36" s="94"/>
      <c r="M36" s="94"/>
      <c r="N36" s="94"/>
      <c r="O36" s="93"/>
    </row>
    <row r="37" spans="1:15" ht="30" x14ac:dyDescent="0.25">
      <c r="A37" s="1072">
        <v>140</v>
      </c>
      <c r="B37" s="564" t="s">
        <v>498</v>
      </c>
      <c r="C37" s="331" t="s">
        <v>2173</v>
      </c>
      <c r="D37" s="276">
        <v>0.13</v>
      </c>
      <c r="E37" s="325" t="s">
        <v>64</v>
      </c>
      <c r="F37" s="367">
        <v>13</v>
      </c>
      <c r="G37" s="564"/>
      <c r="H37" s="299"/>
      <c r="I37" s="293">
        <f t="shared" si="1"/>
        <v>1.69</v>
      </c>
      <c r="J37" s="94"/>
      <c r="K37" s="94"/>
      <c r="L37" s="94"/>
      <c r="M37" s="94"/>
      <c r="N37" s="94"/>
      <c r="O37" s="93"/>
    </row>
    <row r="38" spans="1:15" x14ac:dyDescent="0.25">
      <c r="A38" s="98"/>
      <c r="B38" s="95"/>
      <c r="C38" s="95"/>
      <c r="D38" s="95"/>
      <c r="E38" s="95"/>
      <c r="F38" s="95"/>
      <c r="G38" s="95"/>
      <c r="H38" s="1212" t="s">
        <v>58</v>
      </c>
      <c r="I38" s="1211">
        <f>SUM(I25:I37)</f>
        <v>28.12</v>
      </c>
      <c r="J38" s="95"/>
      <c r="K38" s="95"/>
      <c r="L38" s="95"/>
      <c r="M38" s="95"/>
      <c r="N38" s="95"/>
      <c r="O38" s="93"/>
    </row>
    <row r="39" spans="1:15" x14ac:dyDescent="0.25">
      <c r="A39" s="360"/>
      <c r="B39" s="99"/>
      <c r="C39" s="99"/>
      <c r="D39" s="99"/>
      <c r="E39" s="99"/>
      <c r="F39" s="99"/>
      <c r="G39" s="99"/>
      <c r="H39" s="359"/>
      <c r="I39" s="358"/>
      <c r="J39" s="99"/>
      <c r="K39" s="94"/>
      <c r="L39" s="94"/>
      <c r="M39" s="94"/>
      <c r="N39" s="94"/>
      <c r="O39" s="93"/>
    </row>
    <row r="40" spans="1:15" x14ac:dyDescent="0.25">
      <c r="A40" s="1214" t="s">
        <v>67</v>
      </c>
      <c r="B40" s="1213" t="s">
        <v>13</v>
      </c>
      <c r="C40" s="1213" t="s">
        <v>66</v>
      </c>
      <c r="D40" s="1213" t="s">
        <v>65</v>
      </c>
      <c r="E40" s="1213" t="s">
        <v>64</v>
      </c>
      <c r="F40" s="1213" t="s">
        <v>40</v>
      </c>
      <c r="G40" s="1213" t="s">
        <v>63</v>
      </c>
      <c r="H40" s="1213" t="s">
        <v>741</v>
      </c>
      <c r="I40" s="1213" t="s">
        <v>58</v>
      </c>
      <c r="J40" s="95"/>
      <c r="K40" s="94"/>
      <c r="L40" s="94"/>
      <c r="M40" s="94"/>
      <c r="N40" s="94"/>
      <c r="O40" s="93"/>
    </row>
    <row r="41" spans="1:15" s="254" customFormat="1" x14ac:dyDescent="0.25">
      <c r="A41" s="1071">
        <v>10</v>
      </c>
      <c r="B41" s="325" t="s">
        <v>783</v>
      </c>
      <c r="C41" s="325" t="s">
        <v>1512</v>
      </c>
      <c r="D41" s="276">
        <v>1500</v>
      </c>
      <c r="E41" s="325" t="s">
        <v>241</v>
      </c>
      <c r="F41" s="325">
        <v>3.5999999999999997E-2</v>
      </c>
      <c r="G41" s="325">
        <v>3000</v>
      </c>
      <c r="H41" s="325">
        <v>1</v>
      </c>
      <c r="I41" s="276">
        <f>D41*F41/G41*H41</f>
        <v>1.7999999999999999E-2</v>
      </c>
      <c r="J41" s="99"/>
      <c r="K41" s="99"/>
      <c r="L41" s="99"/>
      <c r="M41" s="99"/>
      <c r="N41" s="99"/>
      <c r="O41" s="130"/>
    </row>
    <row r="42" spans="1:15" x14ac:dyDescent="0.25">
      <c r="A42" s="98"/>
      <c r="B42" s="95"/>
      <c r="C42" s="95"/>
      <c r="D42" s="95"/>
      <c r="E42" s="95"/>
      <c r="F42" s="95"/>
      <c r="G42" s="95"/>
      <c r="H42" s="1212" t="s">
        <v>58</v>
      </c>
      <c r="I42" s="1211">
        <f>SUM(I41:I41)</f>
        <v>1.7999999999999999E-2</v>
      </c>
      <c r="J42" s="95"/>
      <c r="K42" s="94"/>
      <c r="L42" s="94"/>
      <c r="M42" s="94"/>
      <c r="N42" s="94"/>
      <c r="O42" s="93"/>
    </row>
    <row r="43" spans="1:15" ht="15.75" thickBot="1" x14ac:dyDescent="0.3">
      <c r="A43" s="92"/>
      <c r="B43" s="91"/>
      <c r="C43" s="91"/>
      <c r="D43" s="91"/>
      <c r="E43" s="91"/>
      <c r="F43" s="91"/>
      <c r="G43" s="91"/>
      <c r="H43" s="91"/>
      <c r="I43" s="91"/>
      <c r="J43" s="91"/>
      <c r="K43" s="91"/>
      <c r="L43" s="91"/>
      <c r="M43" s="91"/>
      <c r="N43" s="91"/>
      <c r="O43" s="90"/>
    </row>
    <row r="44" spans="1:15" ht="15.75" thickBot="1" x14ac:dyDescent="0.3"/>
    <row r="45" spans="1:15" x14ac:dyDescent="0.25">
      <c r="A45" s="141"/>
      <c r="B45" s="140"/>
      <c r="C45" s="140"/>
      <c r="D45" s="140"/>
      <c r="E45" s="140"/>
      <c r="F45" s="140"/>
      <c r="G45" s="140"/>
      <c r="H45" s="140"/>
      <c r="I45" s="140"/>
      <c r="J45" s="140"/>
      <c r="K45" s="140"/>
      <c r="L45" s="140"/>
      <c r="M45" s="140"/>
      <c r="N45" s="140"/>
      <c r="O45" s="139"/>
    </row>
    <row r="46" spans="1:15" x14ac:dyDescent="0.25">
      <c r="A46" s="1219" t="s">
        <v>57</v>
      </c>
      <c r="B46" s="133" t="s">
        <v>523</v>
      </c>
      <c r="C46" s="94"/>
      <c r="D46" s="94"/>
      <c r="E46" s="94"/>
      <c r="F46" s="94"/>
      <c r="G46" s="94"/>
      <c r="H46" s="94"/>
      <c r="I46" s="94"/>
      <c r="J46" s="1221" t="s">
        <v>51</v>
      </c>
      <c r="K46" s="138">
        <v>81</v>
      </c>
      <c r="L46" s="94"/>
      <c r="M46" s="1219" t="s">
        <v>113</v>
      </c>
      <c r="N46" s="100">
        <f>EL_01002_m+EL_01002_p</f>
        <v>6.2420643899999995</v>
      </c>
      <c r="O46" s="93"/>
    </row>
    <row r="47" spans="1:15" x14ac:dyDescent="0.25">
      <c r="A47" s="1219" t="s">
        <v>125</v>
      </c>
      <c r="B47" s="133" t="s">
        <v>1975</v>
      </c>
      <c r="C47" s="94"/>
      <c r="D47" s="1219" t="s">
        <v>122</v>
      </c>
      <c r="E47" s="547" t="s">
        <v>522</v>
      </c>
      <c r="F47" s="94"/>
      <c r="G47" s="94"/>
      <c r="H47" s="94"/>
      <c r="I47" s="94"/>
      <c r="J47" s="94"/>
      <c r="K47" s="94"/>
      <c r="L47" s="94"/>
      <c r="M47" s="1219" t="s">
        <v>124</v>
      </c>
      <c r="N47" s="136">
        <v>1</v>
      </c>
      <c r="O47" s="93"/>
    </row>
    <row r="48" spans="1:15" x14ac:dyDescent="0.25">
      <c r="A48" s="1219" t="s">
        <v>123</v>
      </c>
      <c r="B48" s="270" t="str">
        <f>'EL Assemblies'!$B$4</f>
        <v>Monitoring System</v>
      </c>
      <c r="C48" s="94"/>
      <c r="D48" s="1219" t="s">
        <v>119</v>
      </c>
      <c r="E48" s="270"/>
      <c r="F48" s="94"/>
      <c r="G48" s="94"/>
      <c r="H48" s="94"/>
      <c r="I48" s="94"/>
      <c r="J48" s="1220" t="s">
        <v>122</v>
      </c>
      <c r="K48" s="94"/>
      <c r="L48" s="94"/>
      <c r="M48" s="94"/>
      <c r="N48" s="94"/>
      <c r="O48" s="93"/>
    </row>
    <row r="49" spans="1:15" x14ac:dyDescent="0.25">
      <c r="A49" s="1219" t="s">
        <v>114</v>
      </c>
      <c r="B49" s="135" t="str">
        <f>'EL Assemblies'!B11</f>
        <v>Welded Tabs</v>
      </c>
      <c r="C49" s="94"/>
      <c r="D49" s="1219" t="s">
        <v>116</v>
      </c>
      <c r="E49" s="94"/>
      <c r="F49" s="94"/>
      <c r="G49" s="94"/>
      <c r="H49" s="94"/>
      <c r="I49" s="94"/>
      <c r="J49" s="1220" t="s">
        <v>119</v>
      </c>
      <c r="K49" s="94"/>
      <c r="L49" s="94"/>
      <c r="M49" s="1219" t="s">
        <v>118</v>
      </c>
      <c r="N49" s="100">
        <f>N47*N46</f>
        <v>6.2420643899999995</v>
      </c>
      <c r="O49" s="93"/>
    </row>
    <row r="50" spans="1:15" x14ac:dyDescent="0.25">
      <c r="A50" s="1219" t="s">
        <v>121</v>
      </c>
      <c r="B50" s="269" t="s">
        <v>2172</v>
      </c>
      <c r="C50" s="94"/>
      <c r="D50" s="94"/>
      <c r="E50" s="94"/>
      <c r="F50" s="94"/>
      <c r="G50" s="94"/>
      <c r="H50" s="94"/>
      <c r="I50" s="94"/>
      <c r="J50" s="1220" t="s">
        <v>116</v>
      </c>
      <c r="K50" s="94"/>
      <c r="L50" s="94"/>
      <c r="M50" s="94"/>
      <c r="N50" s="94"/>
      <c r="O50" s="93"/>
    </row>
    <row r="51" spans="1:15" x14ac:dyDescent="0.25">
      <c r="A51" s="1219" t="s">
        <v>117</v>
      </c>
      <c r="B51" s="133" t="s">
        <v>23</v>
      </c>
      <c r="C51" s="94"/>
      <c r="D51" s="94"/>
      <c r="E51" s="94"/>
      <c r="F51" s="94"/>
      <c r="G51" s="94"/>
      <c r="H51" s="94"/>
      <c r="I51" s="94"/>
      <c r="J51" s="94"/>
      <c r="K51" s="94"/>
      <c r="L51" s="94"/>
      <c r="M51" s="94"/>
      <c r="N51" s="94"/>
      <c r="O51" s="93"/>
    </row>
    <row r="52" spans="1:15" x14ac:dyDescent="0.25">
      <c r="A52" s="1219" t="s">
        <v>115</v>
      </c>
      <c r="B52" s="133" t="s">
        <v>2171</v>
      </c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  <c r="O52" s="93"/>
    </row>
    <row r="53" spans="1:15" x14ac:dyDescent="0.25">
      <c r="A53" s="266"/>
      <c r="B53" s="265"/>
      <c r="C53" s="265"/>
      <c r="D53" s="265"/>
      <c r="E53" s="265"/>
      <c r="F53" s="94"/>
      <c r="G53" s="94"/>
      <c r="H53" s="94"/>
      <c r="I53" s="94"/>
      <c r="J53" s="94"/>
      <c r="K53" s="94"/>
      <c r="L53" s="94"/>
      <c r="M53" s="94"/>
      <c r="N53" s="94"/>
      <c r="O53" s="93"/>
    </row>
    <row r="54" spans="1:15" x14ac:dyDescent="0.25">
      <c r="A54" s="1218" t="s">
        <v>67</v>
      </c>
      <c r="B54" s="1217" t="s">
        <v>112</v>
      </c>
      <c r="C54" s="1217" t="s">
        <v>66</v>
      </c>
      <c r="D54" s="1217" t="s">
        <v>65</v>
      </c>
      <c r="E54" s="1217" t="s">
        <v>81</v>
      </c>
      <c r="F54" s="1213" t="s">
        <v>80</v>
      </c>
      <c r="G54" s="1213" t="s">
        <v>79</v>
      </c>
      <c r="H54" s="1213" t="s">
        <v>78</v>
      </c>
      <c r="I54" s="1213" t="s">
        <v>111</v>
      </c>
      <c r="J54" s="1213" t="s">
        <v>110</v>
      </c>
      <c r="K54" s="1213" t="s">
        <v>109</v>
      </c>
      <c r="L54" s="1213" t="s">
        <v>108</v>
      </c>
      <c r="M54" s="1213" t="s">
        <v>40</v>
      </c>
      <c r="N54" s="1213" t="s">
        <v>58</v>
      </c>
      <c r="O54" s="93"/>
    </row>
    <row r="55" spans="1:15" ht="30" x14ac:dyDescent="0.25">
      <c r="A55" s="1077">
        <v>10</v>
      </c>
      <c r="B55" s="402" t="s">
        <v>519</v>
      </c>
      <c r="C55" s="296" t="s">
        <v>2167</v>
      </c>
      <c r="D55" s="276">
        <v>2.25</v>
      </c>
      <c r="E55" s="296">
        <v>15</v>
      </c>
      <c r="F55" s="296" t="s">
        <v>68</v>
      </c>
      <c r="G55" s="296">
        <v>2</v>
      </c>
      <c r="H55" s="401" t="s">
        <v>68</v>
      </c>
      <c r="I55" s="700" t="s">
        <v>2121</v>
      </c>
      <c r="J55" s="1156">
        <f t="shared" ref="J55:J61" si="2">E55*G55*10^(-6)</f>
        <v>2.9999999999999997E-5</v>
      </c>
      <c r="K55" s="398">
        <v>0.03</v>
      </c>
      <c r="L55" s="319">
        <v>7860</v>
      </c>
      <c r="M55" s="397">
        <v>1</v>
      </c>
      <c r="N55" s="276">
        <f t="shared" ref="N55:N61" si="3">J55*K55*L55*M55*D55</f>
        <v>1.5916499999999997E-2</v>
      </c>
      <c r="O55" s="143"/>
    </row>
    <row r="56" spans="1:15" ht="30" x14ac:dyDescent="0.25">
      <c r="A56" s="1077">
        <v>20</v>
      </c>
      <c r="B56" s="402" t="s">
        <v>519</v>
      </c>
      <c r="C56" s="296" t="s">
        <v>2166</v>
      </c>
      <c r="D56" s="276">
        <v>2.25</v>
      </c>
      <c r="E56" s="296">
        <v>15</v>
      </c>
      <c r="F56" s="296" t="s">
        <v>68</v>
      </c>
      <c r="G56" s="296">
        <v>2</v>
      </c>
      <c r="H56" s="401" t="s">
        <v>68</v>
      </c>
      <c r="I56" s="700" t="s">
        <v>2121</v>
      </c>
      <c r="J56" s="1156">
        <f t="shared" si="2"/>
        <v>2.9999999999999997E-5</v>
      </c>
      <c r="K56" s="398">
        <v>2.1000000000000001E-2</v>
      </c>
      <c r="L56" s="319">
        <v>7860</v>
      </c>
      <c r="M56" s="397">
        <v>2</v>
      </c>
      <c r="N56" s="276">
        <f t="shared" si="3"/>
        <v>2.22831E-2</v>
      </c>
      <c r="O56" s="143"/>
    </row>
    <row r="57" spans="1:15" ht="30" x14ac:dyDescent="0.25">
      <c r="A57" s="1077">
        <v>30</v>
      </c>
      <c r="B57" s="402" t="s">
        <v>519</v>
      </c>
      <c r="C57" s="296" t="s">
        <v>2162</v>
      </c>
      <c r="D57" s="276">
        <v>2.25</v>
      </c>
      <c r="E57" s="296">
        <v>15</v>
      </c>
      <c r="F57" s="296" t="s">
        <v>68</v>
      </c>
      <c r="G57" s="296">
        <v>2</v>
      </c>
      <c r="H57" s="401" t="s">
        <v>68</v>
      </c>
      <c r="I57" s="700" t="s">
        <v>2121</v>
      </c>
      <c r="J57" s="1156">
        <f>E57*G57*10^(-6)</f>
        <v>2.9999999999999997E-5</v>
      </c>
      <c r="K57" s="398">
        <v>0.02</v>
      </c>
      <c r="L57" s="319">
        <v>7860</v>
      </c>
      <c r="M57" s="397">
        <v>4</v>
      </c>
      <c r="N57" s="276">
        <f>J57*K57*L57*M57*D57</f>
        <v>4.2443999999999996E-2</v>
      </c>
      <c r="O57" s="143"/>
    </row>
    <row r="58" spans="1:15" ht="30" x14ac:dyDescent="0.25">
      <c r="A58" s="1077">
        <v>40</v>
      </c>
      <c r="B58" s="402" t="s">
        <v>519</v>
      </c>
      <c r="C58" s="296" t="s">
        <v>2168</v>
      </c>
      <c r="D58" s="276">
        <v>2.25</v>
      </c>
      <c r="E58" s="296">
        <v>8</v>
      </c>
      <c r="F58" s="296" t="s">
        <v>68</v>
      </c>
      <c r="G58" s="296">
        <v>1.5</v>
      </c>
      <c r="H58" s="401" t="s">
        <v>68</v>
      </c>
      <c r="I58" s="700" t="s">
        <v>2170</v>
      </c>
      <c r="J58" s="1156">
        <f>E58*G58*10^(-6)</f>
        <v>1.2E-5</v>
      </c>
      <c r="K58" s="398">
        <v>5.6000000000000001E-2</v>
      </c>
      <c r="L58" s="319">
        <v>7860</v>
      </c>
      <c r="M58" s="397">
        <v>2</v>
      </c>
      <c r="N58" s="276">
        <f>J58*K58*L58*M58*D58</f>
        <v>2.3768640000000001E-2</v>
      </c>
      <c r="O58" s="143"/>
    </row>
    <row r="59" spans="1:15" ht="30" x14ac:dyDescent="0.25">
      <c r="A59" s="1077">
        <v>50</v>
      </c>
      <c r="B59" s="402" t="s">
        <v>519</v>
      </c>
      <c r="C59" s="296" t="s">
        <v>2165</v>
      </c>
      <c r="D59" s="276">
        <v>2.25</v>
      </c>
      <c r="E59" s="296">
        <v>15</v>
      </c>
      <c r="F59" s="296" t="s">
        <v>68</v>
      </c>
      <c r="G59" s="296">
        <v>1.5</v>
      </c>
      <c r="H59" s="401" t="s">
        <v>68</v>
      </c>
      <c r="I59" s="700" t="s">
        <v>2169</v>
      </c>
      <c r="J59" s="1156">
        <f t="shared" si="2"/>
        <v>2.2499999999999998E-5</v>
      </c>
      <c r="K59" s="398">
        <v>2.5000000000000001E-2</v>
      </c>
      <c r="L59" s="319">
        <v>7860</v>
      </c>
      <c r="M59" s="397">
        <v>2</v>
      </c>
      <c r="N59" s="276">
        <f t="shared" si="3"/>
        <v>1.9895625E-2</v>
      </c>
      <c r="O59" s="143"/>
    </row>
    <row r="60" spans="1:15" ht="30" x14ac:dyDescent="0.25">
      <c r="A60" s="1077">
        <v>60</v>
      </c>
      <c r="B60" s="402" t="s">
        <v>519</v>
      </c>
      <c r="C60" s="296" t="s">
        <v>2164</v>
      </c>
      <c r="D60" s="276">
        <v>2.25</v>
      </c>
      <c r="E60" s="296">
        <v>15</v>
      </c>
      <c r="F60" s="296" t="s">
        <v>68</v>
      </c>
      <c r="G60" s="296">
        <v>1.5</v>
      </c>
      <c r="H60" s="401" t="s">
        <v>68</v>
      </c>
      <c r="I60" s="700" t="s">
        <v>2169</v>
      </c>
      <c r="J60" s="1156">
        <f t="shared" si="2"/>
        <v>2.2499999999999998E-5</v>
      </c>
      <c r="K60" s="398">
        <v>1.7999999999999999E-2</v>
      </c>
      <c r="L60" s="319">
        <v>7860</v>
      </c>
      <c r="M60" s="397">
        <v>1</v>
      </c>
      <c r="N60" s="276">
        <f t="shared" si="3"/>
        <v>7.1624249999999992E-3</v>
      </c>
      <c r="O60" s="143"/>
    </row>
    <row r="61" spans="1:15" ht="30" x14ac:dyDescent="0.25">
      <c r="A61" s="1077">
        <v>70</v>
      </c>
      <c r="B61" s="402" t="s">
        <v>519</v>
      </c>
      <c r="C61" s="296" t="s">
        <v>2163</v>
      </c>
      <c r="D61" s="276">
        <v>2.25</v>
      </c>
      <c r="E61" s="296">
        <v>15</v>
      </c>
      <c r="F61" s="296" t="s">
        <v>68</v>
      </c>
      <c r="G61" s="296">
        <v>1.5</v>
      </c>
      <c r="H61" s="401" t="s">
        <v>68</v>
      </c>
      <c r="I61" s="700" t="s">
        <v>2169</v>
      </c>
      <c r="J61" s="1156">
        <f t="shared" si="2"/>
        <v>2.2499999999999998E-5</v>
      </c>
      <c r="K61" s="398">
        <v>0.02</v>
      </c>
      <c r="L61" s="319">
        <v>7860</v>
      </c>
      <c r="M61" s="397">
        <v>2</v>
      </c>
      <c r="N61" s="276">
        <f t="shared" si="3"/>
        <v>1.59165E-2</v>
      </c>
      <c r="O61" s="143"/>
    </row>
    <row r="62" spans="1:15" x14ac:dyDescent="0.25">
      <c r="A62" s="1077">
        <v>80</v>
      </c>
      <c r="B62" s="402" t="s">
        <v>250</v>
      </c>
      <c r="C62" s="296" t="s">
        <v>2161</v>
      </c>
      <c r="D62" s="276">
        <v>10</v>
      </c>
      <c r="E62" s="296">
        <v>7.7600000000000004E-3</v>
      </c>
      <c r="F62" s="296" t="s">
        <v>241</v>
      </c>
      <c r="G62" s="296"/>
      <c r="H62" s="401"/>
      <c r="I62" s="400"/>
      <c r="J62" s="399"/>
      <c r="K62" s="398"/>
      <c r="L62" s="319"/>
      <c r="M62" s="397">
        <v>1</v>
      </c>
      <c r="N62" s="276">
        <f>D62*E62*M62</f>
        <v>7.7600000000000002E-2</v>
      </c>
      <c r="O62" s="143"/>
    </row>
    <row r="63" spans="1:15" x14ac:dyDescent="0.25">
      <c r="A63" s="98"/>
      <c r="B63" s="95"/>
      <c r="C63" s="95"/>
      <c r="D63" s="95"/>
      <c r="E63" s="95"/>
      <c r="F63" s="95"/>
      <c r="G63" s="95"/>
      <c r="H63" s="95"/>
      <c r="I63" s="95"/>
      <c r="J63" s="95"/>
      <c r="K63" s="95"/>
      <c r="L63" s="95"/>
      <c r="M63" s="1215" t="s">
        <v>58</v>
      </c>
      <c r="N63" s="1211">
        <f>SUM(N55:N62)</f>
        <v>0.22498678999999999</v>
      </c>
      <c r="O63" s="93"/>
    </row>
    <row r="64" spans="1:15" x14ac:dyDescent="0.25">
      <c r="A64" s="107"/>
      <c r="B64" s="94"/>
      <c r="C64" s="94"/>
      <c r="D64" s="94"/>
      <c r="E64" s="94"/>
      <c r="F64" s="94"/>
      <c r="G64" s="94"/>
      <c r="H64" s="94"/>
      <c r="I64" s="94"/>
      <c r="J64" s="94"/>
      <c r="K64" s="94"/>
      <c r="L64" s="94"/>
      <c r="M64" s="94"/>
      <c r="N64" s="94"/>
      <c r="O64" s="93"/>
    </row>
    <row r="65" spans="1:15" x14ac:dyDescent="0.25">
      <c r="A65" s="1214" t="s">
        <v>67</v>
      </c>
      <c r="B65" s="1213" t="s">
        <v>106</v>
      </c>
      <c r="C65" s="1213" t="s">
        <v>66</v>
      </c>
      <c r="D65" s="1213" t="s">
        <v>65</v>
      </c>
      <c r="E65" s="1213" t="s">
        <v>64</v>
      </c>
      <c r="F65" s="1213" t="s">
        <v>40</v>
      </c>
      <c r="G65" s="1213" t="s">
        <v>105</v>
      </c>
      <c r="H65" s="1213" t="s">
        <v>104</v>
      </c>
      <c r="I65" s="1213" t="s">
        <v>58</v>
      </c>
      <c r="J65" s="95"/>
      <c r="K65" s="95"/>
      <c r="L65" s="95"/>
      <c r="M65" s="95"/>
      <c r="N65" s="95"/>
      <c r="O65" s="93"/>
    </row>
    <row r="66" spans="1:15" s="250" customFormat="1" ht="30" customHeight="1" x14ac:dyDescent="0.25">
      <c r="A66" s="1072">
        <v>10</v>
      </c>
      <c r="B66" s="564" t="s">
        <v>2707</v>
      </c>
      <c r="C66" s="367" t="s">
        <v>2706</v>
      </c>
      <c r="D66" s="293">
        <v>1.3</v>
      </c>
      <c r="E66" s="564" t="s">
        <v>64</v>
      </c>
      <c r="F66" s="367">
        <v>1</v>
      </c>
      <c r="G66" s="367"/>
      <c r="H66" s="367"/>
      <c r="I66" s="293">
        <f t="shared" ref="I66:I75" si="4">IF(H66="",D66*F66,D66*F66*H66)</f>
        <v>1.3</v>
      </c>
      <c r="J66" s="142"/>
      <c r="K66" s="142"/>
      <c r="L66" s="142"/>
      <c r="M66" s="142"/>
      <c r="N66" s="142"/>
      <c r="O66" s="120"/>
    </row>
    <row r="67" spans="1:15" s="250" customFormat="1" x14ac:dyDescent="0.25">
      <c r="A67" s="1072">
        <v>20</v>
      </c>
      <c r="B67" s="564" t="s">
        <v>541</v>
      </c>
      <c r="C67" s="296" t="s">
        <v>2167</v>
      </c>
      <c r="D67" s="276">
        <v>0.01</v>
      </c>
      <c r="E67" s="296" t="s">
        <v>101</v>
      </c>
      <c r="F67" s="355">
        <v>10.199999999999999</v>
      </c>
      <c r="G67" s="564" t="s">
        <v>724</v>
      </c>
      <c r="H67" s="355">
        <v>3</v>
      </c>
      <c r="I67" s="276">
        <f>IF(H67="",D67*F67,D67*F67*H67)</f>
        <v>0.30599999999999999</v>
      </c>
      <c r="J67" s="1160"/>
      <c r="K67" s="1160"/>
      <c r="L67" s="1160"/>
      <c r="M67" s="1160"/>
      <c r="N67" s="1160"/>
      <c r="O67" s="1224"/>
    </row>
    <row r="68" spans="1:15" s="250" customFormat="1" x14ac:dyDescent="0.25">
      <c r="A68" s="1072">
        <v>30</v>
      </c>
      <c r="B68" s="564" t="s">
        <v>541</v>
      </c>
      <c r="C68" s="296" t="s">
        <v>2166</v>
      </c>
      <c r="D68" s="276">
        <v>0.01</v>
      </c>
      <c r="E68" s="296" t="s">
        <v>101</v>
      </c>
      <c r="F68" s="355">
        <v>16.600000000000001</v>
      </c>
      <c r="G68" s="564" t="s">
        <v>724</v>
      </c>
      <c r="H68" s="355">
        <v>3</v>
      </c>
      <c r="I68" s="276">
        <f>IF(H68="",D68*F68,D68*F68*H68)</f>
        <v>0.498</v>
      </c>
      <c r="J68" s="1160"/>
      <c r="K68" s="1160"/>
      <c r="L68" s="1160"/>
      <c r="M68" s="1160"/>
      <c r="N68" s="1160"/>
      <c r="O68" s="1224"/>
    </row>
    <row r="69" spans="1:15" s="250" customFormat="1" x14ac:dyDescent="0.25">
      <c r="A69" s="1072">
        <v>40</v>
      </c>
      <c r="B69" s="564" t="s">
        <v>541</v>
      </c>
      <c r="C69" s="296" t="s">
        <v>2162</v>
      </c>
      <c r="D69" s="276">
        <v>0.01</v>
      </c>
      <c r="E69" s="296" t="s">
        <v>101</v>
      </c>
      <c r="F69" s="355">
        <v>32.700000000000003</v>
      </c>
      <c r="G69" s="564" t="s">
        <v>724</v>
      </c>
      <c r="H69" s="355">
        <v>3</v>
      </c>
      <c r="I69" s="276">
        <f>IF(H69="",D69*F69,D69*F69*H69)</f>
        <v>0.98100000000000009</v>
      </c>
      <c r="J69" s="1160"/>
      <c r="K69" s="1160"/>
      <c r="L69" s="1160"/>
      <c r="M69" s="1160"/>
      <c r="N69" s="1160"/>
      <c r="O69" s="1224"/>
    </row>
    <row r="70" spans="1:15" s="250" customFormat="1" ht="30" customHeight="1" x14ac:dyDescent="0.25">
      <c r="A70" s="1072">
        <v>50</v>
      </c>
      <c r="B70" s="564" t="s">
        <v>2707</v>
      </c>
      <c r="C70" s="367" t="s">
        <v>2708</v>
      </c>
      <c r="D70" s="293">
        <v>1.3</v>
      </c>
      <c r="E70" s="564" t="s">
        <v>64</v>
      </c>
      <c r="F70" s="367">
        <v>1</v>
      </c>
      <c r="G70" s="367"/>
      <c r="H70" s="367"/>
      <c r="I70" s="293">
        <f t="shared" ref="I70" si="5">IF(H70="",D70*F70,D70*F70*H70)</f>
        <v>1.3</v>
      </c>
      <c r="J70" s="142"/>
      <c r="K70" s="142"/>
      <c r="L70" s="142"/>
      <c r="M70" s="142"/>
      <c r="N70" s="142"/>
      <c r="O70" s="120"/>
    </row>
    <row r="71" spans="1:15" s="250" customFormat="1" x14ac:dyDescent="0.25">
      <c r="A71" s="1072">
        <v>60</v>
      </c>
      <c r="B71" s="564" t="s">
        <v>541</v>
      </c>
      <c r="C71" s="296" t="s">
        <v>2168</v>
      </c>
      <c r="D71" s="276">
        <v>0.01</v>
      </c>
      <c r="E71" s="296" t="s">
        <v>101</v>
      </c>
      <c r="F71" s="1225">
        <v>13.8</v>
      </c>
      <c r="G71" s="564" t="s">
        <v>724</v>
      </c>
      <c r="H71" s="355">
        <v>3</v>
      </c>
      <c r="I71" s="276">
        <f t="shared" si="4"/>
        <v>0.41400000000000003</v>
      </c>
      <c r="J71" s="1163"/>
      <c r="K71" s="1163"/>
      <c r="L71" s="1163"/>
      <c r="M71" s="1163"/>
      <c r="N71" s="1163"/>
      <c r="O71" s="143"/>
    </row>
    <row r="72" spans="1:15" s="250" customFormat="1" x14ac:dyDescent="0.25">
      <c r="A72" s="1072">
        <v>70</v>
      </c>
      <c r="B72" s="564" t="s">
        <v>541</v>
      </c>
      <c r="C72" s="296" t="s">
        <v>2165</v>
      </c>
      <c r="D72" s="276">
        <v>0.01</v>
      </c>
      <c r="E72" s="296" t="s">
        <v>101</v>
      </c>
      <c r="F72" s="355">
        <v>18.399999999999999</v>
      </c>
      <c r="G72" s="564" t="s">
        <v>724</v>
      </c>
      <c r="H72" s="355">
        <v>3</v>
      </c>
      <c r="I72" s="276">
        <f t="shared" si="4"/>
        <v>0.55200000000000005</v>
      </c>
      <c r="J72" s="1160"/>
      <c r="K72" s="1160"/>
      <c r="L72" s="1160"/>
      <c r="M72" s="1160"/>
      <c r="N72" s="1160"/>
      <c r="O72" s="1224"/>
    </row>
    <row r="73" spans="1:15" s="250" customFormat="1" x14ac:dyDescent="0.25">
      <c r="A73" s="1072">
        <v>80</v>
      </c>
      <c r="B73" s="564" t="s">
        <v>541</v>
      </c>
      <c r="C73" s="296" t="s">
        <v>2164</v>
      </c>
      <c r="D73" s="276">
        <v>0.01</v>
      </c>
      <c r="E73" s="296" t="s">
        <v>101</v>
      </c>
      <c r="F73" s="355">
        <v>5.8</v>
      </c>
      <c r="G73" s="564" t="s">
        <v>724</v>
      </c>
      <c r="H73" s="355">
        <v>3</v>
      </c>
      <c r="I73" s="276">
        <f t="shared" si="4"/>
        <v>0.17399999999999999</v>
      </c>
      <c r="J73" s="1160"/>
      <c r="K73" s="1160"/>
      <c r="L73" s="1160"/>
      <c r="M73" s="1160"/>
      <c r="N73" s="1160"/>
      <c r="O73" s="1224"/>
    </row>
    <row r="74" spans="1:15" s="250" customFormat="1" x14ac:dyDescent="0.25">
      <c r="A74" s="1072">
        <v>90</v>
      </c>
      <c r="B74" s="564" t="s">
        <v>541</v>
      </c>
      <c r="C74" s="296" t="s">
        <v>2163</v>
      </c>
      <c r="D74" s="276">
        <v>0.01</v>
      </c>
      <c r="E74" s="296" t="s">
        <v>101</v>
      </c>
      <c r="F74" s="355">
        <v>16.399999999999999</v>
      </c>
      <c r="G74" s="564" t="s">
        <v>724</v>
      </c>
      <c r="H74" s="355">
        <v>3</v>
      </c>
      <c r="I74" s="276">
        <f t="shared" si="4"/>
        <v>0.49199999999999994</v>
      </c>
      <c r="J74" s="1160"/>
      <c r="K74" s="1160"/>
      <c r="L74" s="1160"/>
      <c r="M74" s="1160"/>
      <c r="N74" s="1160"/>
      <c r="O74" s="1224"/>
    </row>
    <row r="75" spans="1:15" x14ac:dyDescent="0.25">
      <c r="A75" s="1072">
        <v>100</v>
      </c>
      <c r="B75" s="564" t="s">
        <v>535</v>
      </c>
      <c r="C75" s="299" t="s">
        <v>2161</v>
      </c>
      <c r="D75" s="276">
        <v>0.01</v>
      </c>
      <c r="E75" s="564" t="s">
        <v>241</v>
      </c>
      <c r="F75" s="299">
        <v>7.7600000000000004E-3</v>
      </c>
      <c r="G75" s="564"/>
      <c r="H75" s="299"/>
      <c r="I75" s="276">
        <f t="shared" si="4"/>
        <v>7.7600000000000002E-5</v>
      </c>
      <c r="J75" s="99"/>
      <c r="K75" s="99"/>
      <c r="L75" s="99"/>
      <c r="M75" s="99"/>
      <c r="N75" s="99"/>
      <c r="O75" s="130"/>
    </row>
    <row r="76" spans="1:15" x14ac:dyDescent="0.25">
      <c r="A76" s="98"/>
      <c r="B76" s="95"/>
      <c r="C76" s="95"/>
      <c r="D76" s="95"/>
      <c r="E76" s="95"/>
      <c r="F76" s="95"/>
      <c r="G76" s="95"/>
      <c r="H76" s="1212" t="s">
        <v>58</v>
      </c>
      <c r="I76" s="1211">
        <f>SUM(I66:I75)</f>
        <v>6.0170775999999995</v>
      </c>
      <c r="J76" s="95"/>
      <c r="K76" s="95"/>
      <c r="L76" s="95"/>
      <c r="M76" s="95"/>
      <c r="N76" s="95"/>
      <c r="O76" s="93"/>
    </row>
    <row r="77" spans="1:15" ht="15.75" thickBot="1" x14ac:dyDescent="0.3">
      <c r="A77" s="92"/>
      <c r="B77" s="91"/>
      <c r="C77" s="91"/>
      <c r="D77" s="91"/>
      <c r="E77" s="91"/>
      <c r="F77" s="91"/>
      <c r="G77" s="91"/>
      <c r="H77" s="91"/>
      <c r="I77" s="91"/>
      <c r="J77" s="91"/>
      <c r="K77" s="91"/>
      <c r="L77" s="91"/>
      <c r="M77" s="91"/>
      <c r="N77" s="91"/>
      <c r="O77" s="90"/>
    </row>
    <row r="78" spans="1:15" ht="15.75" thickBot="1" x14ac:dyDescent="0.3"/>
    <row r="79" spans="1:15" x14ac:dyDescent="0.25">
      <c r="A79" s="141"/>
      <c r="B79" s="140"/>
      <c r="C79" s="140"/>
      <c r="D79" s="140"/>
      <c r="E79" s="140"/>
      <c r="F79" s="140"/>
      <c r="G79" s="140"/>
      <c r="H79" s="140"/>
      <c r="I79" s="140"/>
      <c r="J79" s="140"/>
      <c r="K79" s="140"/>
      <c r="L79" s="140"/>
      <c r="M79" s="140"/>
      <c r="N79" s="140"/>
      <c r="O79" s="139"/>
    </row>
    <row r="80" spans="1:15" x14ac:dyDescent="0.25">
      <c r="A80" s="1219" t="s">
        <v>57</v>
      </c>
      <c r="B80" s="133" t="s">
        <v>523</v>
      </c>
      <c r="C80" s="94"/>
      <c r="D80" s="94"/>
      <c r="E80" s="94"/>
      <c r="F80" s="94"/>
      <c r="G80" s="94"/>
      <c r="H80" s="94"/>
      <c r="I80" s="94"/>
      <c r="J80" s="1221" t="s">
        <v>51</v>
      </c>
      <c r="K80" s="138">
        <v>81</v>
      </c>
      <c r="L80" s="94"/>
      <c r="M80" s="1219" t="s">
        <v>113</v>
      </c>
      <c r="N80" s="100">
        <f>EL_01003_m+EL_01003_p</f>
        <v>12.841339849999999</v>
      </c>
      <c r="O80" s="93"/>
    </row>
    <row r="81" spans="1:15" x14ac:dyDescent="0.25">
      <c r="A81" s="1219" t="s">
        <v>125</v>
      </c>
      <c r="B81" s="133" t="s">
        <v>1975</v>
      </c>
      <c r="C81" s="94"/>
      <c r="D81" s="1219" t="s">
        <v>122</v>
      </c>
      <c r="E81" s="547" t="s">
        <v>522</v>
      </c>
      <c r="F81" s="94"/>
      <c r="G81" s="94"/>
      <c r="H81" s="94"/>
      <c r="I81" s="94"/>
      <c r="J81" s="94"/>
      <c r="K81" s="94"/>
      <c r="L81" s="94"/>
      <c r="M81" s="1219" t="s">
        <v>124</v>
      </c>
      <c r="N81" s="136">
        <v>1</v>
      </c>
      <c r="O81" s="93"/>
    </row>
    <row r="82" spans="1:15" x14ac:dyDescent="0.25">
      <c r="A82" s="1219" t="s">
        <v>123</v>
      </c>
      <c r="B82" s="270" t="str">
        <f>'EL Assemblies'!$B$4</f>
        <v>Monitoring System</v>
      </c>
      <c r="C82" s="94"/>
      <c r="D82" s="1219" t="s">
        <v>119</v>
      </c>
      <c r="E82" s="94"/>
      <c r="F82" s="94"/>
      <c r="G82" s="94"/>
      <c r="H82" s="94"/>
      <c r="I82" s="94"/>
      <c r="J82" s="1220" t="s">
        <v>122</v>
      </c>
      <c r="K82" s="94"/>
      <c r="L82" s="94"/>
      <c r="M82" s="94"/>
      <c r="N82" s="94"/>
      <c r="O82" s="93"/>
    </row>
    <row r="83" spans="1:15" x14ac:dyDescent="0.25">
      <c r="A83" s="1219" t="s">
        <v>114</v>
      </c>
      <c r="B83" s="135" t="str">
        <f>'EL Assemblies'!B12</f>
        <v>Sensor Tabs</v>
      </c>
      <c r="C83" s="94"/>
      <c r="D83" s="1219" t="s">
        <v>116</v>
      </c>
      <c r="E83" s="94"/>
      <c r="F83" s="94"/>
      <c r="G83" s="94"/>
      <c r="H83" s="94"/>
      <c r="I83" s="94"/>
      <c r="J83" s="1220" t="s">
        <v>119</v>
      </c>
      <c r="K83" s="94"/>
      <c r="L83" s="94"/>
      <c r="M83" s="1219" t="s">
        <v>118</v>
      </c>
      <c r="N83" s="100">
        <f>N81*N80</f>
        <v>12.841339849999999</v>
      </c>
      <c r="O83" s="93"/>
    </row>
    <row r="84" spans="1:15" x14ac:dyDescent="0.25">
      <c r="A84" s="1219" t="s">
        <v>121</v>
      </c>
      <c r="B84" s="269" t="s">
        <v>2160</v>
      </c>
      <c r="C84" s="94"/>
      <c r="D84" s="94"/>
      <c r="E84" s="94"/>
      <c r="F84" s="94"/>
      <c r="G84" s="94"/>
      <c r="H84" s="94"/>
      <c r="I84" s="94"/>
      <c r="J84" s="1220" t="s">
        <v>116</v>
      </c>
      <c r="K84" s="94"/>
      <c r="L84" s="94"/>
      <c r="M84" s="94"/>
      <c r="N84" s="94"/>
      <c r="O84" s="93"/>
    </row>
    <row r="85" spans="1:15" x14ac:dyDescent="0.25">
      <c r="A85" s="1219" t="s">
        <v>117</v>
      </c>
      <c r="B85" s="133" t="s">
        <v>23</v>
      </c>
      <c r="C85" s="94"/>
      <c r="D85" s="94"/>
      <c r="E85" s="94"/>
      <c r="F85" s="94"/>
      <c r="G85" s="94"/>
      <c r="H85" s="94"/>
      <c r="I85" s="94"/>
      <c r="J85" s="94"/>
      <c r="K85" s="94"/>
      <c r="L85" s="94"/>
      <c r="M85" s="94"/>
      <c r="N85" s="94"/>
      <c r="O85" s="93"/>
    </row>
    <row r="86" spans="1:15" x14ac:dyDescent="0.25">
      <c r="A86" s="1219" t="s">
        <v>115</v>
      </c>
      <c r="B86" s="133" t="s">
        <v>2147</v>
      </c>
      <c r="C86" s="94"/>
      <c r="D86" s="94"/>
      <c r="E86" s="94"/>
      <c r="F86" s="94"/>
      <c r="G86" s="94"/>
      <c r="H86" s="94"/>
      <c r="I86" s="94"/>
      <c r="J86" s="94"/>
      <c r="K86" s="94"/>
      <c r="L86" s="94"/>
      <c r="M86" s="94"/>
      <c r="N86" s="94"/>
      <c r="O86" s="93"/>
    </row>
    <row r="87" spans="1:15" x14ac:dyDescent="0.25">
      <c r="A87" s="266"/>
      <c r="B87" s="265"/>
      <c r="C87" s="265"/>
      <c r="D87" s="265"/>
      <c r="E87" s="265"/>
      <c r="F87" s="94"/>
      <c r="G87" s="94"/>
      <c r="H87" s="94"/>
      <c r="I87" s="94"/>
      <c r="J87" s="94"/>
      <c r="K87" s="94"/>
      <c r="L87" s="94"/>
      <c r="M87" s="94"/>
      <c r="N87" s="94"/>
      <c r="O87" s="93"/>
    </row>
    <row r="88" spans="1:15" x14ac:dyDescent="0.25">
      <c r="A88" s="1218" t="s">
        <v>67</v>
      </c>
      <c r="B88" s="1217" t="s">
        <v>112</v>
      </c>
      <c r="C88" s="1217" t="s">
        <v>66</v>
      </c>
      <c r="D88" s="1217" t="s">
        <v>65</v>
      </c>
      <c r="E88" s="1217" t="s">
        <v>81</v>
      </c>
      <c r="F88" s="1213" t="s">
        <v>80</v>
      </c>
      <c r="G88" s="1213" t="s">
        <v>79</v>
      </c>
      <c r="H88" s="1213" t="s">
        <v>78</v>
      </c>
      <c r="I88" s="1213" t="s">
        <v>111</v>
      </c>
      <c r="J88" s="1213" t="s">
        <v>110</v>
      </c>
      <c r="K88" s="1213" t="s">
        <v>109</v>
      </c>
      <c r="L88" s="1213" t="s">
        <v>108</v>
      </c>
      <c r="M88" s="1213" t="s">
        <v>40</v>
      </c>
      <c r="N88" s="1213" t="s">
        <v>58</v>
      </c>
      <c r="O88" s="93"/>
    </row>
    <row r="89" spans="1:15" ht="30" x14ac:dyDescent="0.25">
      <c r="A89" s="1077">
        <v>10</v>
      </c>
      <c r="B89" s="402" t="s">
        <v>1551</v>
      </c>
      <c r="C89" s="296" t="s">
        <v>2159</v>
      </c>
      <c r="D89" s="276">
        <v>4.2</v>
      </c>
      <c r="E89" s="296">
        <v>15</v>
      </c>
      <c r="F89" s="296" t="s">
        <v>68</v>
      </c>
      <c r="G89" s="296">
        <v>1.5</v>
      </c>
      <c r="H89" s="401" t="s">
        <v>68</v>
      </c>
      <c r="I89" s="700" t="s">
        <v>2156</v>
      </c>
      <c r="J89" s="1156">
        <f>E89*G89*10^(-6)</f>
        <v>2.2499999999999998E-5</v>
      </c>
      <c r="K89" s="398">
        <v>0.04</v>
      </c>
      <c r="L89" s="319">
        <v>2710</v>
      </c>
      <c r="M89" s="397">
        <v>2</v>
      </c>
      <c r="N89" s="276">
        <f>D89*J89*K89*L89*M89</f>
        <v>2.0487599999999998E-2</v>
      </c>
      <c r="O89" s="143"/>
    </row>
    <row r="90" spans="1:15" ht="30" x14ac:dyDescent="0.25">
      <c r="A90" s="1077">
        <v>20</v>
      </c>
      <c r="B90" s="402" t="s">
        <v>1551</v>
      </c>
      <c r="C90" s="296" t="s">
        <v>2158</v>
      </c>
      <c r="D90" s="276">
        <v>4.2</v>
      </c>
      <c r="E90" s="296">
        <v>15</v>
      </c>
      <c r="F90" s="296" t="s">
        <v>68</v>
      </c>
      <c r="G90" s="296">
        <v>1.5</v>
      </c>
      <c r="H90" s="401" t="s">
        <v>68</v>
      </c>
      <c r="I90" s="700" t="s">
        <v>2156</v>
      </c>
      <c r="J90" s="1156">
        <f>E90*G90*10^(-6)</f>
        <v>2.2499999999999998E-5</v>
      </c>
      <c r="K90" s="398">
        <v>0.06</v>
      </c>
      <c r="L90" s="319">
        <v>2710</v>
      </c>
      <c r="M90" s="397">
        <v>5</v>
      </c>
      <c r="N90" s="276">
        <f>D90*J90*K90*L90*M90</f>
        <v>7.6828499999999994E-2</v>
      </c>
      <c r="O90" s="143"/>
    </row>
    <row r="91" spans="1:15" ht="30" x14ac:dyDescent="0.25">
      <c r="A91" s="1077">
        <v>30</v>
      </c>
      <c r="B91" s="402" t="s">
        <v>1551</v>
      </c>
      <c r="C91" s="296" t="s">
        <v>2157</v>
      </c>
      <c r="D91" s="276">
        <v>4.2</v>
      </c>
      <c r="E91" s="296">
        <v>15</v>
      </c>
      <c r="F91" s="296" t="s">
        <v>68</v>
      </c>
      <c r="G91" s="296">
        <v>1.5</v>
      </c>
      <c r="H91" s="401" t="s">
        <v>68</v>
      </c>
      <c r="I91" s="700" t="s">
        <v>2156</v>
      </c>
      <c r="J91" s="1156">
        <f>E91*G91*10^(-6)</f>
        <v>2.2499999999999998E-5</v>
      </c>
      <c r="K91" s="398">
        <v>0.05</v>
      </c>
      <c r="L91" s="319">
        <v>2710</v>
      </c>
      <c r="M91" s="397">
        <v>5</v>
      </c>
      <c r="N91" s="276">
        <f>D91*J91*K91*L91*M91</f>
        <v>6.402374999999999E-2</v>
      </c>
      <c r="O91" s="143"/>
    </row>
    <row r="92" spans="1:15" x14ac:dyDescent="0.25">
      <c r="A92" s="98"/>
      <c r="B92" s="95"/>
      <c r="C92" s="95"/>
      <c r="D92" s="95"/>
      <c r="E92" s="95"/>
      <c r="F92" s="95"/>
      <c r="G92" s="95"/>
      <c r="H92" s="95"/>
      <c r="I92" s="95"/>
      <c r="J92" s="95"/>
      <c r="K92" s="95"/>
      <c r="L92" s="95"/>
      <c r="M92" s="1215" t="s">
        <v>58</v>
      </c>
      <c r="N92" s="1211">
        <f>SUM(N89:N91)</f>
        <v>0.16133984999999998</v>
      </c>
      <c r="O92" s="93"/>
    </row>
    <row r="93" spans="1:15" x14ac:dyDescent="0.25">
      <c r="A93" s="107"/>
      <c r="B93" s="94"/>
      <c r="C93" s="94"/>
      <c r="D93" s="94"/>
      <c r="E93" s="94"/>
      <c r="F93" s="94"/>
      <c r="G93" s="94"/>
      <c r="H93" s="94"/>
      <c r="I93" s="94"/>
      <c r="J93" s="94"/>
      <c r="K93" s="94"/>
      <c r="L93" s="94"/>
      <c r="M93" s="94"/>
      <c r="N93" s="94"/>
      <c r="O93" s="93"/>
    </row>
    <row r="94" spans="1:15" x14ac:dyDescent="0.25">
      <c r="A94" s="1214" t="s">
        <v>67</v>
      </c>
      <c r="B94" s="1213" t="s">
        <v>106</v>
      </c>
      <c r="C94" s="1213" t="s">
        <v>66</v>
      </c>
      <c r="D94" s="1213" t="s">
        <v>65</v>
      </c>
      <c r="E94" s="1213" t="s">
        <v>64</v>
      </c>
      <c r="F94" s="1213" t="s">
        <v>40</v>
      </c>
      <c r="G94" s="1213" t="s">
        <v>105</v>
      </c>
      <c r="H94" s="1213" t="s">
        <v>104</v>
      </c>
      <c r="I94" s="1213" t="s">
        <v>58</v>
      </c>
      <c r="J94" s="95"/>
      <c r="K94" s="95"/>
      <c r="L94" s="95"/>
      <c r="M94" s="95"/>
      <c r="N94" s="95"/>
      <c r="O94" s="93"/>
    </row>
    <row r="95" spans="1:15" x14ac:dyDescent="0.25">
      <c r="A95" s="1072">
        <v>10</v>
      </c>
      <c r="B95" s="564" t="s">
        <v>516</v>
      </c>
      <c r="C95" s="367" t="s">
        <v>802</v>
      </c>
      <c r="D95" s="293">
        <v>1.3</v>
      </c>
      <c r="E95" s="564" t="s">
        <v>64</v>
      </c>
      <c r="F95" s="367">
        <v>1</v>
      </c>
      <c r="G95" s="367"/>
      <c r="H95" s="367"/>
      <c r="I95" s="293">
        <f t="shared" ref="I95:I101" si="6">IF(H95="",D95*F95,D95*F95*H95)</f>
        <v>1.3</v>
      </c>
      <c r="J95" s="142"/>
      <c r="K95" s="142"/>
      <c r="L95" s="142"/>
      <c r="M95" s="142"/>
      <c r="N95" s="142"/>
      <c r="O95" s="120"/>
    </row>
    <row r="96" spans="1:15" ht="30" x14ac:dyDescent="0.25">
      <c r="A96" s="1071">
        <v>20</v>
      </c>
      <c r="B96" s="564" t="s">
        <v>541</v>
      </c>
      <c r="C96" s="325" t="s">
        <v>2155</v>
      </c>
      <c r="D96" s="276">
        <v>0.01</v>
      </c>
      <c r="E96" s="325" t="s">
        <v>101</v>
      </c>
      <c r="F96" s="565">
        <v>25</v>
      </c>
      <c r="G96" s="564" t="s">
        <v>870</v>
      </c>
      <c r="H96" s="299">
        <v>1</v>
      </c>
      <c r="I96" s="276">
        <f t="shared" si="6"/>
        <v>0.25</v>
      </c>
      <c r="J96" s="94"/>
      <c r="K96" s="94"/>
      <c r="L96" s="94"/>
      <c r="M96" s="94"/>
      <c r="N96" s="94"/>
      <c r="O96" s="93"/>
    </row>
    <row r="97" spans="1:15" ht="30" x14ac:dyDescent="0.25">
      <c r="A97" s="1072">
        <v>30</v>
      </c>
      <c r="B97" s="564" t="s">
        <v>541</v>
      </c>
      <c r="C97" s="296" t="s">
        <v>2154</v>
      </c>
      <c r="D97" s="276">
        <v>0.01</v>
      </c>
      <c r="E97" s="325" t="s">
        <v>101</v>
      </c>
      <c r="F97" s="565">
        <v>115</v>
      </c>
      <c r="G97" s="564" t="s">
        <v>870</v>
      </c>
      <c r="H97" s="299">
        <v>1</v>
      </c>
      <c r="I97" s="276">
        <f t="shared" si="6"/>
        <v>1.1500000000000001</v>
      </c>
      <c r="J97" s="94"/>
      <c r="K97" s="94"/>
      <c r="L97" s="94"/>
      <c r="M97" s="94"/>
      <c r="N97" s="94"/>
      <c r="O97" s="93"/>
    </row>
    <row r="98" spans="1:15" ht="30" x14ac:dyDescent="0.25">
      <c r="A98" s="1071">
        <v>40</v>
      </c>
      <c r="B98" s="564" t="s">
        <v>541</v>
      </c>
      <c r="C98" s="296" t="s">
        <v>2153</v>
      </c>
      <c r="D98" s="276">
        <v>0.01</v>
      </c>
      <c r="E98" s="325" t="s">
        <v>101</v>
      </c>
      <c r="F98" s="565">
        <v>73</v>
      </c>
      <c r="G98" s="564" t="s">
        <v>870</v>
      </c>
      <c r="H98" s="299">
        <v>1</v>
      </c>
      <c r="I98" s="276">
        <f t="shared" si="6"/>
        <v>0.73</v>
      </c>
      <c r="J98" s="94"/>
      <c r="K98" s="94"/>
      <c r="L98" s="94"/>
      <c r="M98" s="94"/>
      <c r="N98" s="94"/>
      <c r="O98" s="93"/>
    </row>
    <row r="99" spans="1:15" ht="30" x14ac:dyDescent="0.25">
      <c r="A99" s="1072">
        <v>50</v>
      </c>
      <c r="B99" s="564" t="s">
        <v>2150</v>
      </c>
      <c r="C99" s="296" t="s">
        <v>2152</v>
      </c>
      <c r="D99" s="276">
        <v>0.25</v>
      </c>
      <c r="E99" s="325" t="s">
        <v>537</v>
      </c>
      <c r="F99" s="565">
        <v>2</v>
      </c>
      <c r="G99" s="564" t="s">
        <v>870</v>
      </c>
      <c r="H99" s="299">
        <v>1</v>
      </c>
      <c r="I99" s="276">
        <f t="shared" si="6"/>
        <v>0.5</v>
      </c>
      <c r="J99" s="94"/>
      <c r="K99" s="94"/>
      <c r="L99" s="94"/>
      <c r="M99" s="94"/>
      <c r="N99" s="94"/>
      <c r="O99" s="93"/>
    </row>
    <row r="100" spans="1:15" ht="30" x14ac:dyDescent="0.25">
      <c r="A100" s="1071">
        <v>60</v>
      </c>
      <c r="B100" s="564" t="s">
        <v>2150</v>
      </c>
      <c r="C100" s="296" t="s">
        <v>2151</v>
      </c>
      <c r="D100" s="276">
        <v>0.25</v>
      </c>
      <c r="E100" s="325" t="s">
        <v>537</v>
      </c>
      <c r="F100" s="565">
        <v>25</v>
      </c>
      <c r="G100" s="564" t="s">
        <v>870</v>
      </c>
      <c r="H100" s="299">
        <v>1</v>
      </c>
      <c r="I100" s="276">
        <f t="shared" si="6"/>
        <v>6.25</v>
      </c>
      <c r="J100" s="94"/>
      <c r="K100" s="94"/>
      <c r="L100" s="94"/>
      <c r="M100" s="94"/>
      <c r="N100" s="94"/>
      <c r="O100" s="93"/>
    </row>
    <row r="101" spans="1:15" ht="30" x14ac:dyDescent="0.25">
      <c r="A101" s="1072">
        <v>70</v>
      </c>
      <c r="B101" s="564" t="s">
        <v>2150</v>
      </c>
      <c r="C101" s="296" t="s">
        <v>2149</v>
      </c>
      <c r="D101" s="276">
        <v>0.25</v>
      </c>
      <c r="E101" s="325" t="s">
        <v>537</v>
      </c>
      <c r="F101" s="565">
        <v>10</v>
      </c>
      <c r="G101" s="564" t="s">
        <v>870</v>
      </c>
      <c r="H101" s="299">
        <v>1</v>
      </c>
      <c r="I101" s="276">
        <f t="shared" si="6"/>
        <v>2.5</v>
      </c>
      <c r="J101" s="94"/>
      <c r="K101" s="94"/>
      <c r="L101" s="94"/>
      <c r="M101" s="94"/>
      <c r="N101" s="94"/>
      <c r="O101" s="93"/>
    </row>
    <row r="102" spans="1:15" x14ac:dyDescent="0.25">
      <c r="A102" s="98"/>
      <c r="B102" s="95"/>
      <c r="C102" s="95"/>
      <c r="D102" s="95"/>
      <c r="E102" s="95"/>
      <c r="F102" s="95"/>
      <c r="G102" s="95"/>
      <c r="H102" s="1212" t="s">
        <v>58</v>
      </c>
      <c r="I102" s="1211">
        <f>SUM(I95:I101)</f>
        <v>12.68</v>
      </c>
      <c r="J102" s="95"/>
      <c r="K102" s="95"/>
      <c r="L102" s="95"/>
      <c r="M102" s="95"/>
      <c r="N102" s="95"/>
      <c r="O102" s="93"/>
    </row>
    <row r="103" spans="1:15" ht="15.75" thickBot="1" x14ac:dyDescent="0.3">
      <c r="A103" s="92"/>
      <c r="B103" s="91"/>
      <c r="C103" s="91"/>
      <c r="D103" s="91"/>
      <c r="E103" s="91"/>
      <c r="F103" s="91"/>
      <c r="G103" s="91"/>
      <c r="H103" s="91"/>
      <c r="I103" s="91"/>
      <c r="J103" s="91"/>
      <c r="K103" s="91"/>
      <c r="L103" s="91"/>
      <c r="M103" s="91"/>
      <c r="N103" s="91"/>
      <c r="O103" s="90"/>
    </row>
    <row r="104" spans="1:15" ht="15.75" thickBot="1" x14ac:dyDescent="0.3"/>
    <row r="105" spans="1:15" x14ac:dyDescent="0.25">
      <c r="A105" s="141"/>
      <c r="B105" s="140"/>
      <c r="C105" s="140"/>
      <c r="D105" s="140"/>
      <c r="E105" s="140"/>
      <c r="F105" s="140"/>
      <c r="G105" s="140"/>
      <c r="H105" s="140"/>
      <c r="I105" s="140"/>
      <c r="J105" s="140"/>
      <c r="K105" s="140"/>
      <c r="L105" s="140"/>
      <c r="M105" s="140"/>
      <c r="N105" s="140"/>
      <c r="O105" s="139"/>
    </row>
    <row r="106" spans="1:15" x14ac:dyDescent="0.25">
      <c r="A106" s="1219" t="s">
        <v>57</v>
      </c>
      <c r="B106" s="133" t="s">
        <v>523</v>
      </c>
      <c r="C106" s="94"/>
      <c r="D106" s="94"/>
      <c r="E106" s="94"/>
      <c r="F106" s="94"/>
      <c r="G106" s="94"/>
      <c r="H106" s="94"/>
      <c r="I106" s="94"/>
      <c r="J106" s="1221" t="s">
        <v>51</v>
      </c>
      <c r="K106" s="138">
        <v>81</v>
      </c>
      <c r="L106" s="94"/>
      <c r="M106" s="1219" t="s">
        <v>113</v>
      </c>
      <c r="N106" s="100">
        <f>EL_01004_m+EL_01004_p</f>
        <v>6.4382725000000001</v>
      </c>
      <c r="O106" s="93"/>
    </row>
    <row r="107" spans="1:15" x14ac:dyDescent="0.25">
      <c r="A107" s="1219" t="s">
        <v>125</v>
      </c>
      <c r="B107" s="133" t="s">
        <v>1975</v>
      </c>
      <c r="C107" s="94"/>
      <c r="D107" s="1219" t="s">
        <v>122</v>
      </c>
      <c r="E107" s="547" t="s">
        <v>522</v>
      </c>
      <c r="F107" s="94"/>
      <c r="G107" s="94"/>
      <c r="H107" s="94"/>
      <c r="I107" s="94"/>
      <c r="J107" s="94"/>
      <c r="K107" s="94"/>
      <c r="L107" s="94"/>
      <c r="M107" s="1219" t="s">
        <v>124</v>
      </c>
      <c r="N107" s="136">
        <v>2</v>
      </c>
      <c r="O107" s="93"/>
    </row>
    <row r="108" spans="1:15" x14ac:dyDescent="0.25">
      <c r="A108" s="1219" t="s">
        <v>123</v>
      </c>
      <c r="B108" s="270" t="str">
        <f>'EL Assemblies'!$B$4</f>
        <v>Monitoring System</v>
      </c>
      <c r="C108" s="94"/>
      <c r="D108" s="1219" t="s">
        <v>119</v>
      </c>
      <c r="E108" s="94"/>
      <c r="F108" s="94"/>
      <c r="G108" s="94"/>
      <c r="H108" s="94"/>
      <c r="I108" s="94"/>
      <c r="J108" s="1220" t="s">
        <v>122</v>
      </c>
      <c r="K108" s="94"/>
      <c r="L108" s="94"/>
      <c r="M108" s="94"/>
      <c r="N108" s="94"/>
      <c r="O108" s="93"/>
    </row>
    <row r="109" spans="1:15" x14ac:dyDescent="0.25">
      <c r="A109" s="1219" t="s">
        <v>114</v>
      </c>
      <c r="B109" s="135" t="str">
        <f>'EL Assemblies'!B13</f>
        <v>Speed Sensor Disc</v>
      </c>
      <c r="C109" s="94"/>
      <c r="D109" s="1219" t="s">
        <v>116</v>
      </c>
      <c r="E109" s="94"/>
      <c r="F109" s="94"/>
      <c r="G109" s="94"/>
      <c r="H109" s="94"/>
      <c r="I109" s="94"/>
      <c r="J109" s="1220" t="s">
        <v>119</v>
      </c>
      <c r="K109" s="94"/>
      <c r="L109" s="94"/>
      <c r="M109" s="1219" t="s">
        <v>118</v>
      </c>
      <c r="N109" s="100">
        <f>N107*N106</f>
        <v>12.876545</v>
      </c>
      <c r="O109" s="93"/>
    </row>
    <row r="110" spans="1:15" x14ac:dyDescent="0.25">
      <c r="A110" s="1219" t="s">
        <v>121</v>
      </c>
      <c r="B110" s="269" t="s">
        <v>2148</v>
      </c>
      <c r="C110" s="94"/>
      <c r="D110" s="94"/>
      <c r="E110" s="94"/>
      <c r="F110" s="94"/>
      <c r="G110" s="94"/>
      <c r="H110" s="94"/>
      <c r="I110" s="94"/>
      <c r="J110" s="1220" t="s">
        <v>116</v>
      </c>
      <c r="K110" s="94"/>
      <c r="L110" s="94"/>
      <c r="M110" s="94"/>
      <c r="N110" s="94"/>
      <c r="O110" s="93"/>
    </row>
    <row r="111" spans="1:15" x14ac:dyDescent="0.25">
      <c r="A111" s="1219" t="s">
        <v>117</v>
      </c>
      <c r="B111" s="133" t="s">
        <v>23</v>
      </c>
      <c r="C111" s="94"/>
      <c r="D111" s="94"/>
      <c r="E111" s="94"/>
      <c r="F111" s="94"/>
      <c r="G111" s="94"/>
      <c r="H111" s="94"/>
      <c r="I111" s="94"/>
      <c r="J111" s="94"/>
      <c r="K111" s="94"/>
      <c r="L111" s="94"/>
      <c r="M111" s="94"/>
      <c r="N111" s="94"/>
      <c r="O111" s="93"/>
    </row>
    <row r="112" spans="1:15" x14ac:dyDescent="0.25">
      <c r="A112" s="1219" t="s">
        <v>115</v>
      </c>
      <c r="B112" s="133" t="s">
        <v>2147</v>
      </c>
      <c r="C112" s="94"/>
      <c r="D112" s="94"/>
      <c r="E112" s="94"/>
      <c r="F112" s="94"/>
      <c r="G112" s="94"/>
      <c r="H112" s="94"/>
      <c r="I112" s="94"/>
      <c r="J112" s="94"/>
      <c r="K112" s="94"/>
      <c r="L112" s="94"/>
      <c r="M112" s="94"/>
      <c r="N112" s="94"/>
      <c r="O112" s="93"/>
    </row>
    <row r="113" spans="1:15" x14ac:dyDescent="0.25">
      <c r="A113" s="266"/>
      <c r="B113" s="265"/>
      <c r="C113" s="265"/>
      <c r="D113" s="265"/>
      <c r="E113" s="265"/>
      <c r="F113" s="94"/>
      <c r="G113" s="94"/>
      <c r="H113" s="94"/>
      <c r="I113" s="94"/>
      <c r="J113" s="94"/>
      <c r="K113" s="94"/>
      <c r="L113" s="94"/>
      <c r="M113" s="94"/>
      <c r="N113" s="94"/>
      <c r="O113" s="93"/>
    </row>
    <row r="114" spans="1:15" x14ac:dyDescent="0.25">
      <c r="A114" s="1218" t="s">
        <v>67</v>
      </c>
      <c r="B114" s="1217" t="s">
        <v>112</v>
      </c>
      <c r="C114" s="1217" t="s">
        <v>66</v>
      </c>
      <c r="D114" s="1217" t="s">
        <v>65</v>
      </c>
      <c r="E114" s="1217" t="s">
        <v>81</v>
      </c>
      <c r="F114" s="1213" t="s">
        <v>80</v>
      </c>
      <c r="G114" s="1213" t="s">
        <v>79</v>
      </c>
      <c r="H114" s="1213" t="s">
        <v>78</v>
      </c>
      <c r="I114" s="1213" t="s">
        <v>111</v>
      </c>
      <c r="J114" s="1213" t="s">
        <v>110</v>
      </c>
      <c r="K114" s="1213" t="s">
        <v>109</v>
      </c>
      <c r="L114" s="1213" t="s">
        <v>108</v>
      </c>
      <c r="M114" s="1213" t="s">
        <v>40</v>
      </c>
      <c r="N114" s="1213" t="s">
        <v>58</v>
      </c>
      <c r="O114" s="93"/>
    </row>
    <row r="115" spans="1:15" ht="30" x14ac:dyDescent="0.25">
      <c r="A115" s="1077">
        <v>10</v>
      </c>
      <c r="B115" s="402" t="s">
        <v>519</v>
      </c>
      <c r="C115" s="296" t="s">
        <v>2146</v>
      </c>
      <c r="D115" s="276">
        <v>2.25</v>
      </c>
      <c r="E115" s="296">
        <v>100</v>
      </c>
      <c r="F115" s="296" t="s">
        <v>68</v>
      </c>
      <c r="G115" s="296"/>
      <c r="H115" s="401"/>
      <c r="I115" s="1154" t="s">
        <v>2145</v>
      </c>
      <c r="J115" s="1223">
        <f>3.14*(E115/2*10^(-3))</f>
        <v>0.15700000000000003</v>
      </c>
      <c r="K115" s="1222">
        <v>5.0000000000000001E-4</v>
      </c>
      <c r="L115" s="319">
        <v>7860</v>
      </c>
      <c r="M115" s="397">
        <v>1</v>
      </c>
      <c r="N115" s="276">
        <f>D115*J115*K115*L115*M115</f>
        <v>1.3882725000000002</v>
      </c>
      <c r="O115" s="143"/>
    </row>
    <row r="116" spans="1:15" x14ac:dyDescent="0.25">
      <c r="A116" s="98"/>
      <c r="B116" s="95"/>
      <c r="C116" s="95"/>
      <c r="D116" s="95"/>
      <c r="E116" s="95"/>
      <c r="F116" s="95"/>
      <c r="G116" s="95"/>
      <c r="H116" s="95"/>
      <c r="I116" s="95"/>
      <c r="J116" s="95"/>
      <c r="K116" s="95"/>
      <c r="L116" s="95"/>
      <c r="M116" s="1215" t="s">
        <v>58</v>
      </c>
      <c r="N116" s="1211">
        <f>SUM(N115:N115)</f>
        <v>1.3882725000000002</v>
      </c>
      <c r="O116" s="93"/>
    </row>
    <row r="117" spans="1:15" x14ac:dyDescent="0.25">
      <c r="A117" s="107"/>
      <c r="B117" s="94"/>
      <c r="C117" s="94"/>
      <c r="D117" s="94"/>
      <c r="E117" s="94"/>
      <c r="F117" s="94"/>
      <c r="G117" s="94"/>
      <c r="H117" s="94"/>
      <c r="I117" s="94"/>
      <c r="J117" s="94"/>
      <c r="K117" s="94"/>
      <c r="L117" s="94"/>
      <c r="M117" s="94"/>
      <c r="N117" s="94"/>
      <c r="O117" s="93"/>
    </row>
    <row r="118" spans="1:15" x14ac:dyDescent="0.25">
      <c r="A118" s="1214" t="s">
        <v>67</v>
      </c>
      <c r="B118" s="1213" t="s">
        <v>106</v>
      </c>
      <c r="C118" s="1213" t="s">
        <v>66</v>
      </c>
      <c r="D118" s="1213" t="s">
        <v>65</v>
      </c>
      <c r="E118" s="1213" t="s">
        <v>64</v>
      </c>
      <c r="F118" s="1213" t="s">
        <v>40</v>
      </c>
      <c r="G118" s="1213" t="s">
        <v>105</v>
      </c>
      <c r="H118" s="1213" t="s">
        <v>104</v>
      </c>
      <c r="I118" s="1213" t="s">
        <v>58</v>
      </c>
      <c r="J118" s="95"/>
      <c r="K118" s="95"/>
      <c r="L118" s="95"/>
      <c r="M118" s="95"/>
      <c r="N118" s="95"/>
      <c r="O118" s="93"/>
    </row>
    <row r="119" spans="1:15" x14ac:dyDescent="0.25">
      <c r="A119" s="1072">
        <v>10</v>
      </c>
      <c r="B119" s="564" t="s">
        <v>516</v>
      </c>
      <c r="C119" s="367" t="s">
        <v>802</v>
      </c>
      <c r="D119" s="293">
        <v>1.3</v>
      </c>
      <c r="E119" s="564" t="s">
        <v>64</v>
      </c>
      <c r="F119" s="367">
        <v>1</v>
      </c>
      <c r="G119" s="367"/>
      <c r="H119" s="367"/>
      <c r="I119" s="293">
        <f>IF(H119="",D119*F119,D119*F119*H119)</f>
        <v>1.3</v>
      </c>
      <c r="J119" s="142"/>
      <c r="K119" s="142"/>
      <c r="L119" s="142"/>
      <c r="M119" s="142"/>
      <c r="N119" s="142"/>
      <c r="O119" s="120"/>
    </row>
    <row r="120" spans="1:15" x14ac:dyDescent="0.25">
      <c r="A120" s="1071">
        <v>20</v>
      </c>
      <c r="B120" s="564" t="s">
        <v>541</v>
      </c>
      <c r="C120" s="325" t="s">
        <v>2144</v>
      </c>
      <c r="D120" s="276">
        <v>0.01</v>
      </c>
      <c r="E120" s="325" t="s">
        <v>101</v>
      </c>
      <c r="F120" s="565">
        <v>125</v>
      </c>
      <c r="G120" s="564" t="s">
        <v>724</v>
      </c>
      <c r="H120" s="299">
        <v>3</v>
      </c>
      <c r="I120" s="276">
        <f>IF(H120="",D120*F120,D120*F120*H120)</f>
        <v>3.75</v>
      </c>
      <c r="J120" s="94"/>
      <c r="K120" s="94"/>
      <c r="L120" s="94"/>
      <c r="M120" s="94"/>
      <c r="N120" s="94"/>
      <c r="O120" s="93"/>
    </row>
    <row r="121" spans="1:15" x14ac:dyDescent="0.25">
      <c r="A121" s="98"/>
      <c r="B121" s="95"/>
      <c r="C121" s="95"/>
      <c r="D121" s="95"/>
      <c r="E121" s="95"/>
      <c r="F121" s="95"/>
      <c r="G121" s="95"/>
      <c r="H121" s="1212" t="s">
        <v>58</v>
      </c>
      <c r="I121" s="1211">
        <f>SUM(I119:I120)</f>
        <v>5.05</v>
      </c>
      <c r="J121" s="95"/>
      <c r="K121" s="95"/>
      <c r="L121" s="95"/>
      <c r="M121" s="95"/>
      <c r="N121" s="95"/>
      <c r="O121" s="93"/>
    </row>
    <row r="122" spans="1:15" x14ac:dyDescent="0.25">
      <c r="A122" s="98"/>
      <c r="B122" s="95"/>
      <c r="C122" s="95"/>
      <c r="D122" s="95"/>
      <c r="E122" s="95"/>
      <c r="F122" s="95"/>
      <c r="G122" s="95"/>
      <c r="H122" s="523"/>
      <c r="I122" s="522"/>
      <c r="J122" s="95"/>
      <c r="K122" s="95"/>
      <c r="L122" s="95"/>
      <c r="M122" s="95"/>
      <c r="N122" s="95"/>
      <c r="O122" s="93"/>
    </row>
    <row r="123" spans="1:15" x14ac:dyDescent="0.25">
      <c r="A123" s="98"/>
      <c r="B123" s="95"/>
      <c r="C123" s="95"/>
      <c r="D123" s="95"/>
      <c r="E123" s="95"/>
      <c r="F123" s="95"/>
      <c r="G123" s="95"/>
      <c r="H123" s="523"/>
      <c r="I123" s="522"/>
      <c r="J123" s="95"/>
      <c r="K123" s="95"/>
      <c r="L123" s="95"/>
      <c r="M123" s="95"/>
      <c r="N123" s="95"/>
      <c r="O123" s="93"/>
    </row>
    <row r="124" spans="1:15" x14ac:dyDescent="0.25">
      <c r="A124" s="98"/>
      <c r="B124" s="95"/>
      <c r="C124" s="95"/>
      <c r="D124" s="95"/>
      <c r="E124" s="95"/>
      <c r="F124" s="95"/>
      <c r="G124" s="95"/>
      <c r="H124" s="523"/>
      <c r="I124" s="522"/>
      <c r="J124" s="95"/>
      <c r="K124" s="95"/>
      <c r="L124" s="95"/>
      <c r="M124" s="95"/>
      <c r="N124" s="95"/>
      <c r="O124" s="93"/>
    </row>
    <row r="125" spans="1:15" x14ac:dyDescent="0.25">
      <c r="A125" s="98"/>
      <c r="B125" s="95"/>
      <c r="C125" s="95"/>
      <c r="D125" s="95"/>
      <c r="E125" s="95"/>
      <c r="F125" s="95"/>
      <c r="G125" s="95"/>
      <c r="H125" s="523"/>
      <c r="I125" s="522"/>
      <c r="J125" s="95"/>
      <c r="K125" s="95"/>
      <c r="L125" s="95"/>
      <c r="M125" s="95"/>
      <c r="N125" s="95"/>
      <c r="O125" s="93"/>
    </row>
    <row r="126" spans="1:15" x14ac:dyDescent="0.25">
      <c r="A126" s="98"/>
      <c r="B126" s="95"/>
      <c r="C126" s="95"/>
      <c r="D126" s="95"/>
      <c r="E126" s="95"/>
      <c r="F126" s="95"/>
      <c r="G126" s="95"/>
      <c r="H126" s="523"/>
      <c r="I126" s="522"/>
      <c r="J126" s="95"/>
      <c r="K126" s="95"/>
      <c r="L126" s="95"/>
      <c r="M126" s="95"/>
      <c r="N126" s="95"/>
      <c r="O126" s="93"/>
    </row>
    <row r="127" spans="1:15" x14ac:dyDescent="0.25">
      <c r="A127" s="98"/>
      <c r="B127" s="95"/>
      <c r="C127" s="95"/>
      <c r="D127" s="95"/>
      <c r="E127" s="95"/>
      <c r="F127" s="95"/>
      <c r="G127" s="95"/>
      <c r="H127" s="523"/>
      <c r="I127" s="522"/>
      <c r="J127" s="95"/>
      <c r="K127" s="95"/>
      <c r="L127" s="95"/>
      <c r="M127" s="95"/>
      <c r="N127" s="95"/>
      <c r="O127" s="93"/>
    </row>
    <row r="128" spans="1:15" x14ac:dyDescent="0.25">
      <c r="A128" s="98"/>
      <c r="B128" s="95"/>
      <c r="C128" s="95"/>
      <c r="D128" s="95"/>
      <c r="E128" s="95"/>
      <c r="F128" s="95"/>
      <c r="G128" s="95"/>
      <c r="H128" s="523"/>
      <c r="I128" s="522"/>
      <c r="J128" s="95"/>
      <c r="K128" s="95"/>
      <c r="L128" s="95"/>
      <c r="M128" s="95"/>
      <c r="N128" s="95"/>
      <c r="O128" s="93"/>
    </row>
    <row r="129" spans="1:15" ht="15.75" thickBot="1" x14ac:dyDescent="0.3">
      <c r="A129" s="92"/>
      <c r="B129" s="91"/>
      <c r="C129" s="91"/>
      <c r="D129" s="91"/>
      <c r="E129" s="91"/>
      <c r="F129" s="91"/>
      <c r="G129" s="91"/>
      <c r="H129" s="91"/>
      <c r="I129" s="91"/>
      <c r="J129" s="91"/>
      <c r="K129" s="91"/>
      <c r="L129" s="91"/>
      <c r="M129" s="91"/>
      <c r="N129" s="91"/>
      <c r="O129" s="90"/>
    </row>
    <row r="130" spans="1:15" ht="15.75" thickBot="1" x14ac:dyDescent="0.3">
      <c r="A130" s="1229"/>
      <c r="B130" s="1229"/>
      <c r="C130" s="1229"/>
      <c r="D130" s="1229"/>
      <c r="E130" s="1229"/>
      <c r="F130" s="1229"/>
      <c r="G130" s="1229"/>
      <c r="H130" s="1229"/>
      <c r="I130" s="1229"/>
      <c r="J130" s="1229"/>
      <c r="K130" s="1229"/>
      <c r="L130" s="1229"/>
      <c r="M130" s="1229"/>
      <c r="N130" s="1229"/>
      <c r="O130" s="1229"/>
    </row>
    <row r="131" spans="1:15" x14ac:dyDescent="0.25">
      <c r="A131" s="1226" t="s">
        <v>57</v>
      </c>
      <c r="B131" s="133" t="s">
        <v>523</v>
      </c>
      <c r="C131" s="94"/>
      <c r="D131" s="94"/>
      <c r="E131" s="94"/>
      <c r="F131" s="94"/>
      <c r="G131" s="94"/>
      <c r="H131" s="94"/>
      <c r="I131" s="94"/>
      <c r="J131" s="1227" t="s">
        <v>51</v>
      </c>
      <c r="K131" s="1228">
        <v>81</v>
      </c>
      <c r="L131" s="94"/>
      <c r="M131" s="1226" t="s">
        <v>113</v>
      </c>
      <c r="N131" s="207">
        <f>EL_01005_m+EL_01005_p</f>
        <v>1.9915438000000001</v>
      </c>
      <c r="O131" s="93"/>
    </row>
    <row r="132" spans="1:15" x14ac:dyDescent="0.25">
      <c r="A132" s="1219" t="s">
        <v>125</v>
      </c>
      <c r="B132" s="133" t="s">
        <v>1975</v>
      </c>
      <c r="C132" s="94"/>
      <c r="D132" s="1219" t="s">
        <v>122</v>
      </c>
      <c r="E132" s="547" t="s">
        <v>522</v>
      </c>
      <c r="F132" s="94"/>
      <c r="G132" s="94"/>
      <c r="H132" s="94"/>
      <c r="I132" s="94"/>
      <c r="J132" s="94"/>
      <c r="K132" s="94"/>
      <c r="L132" s="94"/>
      <c r="M132" s="1219" t="s">
        <v>124</v>
      </c>
      <c r="N132" s="136">
        <v>2</v>
      </c>
      <c r="O132" s="93"/>
    </row>
    <row r="133" spans="1:15" x14ac:dyDescent="0.25">
      <c r="A133" s="1219" t="s">
        <v>123</v>
      </c>
      <c r="B133" s="270" t="str">
        <f>'EL Assemblies'!$B$4</f>
        <v>Monitoring System</v>
      </c>
      <c r="C133" s="94"/>
      <c r="D133" s="1219" t="s">
        <v>119</v>
      </c>
      <c r="E133" s="94"/>
      <c r="F133" s="94"/>
      <c r="G133" s="94"/>
      <c r="H133" s="94"/>
      <c r="I133" s="94"/>
      <c r="J133" s="1220" t="s">
        <v>122</v>
      </c>
      <c r="K133" s="94"/>
      <c r="L133" s="94"/>
      <c r="M133" s="94"/>
      <c r="N133" s="94"/>
      <c r="O133" s="93"/>
    </row>
    <row r="134" spans="1:15" x14ac:dyDescent="0.25">
      <c r="A134" s="1219" t="s">
        <v>114</v>
      </c>
      <c r="B134" s="135" t="str">
        <f>'EL Assemblies'!B14</f>
        <v>Rear Roll Bar Mount</v>
      </c>
      <c r="C134" s="94"/>
      <c r="D134" s="1219" t="s">
        <v>116</v>
      </c>
      <c r="E134" s="94"/>
      <c r="F134" s="94"/>
      <c r="G134" s="94"/>
      <c r="H134" s="94"/>
      <c r="I134" s="94"/>
      <c r="J134" s="1220" t="s">
        <v>119</v>
      </c>
      <c r="K134" s="94"/>
      <c r="L134" s="94"/>
      <c r="M134" s="1219" t="s">
        <v>118</v>
      </c>
      <c r="N134" s="100">
        <f>N132*N131</f>
        <v>3.9830876000000002</v>
      </c>
      <c r="O134" s="93"/>
    </row>
    <row r="135" spans="1:15" x14ac:dyDescent="0.25">
      <c r="A135" s="1219" t="s">
        <v>121</v>
      </c>
      <c r="B135" s="269" t="s">
        <v>2143</v>
      </c>
      <c r="C135" s="94"/>
      <c r="D135" s="94"/>
      <c r="E135" s="94"/>
      <c r="F135" s="94"/>
      <c r="G135" s="94"/>
      <c r="H135" s="94"/>
      <c r="I135" s="94"/>
      <c r="J135" s="1220" t="s">
        <v>116</v>
      </c>
      <c r="K135" s="94"/>
      <c r="L135" s="94"/>
      <c r="M135" s="94"/>
      <c r="N135" s="94"/>
      <c r="O135" s="93"/>
    </row>
    <row r="136" spans="1:15" x14ac:dyDescent="0.25">
      <c r="A136" s="1219" t="s">
        <v>117</v>
      </c>
      <c r="B136" s="133" t="s">
        <v>23</v>
      </c>
      <c r="C136" s="94"/>
      <c r="D136" s="94"/>
      <c r="E136" s="94"/>
      <c r="F136" s="94"/>
      <c r="G136" s="94"/>
      <c r="H136" s="94"/>
      <c r="I136" s="94"/>
      <c r="J136" s="94"/>
      <c r="K136" s="94"/>
      <c r="L136" s="94"/>
      <c r="M136" s="94"/>
      <c r="N136" s="94"/>
      <c r="O136" s="93"/>
    </row>
    <row r="137" spans="1:15" x14ac:dyDescent="0.25">
      <c r="A137" s="1219" t="s">
        <v>115</v>
      </c>
      <c r="B137" s="1201" t="s">
        <v>2142</v>
      </c>
      <c r="C137" s="94"/>
      <c r="D137" s="94"/>
      <c r="E137" s="94"/>
      <c r="F137" s="94"/>
      <c r="G137" s="94"/>
      <c r="H137" s="94"/>
      <c r="I137" s="94"/>
      <c r="J137" s="94"/>
      <c r="K137" s="94"/>
      <c r="L137" s="94"/>
      <c r="M137" s="94"/>
      <c r="N137" s="94"/>
      <c r="O137" s="93"/>
    </row>
    <row r="138" spans="1:15" x14ac:dyDescent="0.25">
      <c r="A138" s="266"/>
      <c r="B138" s="265"/>
      <c r="C138" s="265"/>
      <c r="D138" s="265"/>
      <c r="E138" s="265"/>
      <c r="F138" s="94"/>
      <c r="G138" s="94"/>
      <c r="H138" s="94"/>
      <c r="I138" s="94"/>
      <c r="J138" s="94"/>
      <c r="K138" s="94"/>
      <c r="L138" s="94"/>
      <c r="M138" s="94"/>
      <c r="N138" s="94"/>
      <c r="O138" s="93"/>
    </row>
    <row r="139" spans="1:15" x14ac:dyDescent="0.25">
      <c r="A139" s="1218" t="s">
        <v>67</v>
      </c>
      <c r="B139" s="1217" t="s">
        <v>112</v>
      </c>
      <c r="C139" s="1217" t="s">
        <v>66</v>
      </c>
      <c r="D139" s="1217" t="s">
        <v>65</v>
      </c>
      <c r="E139" s="1217" t="s">
        <v>81</v>
      </c>
      <c r="F139" s="1213" t="s">
        <v>80</v>
      </c>
      <c r="G139" s="1213" t="s">
        <v>79</v>
      </c>
      <c r="H139" s="1213" t="s">
        <v>78</v>
      </c>
      <c r="I139" s="1213" t="s">
        <v>111</v>
      </c>
      <c r="J139" s="1213" t="s">
        <v>110</v>
      </c>
      <c r="K139" s="1213" t="s">
        <v>109</v>
      </c>
      <c r="L139" s="1213" t="s">
        <v>108</v>
      </c>
      <c r="M139" s="1213" t="s">
        <v>40</v>
      </c>
      <c r="N139" s="1213" t="s">
        <v>58</v>
      </c>
      <c r="O139" s="93"/>
    </row>
    <row r="140" spans="1:15" ht="30" x14ac:dyDescent="0.25">
      <c r="A140" s="1077">
        <v>10</v>
      </c>
      <c r="B140" s="402" t="s">
        <v>519</v>
      </c>
      <c r="C140" s="296" t="s">
        <v>841</v>
      </c>
      <c r="D140" s="276">
        <v>2.25</v>
      </c>
      <c r="E140" s="296">
        <v>30</v>
      </c>
      <c r="F140" s="296" t="s">
        <v>68</v>
      </c>
      <c r="G140" s="296">
        <v>2</v>
      </c>
      <c r="H140" s="401" t="s">
        <v>68</v>
      </c>
      <c r="I140" s="700" t="s">
        <v>2141</v>
      </c>
      <c r="J140" s="1156">
        <f>E140*G140*10^(-6)</f>
        <v>5.9999999999999995E-5</v>
      </c>
      <c r="K140" s="398">
        <v>5.8000000000000003E-2</v>
      </c>
      <c r="L140" s="319">
        <v>7860</v>
      </c>
      <c r="M140" s="397">
        <v>1</v>
      </c>
      <c r="N140" s="276">
        <f>D140*J140*K140*L140*M140</f>
        <v>6.1543799999999996E-2</v>
      </c>
      <c r="O140" s="143"/>
    </row>
    <row r="141" spans="1:15" x14ac:dyDescent="0.25">
      <c r="A141" s="98"/>
      <c r="B141" s="95"/>
      <c r="C141" s="95"/>
      <c r="D141" s="95"/>
      <c r="E141" s="95"/>
      <c r="F141" s="95"/>
      <c r="G141" s="95"/>
      <c r="H141" s="95"/>
      <c r="I141" s="95"/>
      <c r="J141" s="95"/>
      <c r="K141" s="95"/>
      <c r="L141" s="95"/>
      <c r="M141" s="1215" t="s">
        <v>58</v>
      </c>
      <c r="N141" s="1211">
        <f>SUM(N140:N140)</f>
        <v>6.1543799999999996E-2</v>
      </c>
      <c r="O141" s="93"/>
    </row>
    <row r="142" spans="1:15" x14ac:dyDescent="0.25">
      <c r="A142" s="107"/>
      <c r="B142" s="94"/>
      <c r="C142" s="94"/>
      <c r="D142" s="94"/>
      <c r="E142" s="94"/>
      <c r="F142" s="94"/>
      <c r="G142" s="94"/>
      <c r="H142" s="94"/>
      <c r="I142" s="94"/>
      <c r="J142" s="94"/>
      <c r="K142" s="94"/>
      <c r="L142" s="94"/>
      <c r="M142" s="94"/>
      <c r="N142" s="94"/>
      <c r="O142" s="93"/>
    </row>
    <row r="143" spans="1:15" x14ac:dyDescent="0.25">
      <c r="A143" s="1214" t="s">
        <v>67</v>
      </c>
      <c r="B143" s="1213" t="s">
        <v>106</v>
      </c>
      <c r="C143" s="1213" t="s">
        <v>66</v>
      </c>
      <c r="D143" s="1213" t="s">
        <v>65</v>
      </c>
      <c r="E143" s="1213" t="s">
        <v>64</v>
      </c>
      <c r="F143" s="1213" t="s">
        <v>40</v>
      </c>
      <c r="G143" s="1213" t="s">
        <v>105</v>
      </c>
      <c r="H143" s="1213" t="s">
        <v>104</v>
      </c>
      <c r="I143" s="1213" t="s">
        <v>58</v>
      </c>
      <c r="J143" s="95"/>
      <c r="K143" s="95"/>
      <c r="L143" s="95"/>
      <c r="M143" s="95"/>
      <c r="N143" s="95"/>
      <c r="O143" s="93"/>
    </row>
    <row r="144" spans="1:15" x14ac:dyDescent="0.25">
      <c r="A144" s="1072">
        <v>10</v>
      </c>
      <c r="B144" s="564" t="s">
        <v>516</v>
      </c>
      <c r="C144" s="367" t="s">
        <v>802</v>
      </c>
      <c r="D144" s="293">
        <v>1.3</v>
      </c>
      <c r="E144" s="564" t="s">
        <v>64</v>
      </c>
      <c r="F144" s="367">
        <v>1</v>
      </c>
      <c r="G144" s="367"/>
      <c r="H144" s="367"/>
      <c r="I144" s="293">
        <f>IF(H144="",D144*F144,D144*F144*H144)</f>
        <v>1.3</v>
      </c>
      <c r="J144" s="142"/>
      <c r="K144" s="142"/>
      <c r="L144" s="142"/>
      <c r="M144" s="142"/>
      <c r="N144" s="142"/>
      <c r="O144" s="120"/>
    </row>
    <row r="145" spans="1:15" x14ac:dyDescent="0.25">
      <c r="A145" s="1071">
        <v>20</v>
      </c>
      <c r="B145" s="564" t="s">
        <v>541</v>
      </c>
      <c r="C145" s="325"/>
      <c r="D145" s="276">
        <v>0.01</v>
      </c>
      <c r="E145" s="325" t="s">
        <v>101</v>
      </c>
      <c r="F145" s="565">
        <v>21</v>
      </c>
      <c r="G145" s="564" t="s">
        <v>724</v>
      </c>
      <c r="H145" s="299">
        <v>3</v>
      </c>
      <c r="I145" s="276">
        <f>IF(H145="",D145*F145,D145*F145*H145)</f>
        <v>0.63</v>
      </c>
      <c r="J145" s="94"/>
      <c r="K145" s="94"/>
      <c r="L145" s="94"/>
      <c r="M145" s="94"/>
      <c r="N145" s="94"/>
      <c r="O145" s="93"/>
    </row>
    <row r="146" spans="1:15" x14ac:dyDescent="0.25">
      <c r="A146" s="98"/>
      <c r="B146" s="95"/>
      <c r="C146" s="95"/>
      <c r="D146" s="95"/>
      <c r="E146" s="95"/>
      <c r="F146" s="95"/>
      <c r="G146" s="95"/>
      <c r="H146" s="1212" t="s">
        <v>58</v>
      </c>
      <c r="I146" s="1211">
        <f>SUM(I144:I145)</f>
        <v>1.9300000000000002</v>
      </c>
      <c r="J146" s="95"/>
      <c r="K146" s="95"/>
      <c r="L146" s="95"/>
      <c r="M146" s="95"/>
      <c r="N146" s="95"/>
      <c r="O146" s="93"/>
    </row>
    <row r="147" spans="1:15" x14ac:dyDescent="0.25">
      <c r="A147" s="98"/>
      <c r="B147" s="95"/>
      <c r="C147" s="95"/>
      <c r="D147" s="95"/>
      <c r="E147" s="95"/>
      <c r="F147" s="95"/>
      <c r="G147" s="95"/>
      <c r="H147" s="523"/>
      <c r="I147" s="522"/>
      <c r="J147" s="95"/>
      <c r="K147" s="95"/>
      <c r="L147" s="95"/>
      <c r="M147" s="95"/>
      <c r="N147" s="95"/>
      <c r="O147" s="93"/>
    </row>
    <row r="148" spans="1:15" x14ac:dyDescent="0.25">
      <c r="A148" s="98"/>
      <c r="B148" s="95"/>
      <c r="C148" s="95"/>
      <c r="D148" s="95"/>
      <c r="E148" s="95"/>
      <c r="F148" s="95"/>
      <c r="G148" s="95"/>
      <c r="H148" s="523"/>
      <c r="I148" s="522"/>
      <c r="J148" s="95"/>
      <c r="K148" s="95"/>
      <c r="L148" s="95"/>
      <c r="M148" s="95"/>
      <c r="N148" s="95"/>
      <c r="O148" s="93"/>
    </row>
    <row r="149" spans="1:15" x14ac:dyDescent="0.25">
      <c r="A149" s="98"/>
      <c r="B149" s="95"/>
      <c r="C149" s="95"/>
      <c r="D149" s="95"/>
      <c r="E149" s="95"/>
      <c r="F149" s="95"/>
      <c r="G149" s="95"/>
      <c r="H149" s="523"/>
      <c r="I149" s="522"/>
      <c r="J149" s="95"/>
      <c r="K149" s="95"/>
      <c r="L149" s="95"/>
      <c r="M149" s="95"/>
      <c r="N149" s="95"/>
      <c r="O149" s="93"/>
    </row>
    <row r="150" spans="1:15" ht="15.75" thickBot="1" x14ac:dyDescent="0.3">
      <c r="A150" s="92"/>
      <c r="B150" s="91"/>
      <c r="C150" s="91"/>
      <c r="D150" s="91"/>
      <c r="E150" s="91"/>
      <c r="F150" s="91"/>
      <c r="G150" s="91"/>
      <c r="H150" s="91"/>
      <c r="I150" s="91"/>
      <c r="J150" s="91"/>
      <c r="K150" s="91"/>
      <c r="L150" s="91"/>
      <c r="M150" s="91"/>
      <c r="N150" s="91"/>
      <c r="O150" s="90"/>
    </row>
    <row r="151" spans="1:15" ht="15.75" thickBot="1" x14ac:dyDescent="0.3"/>
    <row r="152" spans="1:15" x14ac:dyDescent="0.25">
      <c r="A152" s="141"/>
      <c r="B152" s="140"/>
      <c r="C152" s="140"/>
      <c r="D152" s="140"/>
      <c r="E152" s="140"/>
      <c r="F152" s="140"/>
      <c r="G152" s="140"/>
      <c r="H152" s="140"/>
      <c r="I152" s="140"/>
      <c r="J152" s="140"/>
      <c r="K152" s="140"/>
      <c r="L152" s="140"/>
      <c r="M152" s="140"/>
      <c r="N152" s="140"/>
      <c r="O152" s="139"/>
    </row>
    <row r="153" spans="1:15" x14ac:dyDescent="0.25">
      <c r="A153" s="1219" t="s">
        <v>57</v>
      </c>
      <c r="B153" s="133" t="s">
        <v>523</v>
      </c>
      <c r="C153" s="94"/>
      <c r="D153" s="94"/>
      <c r="E153" s="94"/>
      <c r="F153" s="94"/>
      <c r="G153" s="94"/>
      <c r="H153" s="94"/>
      <c r="I153" s="94"/>
      <c r="J153" s="1221" t="s">
        <v>51</v>
      </c>
      <c r="K153" s="138">
        <v>81</v>
      </c>
      <c r="L153" s="94"/>
      <c r="M153" s="1219" t="s">
        <v>113</v>
      </c>
      <c r="N153" s="100">
        <f>EL_02001_m+EL_02001_p</f>
        <v>4.2757152000000005</v>
      </c>
      <c r="O153" s="93"/>
    </row>
    <row r="154" spans="1:15" x14ac:dyDescent="0.25">
      <c r="A154" s="1219" t="s">
        <v>125</v>
      </c>
      <c r="B154" s="133" t="s">
        <v>1975</v>
      </c>
      <c r="C154" s="94"/>
      <c r="D154" s="1219" t="s">
        <v>122</v>
      </c>
      <c r="E154" s="270" t="s">
        <v>522</v>
      </c>
      <c r="F154" s="94"/>
      <c r="G154" s="94"/>
      <c r="H154" s="94"/>
      <c r="I154" s="94"/>
      <c r="J154" s="94"/>
      <c r="K154" s="94"/>
      <c r="L154" s="94"/>
      <c r="M154" s="1219" t="s">
        <v>124</v>
      </c>
      <c r="N154" s="136">
        <v>1</v>
      </c>
      <c r="O154" s="93"/>
    </row>
    <row r="155" spans="1:15" x14ac:dyDescent="0.25">
      <c r="A155" s="1219" t="s">
        <v>123</v>
      </c>
      <c r="B155" s="270" t="str">
        <f>'EL Assemblies'!$B$90</f>
        <v>Battery Assembly</v>
      </c>
      <c r="C155" s="94"/>
      <c r="D155" s="1219" t="s">
        <v>119</v>
      </c>
      <c r="E155" s="94"/>
      <c r="F155" s="94"/>
      <c r="G155" s="94"/>
      <c r="H155" s="94"/>
      <c r="I155" s="94"/>
      <c r="J155" s="1220" t="s">
        <v>122</v>
      </c>
      <c r="K155" s="94"/>
      <c r="L155" s="94"/>
      <c r="M155" s="94"/>
      <c r="N155" s="94"/>
      <c r="O155" s="93"/>
    </row>
    <row r="156" spans="1:15" x14ac:dyDescent="0.25">
      <c r="A156" s="1219" t="s">
        <v>114</v>
      </c>
      <c r="B156" s="135" t="str">
        <f>'EL Assemblies'!B96</f>
        <v>Main battery mount</v>
      </c>
      <c r="C156" s="94"/>
      <c r="D156" s="1219" t="s">
        <v>116</v>
      </c>
      <c r="E156" s="94"/>
      <c r="F156" s="94"/>
      <c r="G156" s="94"/>
      <c r="H156" s="94"/>
      <c r="I156" s="94"/>
      <c r="J156" s="1220" t="s">
        <v>119</v>
      </c>
      <c r="K156" s="94"/>
      <c r="L156" s="94"/>
      <c r="M156" s="1219" t="s">
        <v>118</v>
      </c>
      <c r="N156" s="100">
        <f>N154*N153</f>
        <v>4.2757152000000005</v>
      </c>
      <c r="O156" s="93"/>
    </row>
    <row r="157" spans="1:15" x14ac:dyDescent="0.25">
      <c r="A157" s="1219" t="s">
        <v>121</v>
      </c>
      <c r="B157" s="269" t="s">
        <v>2140</v>
      </c>
      <c r="C157" s="94"/>
      <c r="D157" s="94"/>
      <c r="E157" s="94"/>
      <c r="F157" s="94"/>
      <c r="G157" s="94"/>
      <c r="H157" s="94"/>
      <c r="I157" s="94"/>
      <c r="J157" s="1220" t="s">
        <v>116</v>
      </c>
      <c r="K157" s="94"/>
      <c r="L157" s="94"/>
      <c r="M157" s="94"/>
      <c r="N157" s="94"/>
      <c r="O157" s="93"/>
    </row>
    <row r="158" spans="1:15" x14ac:dyDescent="0.25">
      <c r="A158" s="1219" t="s">
        <v>117</v>
      </c>
      <c r="B158" s="133" t="s">
        <v>23</v>
      </c>
      <c r="C158" s="94"/>
      <c r="D158" s="94"/>
      <c r="E158" s="94"/>
      <c r="F158" s="94"/>
      <c r="G158" s="94"/>
      <c r="H158" s="94"/>
      <c r="I158" s="94"/>
      <c r="J158" s="94"/>
      <c r="K158" s="94"/>
      <c r="L158" s="94"/>
      <c r="M158" s="94"/>
      <c r="N158" s="94"/>
      <c r="O158" s="93"/>
    </row>
    <row r="159" spans="1:15" x14ac:dyDescent="0.25">
      <c r="A159" s="1219" t="s">
        <v>115</v>
      </c>
      <c r="B159" s="133" t="s">
        <v>2139</v>
      </c>
      <c r="C159" s="94"/>
      <c r="D159" s="94"/>
      <c r="E159" s="94"/>
      <c r="F159" s="94"/>
      <c r="G159" s="94"/>
      <c r="H159" s="94"/>
      <c r="I159" s="94"/>
      <c r="J159" s="94"/>
      <c r="K159" s="94"/>
      <c r="L159" s="94"/>
      <c r="M159" s="94"/>
      <c r="N159" s="94"/>
      <c r="O159" s="93"/>
    </row>
    <row r="160" spans="1:15" x14ac:dyDescent="0.25">
      <c r="A160" s="266"/>
      <c r="B160" s="265"/>
      <c r="C160" s="265"/>
      <c r="D160" s="265"/>
      <c r="E160" s="265"/>
      <c r="F160" s="94"/>
      <c r="G160" s="94"/>
      <c r="H160" s="94"/>
      <c r="I160" s="94"/>
      <c r="J160" s="94"/>
      <c r="K160" s="94"/>
      <c r="L160" s="94"/>
      <c r="M160" s="94"/>
      <c r="N160" s="94"/>
      <c r="O160" s="93"/>
    </row>
    <row r="161" spans="1:15" x14ac:dyDescent="0.25">
      <c r="A161" s="1218" t="s">
        <v>67</v>
      </c>
      <c r="B161" s="1217" t="s">
        <v>112</v>
      </c>
      <c r="C161" s="1217" t="s">
        <v>66</v>
      </c>
      <c r="D161" s="1217" t="s">
        <v>65</v>
      </c>
      <c r="E161" s="1217" t="s">
        <v>81</v>
      </c>
      <c r="F161" s="1213" t="s">
        <v>80</v>
      </c>
      <c r="G161" s="1213" t="s">
        <v>79</v>
      </c>
      <c r="H161" s="1213" t="s">
        <v>78</v>
      </c>
      <c r="I161" s="1213" t="s">
        <v>111</v>
      </c>
      <c r="J161" s="1213" t="s">
        <v>110</v>
      </c>
      <c r="K161" s="1213" t="s">
        <v>109</v>
      </c>
      <c r="L161" s="1213" t="s">
        <v>108</v>
      </c>
      <c r="M161" s="1213" t="s">
        <v>40</v>
      </c>
      <c r="N161" s="1213" t="s">
        <v>58</v>
      </c>
      <c r="O161" s="93"/>
    </row>
    <row r="162" spans="1:15" ht="30" x14ac:dyDescent="0.25">
      <c r="A162" s="1077">
        <v>10</v>
      </c>
      <c r="B162" s="402" t="s">
        <v>942</v>
      </c>
      <c r="C162" s="296" t="s">
        <v>841</v>
      </c>
      <c r="D162" s="276">
        <v>4.2</v>
      </c>
      <c r="E162" s="296">
        <v>160</v>
      </c>
      <c r="F162" s="296" t="s">
        <v>68</v>
      </c>
      <c r="G162" s="296">
        <v>2</v>
      </c>
      <c r="H162" s="401" t="s">
        <v>68</v>
      </c>
      <c r="I162" s="700" t="s">
        <v>2138</v>
      </c>
      <c r="J162" s="1216">
        <v>3.2000000000000003E-4</v>
      </c>
      <c r="K162" s="398">
        <v>0.23</v>
      </c>
      <c r="L162" s="319">
        <v>2710</v>
      </c>
      <c r="M162" s="397">
        <v>1</v>
      </c>
      <c r="N162" s="276">
        <f>IF(J162="",D162*M162,D162*J162*K162*L162*M162)</f>
        <v>0.8377152000000001</v>
      </c>
      <c r="O162" s="143"/>
    </row>
    <row r="163" spans="1:15" x14ac:dyDescent="0.25">
      <c r="A163" s="98"/>
      <c r="B163" s="95"/>
      <c r="C163" s="95"/>
      <c r="D163" s="95"/>
      <c r="E163" s="95"/>
      <c r="F163" s="95"/>
      <c r="G163" s="95"/>
      <c r="H163" s="95"/>
      <c r="I163" s="95"/>
      <c r="J163" s="95"/>
      <c r="K163" s="95"/>
      <c r="L163" s="95"/>
      <c r="M163" s="1215" t="s">
        <v>58</v>
      </c>
      <c r="N163" s="1211">
        <f>SUM(N162:N162)</f>
        <v>0.8377152000000001</v>
      </c>
      <c r="O163" s="93"/>
    </row>
    <row r="164" spans="1:15" x14ac:dyDescent="0.25">
      <c r="A164" s="107"/>
      <c r="B164" s="94"/>
      <c r="C164" s="94"/>
      <c r="D164" s="94"/>
      <c r="E164" s="94"/>
      <c r="F164" s="94"/>
      <c r="G164" s="94"/>
      <c r="H164" s="94"/>
      <c r="I164" s="94"/>
      <c r="J164" s="94"/>
      <c r="K164" s="94"/>
      <c r="L164" s="94"/>
      <c r="M164" s="94"/>
      <c r="N164" s="94"/>
      <c r="O164" s="93"/>
    </row>
    <row r="165" spans="1:15" x14ac:dyDescent="0.25">
      <c r="A165" s="1214" t="s">
        <v>67</v>
      </c>
      <c r="B165" s="1213" t="s">
        <v>106</v>
      </c>
      <c r="C165" s="1213" t="s">
        <v>66</v>
      </c>
      <c r="D165" s="1213" t="s">
        <v>65</v>
      </c>
      <c r="E165" s="1213" t="s">
        <v>64</v>
      </c>
      <c r="F165" s="1213" t="s">
        <v>40</v>
      </c>
      <c r="G165" s="1213" t="s">
        <v>105</v>
      </c>
      <c r="H165" s="1213" t="s">
        <v>104</v>
      </c>
      <c r="I165" s="1213" t="s">
        <v>58</v>
      </c>
      <c r="J165" s="95"/>
      <c r="K165" s="95"/>
      <c r="L165" s="95"/>
      <c r="M165" s="95"/>
      <c r="N165" s="95"/>
      <c r="O165" s="93"/>
    </row>
    <row r="166" spans="1:15" x14ac:dyDescent="0.25">
      <c r="A166" s="1072">
        <v>10</v>
      </c>
      <c r="B166" s="564" t="s">
        <v>516</v>
      </c>
      <c r="C166" s="367" t="s">
        <v>802</v>
      </c>
      <c r="D166" s="293">
        <v>1.3</v>
      </c>
      <c r="E166" s="564" t="s">
        <v>64</v>
      </c>
      <c r="F166" s="367">
        <v>1</v>
      </c>
      <c r="G166" s="367"/>
      <c r="H166" s="367"/>
      <c r="I166" s="293">
        <f>IF(H166="",D166*F166,D166*F166*H166)</f>
        <v>1.3</v>
      </c>
      <c r="J166" s="142"/>
      <c r="K166" s="142"/>
      <c r="L166" s="142"/>
      <c r="M166" s="142"/>
      <c r="N166" s="142"/>
      <c r="O166" s="120"/>
    </row>
    <row r="167" spans="1:15" ht="30" x14ac:dyDescent="0.25">
      <c r="A167" s="1071">
        <v>20</v>
      </c>
      <c r="B167" s="564" t="s">
        <v>541</v>
      </c>
      <c r="C167" s="325" t="s">
        <v>834</v>
      </c>
      <c r="D167" s="276">
        <v>0.01</v>
      </c>
      <c r="E167" s="325" t="s">
        <v>101</v>
      </c>
      <c r="F167" s="565">
        <v>163.80000000000001</v>
      </c>
      <c r="G167" s="564" t="s">
        <v>870</v>
      </c>
      <c r="H167" s="299">
        <v>1</v>
      </c>
      <c r="I167" s="276">
        <f>IF(H167="",D167*F167,D167*F167*H167)</f>
        <v>1.6380000000000001</v>
      </c>
      <c r="J167" s="94"/>
      <c r="K167" s="94"/>
      <c r="L167" s="94"/>
      <c r="M167" s="94"/>
      <c r="N167" s="94"/>
      <c r="O167" s="93"/>
    </row>
    <row r="168" spans="1:15" x14ac:dyDescent="0.25">
      <c r="A168" s="1069">
        <v>30</v>
      </c>
      <c r="B168" s="564" t="s">
        <v>539</v>
      </c>
      <c r="C168" s="299"/>
      <c r="D168" s="276">
        <v>0.25</v>
      </c>
      <c r="E168" s="564" t="s">
        <v>537</v>
      </c>
      <c r="F168" s="299">
        <v>2</v>
      </c>
      <c r="G168" s="299"/>
      <c r="H168" s="299"/>
      <c r="I168" s="276">
        <f>IF(H168="",D168*F168,D168*F168*H168)</f>
        <v>0.5</v>
      </c>
      <c r="J168" s="99"/>
      <c r="K168" s="99"/>
      <c r="L168" s="99"/>
      <c r="M168" s="99"/>
      <c r="N168" s="99"/>
      <c r="O168" s="130"/>
    </row>
    <row r="169" spans="1:15" x14ac:dyDescent="0.25">
      <c r="A169" s="98"/>
      <c r="B169" s="95"/>
      <c r="C169" s="95"/>
      <c r="D169" s="95"/>
      <c r="E169" s="95"/>
      <c r="F169" s="95"/>
      <c r="G169" s="95"/>
      <c r="H169" s="1212" t="s">
        <v>58</v>
      </c>
      <c r="I169" s="1211">
        <f>SUM(I166:I168)</f>
        <v>3.4380000000000002</v>
      </c>
      <c r="J169" s="95"/>
      <c r="K169" s="95"/>
      <c r="L169" s="95"/>
      <c r="M169" s="95"/>
      <c r="N169" s="95"/>
      <c r="O169" s="93"/>
    </row>
    <row r="170" spans="1:15" x14ac:dyDescent="0.25">
      <c r="A170" s="98"/>
      <c r="B170" s="95"/>
      <c r="C170" s="95"/>
      <c r="D170" s="95"/>
      <c r="E170" s="95"/>
      <c r="F170" s="95"/>
      <c r="G170" s="95"/>
      <c r="H170" s="523"/>
      <c r="I170" s="522"/>
      <c r="J170" s="95"/>
      <c r="K170" s="95"/>
      <c r="L170" s="95"/>
      <c r="M170" s="95"/>
      <c r="N170" s="95"/>
      <c r="O170" s="93"/>
    </row>
    <row r="171" spans="1:15" x14ac:dyDescent="0.25">
      <c r="A171" s="98"/>
      <c r="B171" s="95"/>
      <c r="C171" s="95"/>
      <c r="D171" s="95"/>
      <c r="E171" s="95"/>
      <c r="F171" s="95"/>
      <c r="G171" s="95"/>
      <c r="H171" s="523"/>
      <c r="I171" s="522"/>
      <c r="J171" s="95"/>
      <c r="K171" s="95"/>
      <c r="L171" s="95"/>
      <c r="M171" s="95"/>
      <c r="N171" s="95"/>
      <c r="O171" s="93"/>
    </row>
    <row r="172" spans="1:15" x14ac:dyDescent="0.25">
      <c r="A172" s="98"/>
      <c r="B172" s="95"/>
      <c r="C172" s="95"/>
      <c r="D172" s="95"/>
      <c r="E172" s="95"/>
      <c r="F172" s="95"/>
      <c r="G172" s="95"/>
      <c r="H172" s="523"/>
      <c r="I172" s="522"/>
      <c r="J172" s="95"/>
      <c r="K172" s="95"/>
      <c r="L172" s="95"/>
      <c r="M172" s="95"/>
      <c r="N172" s="95"/>
      <c r="O172" s="93"/>
    </row>
    <row r="173" spans="1:15" x14ac:dyDescent="0.25">
      <c r="A173" s="98"/>
      <c r="B173" s="95"/>
      <c r="C173" s="95"/>
      <c r="D173" s="95"/>
      <c r="E173" s="95"/>
      <c r="F173" s="95"/>
      <c r="G173" s="95"/>
      <c r="H173" s="523"/>
      <c r="I173" s="522"/>
      <c r="J173" s="95"/>
      <c r="K173" s="95"/>
      <c r="L173" s="95"/>
      <c r="M173" s="95"/>
      <c r="N173" s="95"/>
      <c r="O173" s="93"/>
    </row>
    <row r="174" spans="1:15" x14ac:dyDescent="0.25">
      <c r="A174" s="98"/>
      <c r="B174" s="95"/>
      <c r="C174" s="95"/>
      <c r="D174" s="95"/>
      <c r="E174" s="95"/>
      <c r="F174" s="95"/>
      <c r="G174" s="95"/>
      <c r="H174" s="523"/>
      <c r="I174" s="522"/>
      <c r="J174" s="95"/>
      <c r="K174" s="95"/>
      <c r="L174" s="95"/>
      <c r="M174" s="95"/>
      <c r="N174" s="95"/>
      <c r="O174" s="93"/>
    </row>
    <row r="175" spans="1:15" x14ac:dyDescent="0.25">
      <c r="A175" s="98"/>
      <c r="B175" s="95"/>
      <c r="C175" s="95"/>
      <c r="D175" s="95"/>
      <c r="E175" s="95"/>
      <c r="F175" s="95"/>
      <c r="G175" s="95"/>
      <c r="H175" s="523"/>
      <c r="I175" s="522"/>
      <c r="J175" s="95"/>
      <c r="K175" s="95"/>
      <c r="L175" s="95"/>
      <c r="M175" s="95"/>
      <c r="N175" s="95"/>
      <c r="O175" s="93"/>
    </row>
    <row r="176" spans="1:15" ht="15.75" thickBot="1" x14ac:dyDescent="0.3">
      <c r="A176" s="92"/>
      <c r="B176" s="91"/>
      <c r="C176" s="91"/>
      <c r="D176" s="91"/>
      <c r="E176" s="91"/>
      <c r="F176" s="91"/>
      <c r="G176" s="91"/>
      <c r="H176" s="91"/>
      <c r="I176" s="91"/>
      <c r="J176" s="91"/>
      <c r="K176" s="91"/>
      <c r="L176" s="91"/>
      <c r="M176" s="91"/>
      <c r="N176" s="91"/>
      <c r="O176" s="90"/>
    </row>
    <row r="177" spans="1:15" ht="15.75" thickBot="1" x14ac:dyDescent="0.3"/>
    <row r="178" spans="1:15" x14ac:dyDescent="0.25">
      <c r="A178" s="141"/>
      <c r="B178" s="140"/>
      <c r="C178" s="140"/>
      <c r="D178" s="140"/>
      <c r="E178" s="140"/>
      <c r="F178" s="140"/>
      <c r="G178" s="140"/>
      <c r="H178" s="140"/>
      <c r="I178" s="140"/>
      <c r="J178" s="140"/>
      <c r="K178" s="140"/>
      <c r="L178" s="140"/>
      <c r="M178" s="140"/>
      <c r="N178" s="140"/>
      <c r="O178" s="139"/>
    </row>
    <row r="179" spans="1:15" x14ac:dyDescent="0.25">
      <c r="A179" s="1219" t="s">
        <v>57</v>
      </c>
      <c r="B179" s="133" t="s">
        <v>523</v>
      </c>
      <c r="C179" s="94"/>
      <c r="D179" s="94"/>
      <c r="E179" s="94"/>
      <c r="F179" s="94"/>
      <c r="G179" s="94"/>
      <c r="H179" s="94"/>
      <c r="I179" s="94"/>
      <c r="J179" s="1221" t="s">
        <v>51</v>
      </c>
      <c r="K179" s="138">
        <v>81</v>
      </c>
      <c r="L179" s="94"/>
      <c r="M179" s="1219" t="s">
        <v>113</v>
      </c>
      <c r="N179" s="100">
        <f>EL_02002_m+EL_02002_p</f>
        <v>3.12764</v>
      </c>
      <c r="O179" s="93"/>
    </row>
    <row r="180" spans="1:15" x14ac:dyDescent="0.25">
      <c r="A180" s="1219" t="s">
        <v>125</v>
      </c>
      <c r="B180" s="133" t="s">
        <v>1975</v>
      </c>
      <c r="C180" s="94"/>
      <c r="D180" s="1219" t="s">
        <v>122</v>
      </c>
      <c r="E180" s="270" t="s">
        <v>522</v>
      </c>
      <c r="F180" s="94"/>
      <c r="G180" s="94"/>
      <c r="H180" s="94"/>
      <c r="I180" s="94"/>
      <c r="J180" s="94"/>
      <c r="K180" s="94"/>
      <c r="L180" s="94"/>
      <c r="M180" s="1219" t="s">
        <v>124</v>
      </c>
      <c r="N180" s="136">
        <v>2</v>
      </c>
      <c r="O180" s="93"/>
    </row>
    <row r="181" spans="1:15" x14ac:dyDescent="0.25">
      <c r="A181" s="1219" t="s">
        <v>123</v>
      </c>
      <c r="B181" s="270" t="str">
        <f>'EL Assemblies'!$B$90</f>
        <v>Battery Assembly</v>
      </c>
      <c r="C181" s="94"/>
      <c r="D181" s="1219" t="s">
        <v>119</v>
      </c>
      <c r="E181" s="94"/>
      <c r="F181" s="94"/>
      <c r="G181" s="94"/>
      <c r="H181" s="94"/>
      <c r="I181" s="94"/>
      <c r="J181" s="1220" t="s">
        <v>122</v>
      </c>
      <c r="K181" s="94"/>
      <c r="L181" s="94"/>
      <c r="M181" s="94"/>
      <c r="N181" s="94"/>
      <c r="O181" s="93"/>
    </row>
    <row r="182" spans="1:15" x14ac:dyDescent="0.25">
      <c r="A182" s="1219" t="s">
        <v>114</v>
      </c>
      <c r="B182" s="135" t="str">
        <f>'EL Assemblies'!B97</f>
        <v>Side battery mount</v>
      </c>
      <c r="C182" s="94"/>
      <c r="D182" s="1219" t="s">
        <v>116</v>
      </c>
      <c r="E182" s="94"/>
      <c r="F182" s="94"/>
      <c r="G182" s="94"/>
      <c r="H182" s="94"/>
      <c r="I182" s="94"/>
      <c r="J182" s="1220" t="s">
        <v>119</v>
      </c>
      <c r="K182" s="94"/>
      <c r="L182" s="94"/>
      <c r="M182" s="1219" t="s">
        <v>118</v>
      </c>
      <c r="N182" s="100">
        <f>N180*N179</f>
        <v>6.25528</v>
      </c>
      <c r="O182" s="93"/>
    </row>
    <row r="183" spans="1:15" x14ac:dyDescent="0.25">
      <c r="A183" s="1219" t="s">
        <v>121</v>
      </c>
      <c r="B183" s="269" t="s">
        <v>2137</v>
      </c>
      <c r="C183" s="94"/>
      <c r="D183" s="94"/>
      <c r="E183" s="94"/>
      <c r="F183" s="94"/>
      <c r="G183" s="94"/>
      <c r="H183" s="94"/>
      <c r="I183" s="94"/>
      <c r="J183" s="1220" t="s">
        <v>116</v>
      </c>
      <c r="K183" s="94"/>
      <c r="L183" s="94"/>
      <c r="M183" s="94"/>
      <c r="N183" s="94"/>
      <c r="O183" s="93"/>
    </row>
    <row r="184" spans="1:15" x14ac:dyDescent="0.25">
      <c r="A184" s="1219" t="s">
        <v>117</v>
      </c>
      <c r="B184" s="133" t="s">
        <v>23</v>
      </c>
      <c r="C184" s="94"/>
      <c r="D184" s="94"/>
      <c r="E184" s="94"/>
      <c r="F184" s="94"/>
      <c r="G184" s="94"/>
      <c r="H184" s="94"/>
      <c r="I184" s="94"/>
      <c r="J184" s="94"/>
      <c r="K184" s="94"/>
      <c r="L184" s="94"/>
      <c r="M184" s="94"/>
      <c r="N184" s="94"/>
      <c r="O184" s="93"/>
    </row>
    <row r="185" spans="1:15" x14ac:dyDescent="0.25">
      <c r="A185" s="1219" t="s">
        <v>115</v>
      </c>
      <c r="B185" s="133" t="s">
        <v>2136</v>
      </c>
      <c r="C185" s="94"/>
      <c r="D185" s="94"/>
      <c r="E185" s="94"/>
      <c r="F185" s="94"/>
      <c r="G185" s="94"/>
      <c r="H185" s="94"/>
      <c r="I185" s="94"/>
      <c r="J185" s="94"/>
      <c r="K185" s="94"/>
      <c r="L185" s="94"/>
      <c r="M185" s="94"/>
      <c r="N185" s="94"/>
      <c r="O185" s="93"/>
    </row>
    <row r="186" spans="1:15" x14ac:dyDescent="0.25">
      <c r="A186" s="266"/>
      <c r="B186" s="265"/>
      <c r="C186" s="265"/>
      <c r="D186" s="265"/>
      <c r="E186" s="265"/>
      <c r="F186" s="94"/>
      <c r="G186" s="94"/>
      <c r="H186" s="94"/>
      <c r="I186" s="94"/>
      <c r="J186" s="94"/>
      <c r="K186" s="94"/>
      <c r="L186" s="94"/>
      <c r="M186" s="94"/>
      <c r="N186" s="94"/>
      <c r="O186" s="93"/>
    </row>
    <row r="187" spans="1:15" x14ac:dyDescent="0.25">
      <c r="A187" s="1218" t="s">
        <v>67</v>
      </c>
      <c r="B187" s="1217" t="s">
        <v>112</v>
      </c>
      <c r="C187" s="1217" t="s">
        <v>66</v>
      </c>
      <c r="D187" s="1217" t="s">
        <v>65</v>
      </c>
      <c r="E187" s="1217" t="s">
        <v>81</v>
      </c>
      <c r="F187" s="1213" t="s">
        <v>80</v>
      </c>
      <c r="G187" s="1213" t="s">
        <v>79</v>
      </c>
      <c r="H187" s="1213" t="s">
        <v>78</v>
      </c>
      <c r="I187" s="1213" t="s">
        <v>111</v>
      </c>
      <c r="J187" s="1213" t="s">
        <v>110</v>
      </c>
      <c r="K187" s="1213" t="s">
        <v>109</v>
      </c>
      <c r="L187" s="1213" t="s">
        <v>108</v>
      </c>
      <c r="M187" s="1213" t="s">
        <v>40</v>
      </c>
      <c r="N187" s="1213" t="s">
        <v>58</v>
      </c>
      <c r="O187" s="93"/>
    </row>
    <row r="188" spans="1:15" ht="30" x14ac:dyDescent="0.25">
      <c r="A188" s="1077">
        <v>10</v>
      </c>
      <c r="B188" s="402" t="s">
        <v>942</v>
      </c>
      <c r="C188" s="296" t="s">
        <v>841</v>
      </c>
      <c r="D188" s="276">
        <v>4.2</v>
      </c>
      <c r="E188" s="296">
        <v>100</v>
      </c>
      <c r="F188" s="296" t="s">
        <v>68</v>
      </c>
      <c r="G188" s="296">
        <v>2</v>
      </c>
      <c r="H188" s="401" t="s">
        <v>68</v>
      </c>
      <c r="I188" s="700" t="s">
        <v>2135</v>
      </c>
      <c r="J188" s="1216">
        <v>2.0000000000000001E-4</v>
      </c>
      <c r="K188" s="398">
        <v>0.1</v>
      </c>
      <c r="L188" s="319">
        <v>2710</v>
      </c>
      <c r="M188" s="397">
        <v>1</v>
      </c>
      <c r="N188" s="276">
        <f>IF(J188="",D188*M188,D188*J188*K188*L188*M188)</f>
        <v>0.22764000000000004</v>
      </c>
      <c r="O188" s="143"/>
    </row>
    <row r="189" spans="1:15" x14ac:dyDescent="0.25">
      <c r="A189" s="98"/>
      <c r="B189" s="95"/>
      <c r="C189" s="95"/>
      <c r="D189" s="95"/>
      <c r="E189" s="95"/>
      <c r="F189" s="95"/>
      <c r="G189" s="95"/>
      <c r="H189" s="95"/>
      <c r="I189" s="95"/>
      <c r="J189" s="95"/>
      <c r="K189" s="95"/>
      <c r="L189" s="95"/>
      <c r="M189" s="1215" t="s">
        <v>58</v>
      </c>
      <c r="N189" s="1211">
        <f>SUM(N188:N188)</f>
        <v>0.22764000000000004</v>
      </c>
      <c r="O189" s="93"/>
    </row>
    <row r="190" spans="1:15" x14ac:dyDescent="0.25">
      <c r="A190" s="107"/>
      <c r="B190" s="94"/>
      <c r="C190" s="94"/>
      <c r="D190" s="94"/>
      <c r="E190" s="94"/>
      <c r="F190" s="94"/>
      <c r="G190" s="94"/>
      <c r="H190" s="94"/>
      <c r="I190" s="94"/>
      <c r="J190" s="94"/>
      <c r="K190" s="94"/>
      <c r="L190" s="94"/>
      <c r="M190" s="94"/>
      <c r="N190" s="94"/>
      <c r="O190" s="93"/>
    </row>
    <row r="191" spans="1:15" x14ac:dyDescent="0.25">
      <c r="A191" s="1214" t="s">
        <v>67</v>
      </c>
      <c r="B191" s="1213" t="s">
        <v>106</v>
      </c>
      <c r="C191" s="1213" t="s">
        <v>66</v>
      </c>
      <c r="D191" s="1213" t="s">
        <v>65</v>
      </c>
      <c r="E191" s="1213" t="s">
        <v>64</v>
      </c>
      <c r="F191" s="1213" t="s">
        <v>40</v>
      </c>
      <c r="G191" s="1213" t="s">
        <v>105</v>
      </c>
      <c r="H191" s="1213" t="s">
        <v>104</v>
      </c>
      <c r="I191" s="1213" t="s">
        <v>58</v>
      </c>
      <c r="J191" s="95"/>
      <c r="K191" s="95"/>
      <c r="L191" s="95"/>
      <c r="M191" s="95"/>
      <c r="N191" s="95"/>
      <c r="O191" s="93"/>
    </row>
    <row r="192" spans="1:15" x14ac:dyDescent="0.25">
      <c r="A192" s="1072">
        <v>10</v>
      </c>
      <c r="B192" s="564" t="s">
        <v>516</v>
      </c>
      <c r="C192" s="367" t="s">
        <v>802</v>
      </c>
      <c r="D192" s="293">
        <v>1.3</v>
      </c>
      <c r="E192" s="564" t="s">
        <v>64</v>
      </c>
      <c r="F192" s="367">
        <v>1</v>
      </c>
      <c r="G192" s="367"/>
      <c r="H192" s="367"/>
      <c r="I192" s="293">
        <f>IF(H192="",D192*F192,D192*F192*H192)</f>
        <v>1.3</v>
      </c>
      <c r="J192" s="142"/>
      <c r="K192" s="142"/>
      <c r="L192" s="142"/>
      <c r="M192" s="142"/>
      <c r="N192" s="142"/>
      <c r="O192" s="120"/>
    </row>
    <row r="193" spans="1:15" ht="30" x14ac:dyDescent="0.25">
      <c r="A193" s="1071">
        <v>20</v>
      </c>
      <c r="B193" s="564" t="s">
        <v>541</v>
      </c>
      <c r="C193" s="325" t="s">
        <v>834</v>
      </c>
      <c r="D193" s="276">
        <v>0.01</v>
      </c>
      <c r="E193" s="325" t="s">
        <v>101</v>
      </c>
      <c r="F193" s="565">
        <v>60</v>
      </c>
      <c r="G193" s="564" t="s">
        <v>870</v>
      </c>
      <c r="H193" s="299">
        <v>1</v>
      </c>
      <c r="I193" s="293">
        <f>IF(H193="",D193*F193,D193*F193*H193)</f>
        <v>0.6</v>
      </c>
      <c r="J193" s="94"/>
      <c r="K193" s="94"/>
      <c r="L193" s="94"/>
      <c r="M193" s="94"/>
      <c r="N193" s="94"/>
      <c r="O193" s="93"/>
    </row>
    <row r="194" spans="1:15" x14ac:dyDescent="0.25">
      <c r="A194" s="1069">
        <v>30</v>
      </c>
      <c r="B194" s="564" t="s">
        <v>539</v>
      </c>
      <c r="C194" s="299"/>
      <c r="D194" s="276">
        <v>0.25</v>
      </c>
      <c r="E194" s="564" t="s">
        <v>537</v>
      </c>
      <c r="F194" s="299">
        <v>4</v>
      </c>
      <c r="G194" s="299"/>
      <c r="H194" s="299"/>
      <c r="I194" s="276">
        <f>IF(H194="",D194*F194,D194*F194*H194)</f>
        <v>1</v>
      </c>
      <c r="J194" s="99"/>
      <c r="K194" s="99"/>
      <c r="L194" s="99"/>
      <c r="M194" s="99"/>
      <c r="N194" s="99"/>
      <c r="O194" s="130"/>
    </row>
    <row r="195" spans="1:15" x14ac:dyDescent="0.25">
      <c r="A195" s="98"/>
      <c r="B195" s="95"/>
      <c r="C195" s="95"/>
      <c r="D195" s="95"/>
      <c r="E195" s="95"/>
      <c r="F195" s="95"/>
      <c r="G195" s="95"/>
      <c r="H195" s="1212" t="s">
        <v>58</v>
      </c>
      <c r="I195" s="1211">
        <f>SUM(I192:I194)</f>
        <v>2.9</v>
      </c>
      <c r="J195" s="95"/>
      <c r="K195" s="95"/>
      <c r="L195" s="95"/>
      <c r="M195" s="95"/>
      <c r="N195" s="95"/>
      <c r="O195" s="93"/>
    </row>
    <row r="196" spans="1:15" x14ac:dyDescent="0.25">
      <c r="A196" s="98"/>
      <c r="B196" s="95"/>
      <c r="C196" s="95"/>
      <c r="D196" s="95"/>
      <c r="E196" s="95"/>
      <c r="F196" s="95"/>
      <c r="G196" s="95"/>
      <c r="H196" s="523"/>
      <c r="I196" s="522"/>
      <c r="J196" s="95"/>
      <c r="K196" s="95"/>
      <c r="L196" s="95"/>
      <c r="M196" s="95"/>
      <c r="N196" s="95"/>
      <c r="O196" s="93"/>
    </row>
    <row r="197" spans="1:15" x14ac:dyDescent="0.25">
      <c r="A197" s="98"/>
      <c r="B197" s="95"/>
      <c r="C197" s="95"/>
      <c r="D197" s="95"/>
      <c r="E197" s="95"/>
      <c r="F197" s="95"/>
      <c r="G197" s="95"/>
      <c r="H197" s="523"/>
      <c r="I197" s="522"/>
      <c r="J197" s="95"/>
      <c r="K197" s="95"/>
      <c r="L197" s="95"/>
      <c r="M197" s="95"/>
      <c r="N197" s="95"/>
      <c r="O197" s="93"/>
    </row>
    <row r="198" spans="1:15" x14ac:dyDescent="0.25">
      <c r="A198" s="98"/>
      <c r="B198" s="95"/>
      <c r="C198" s="95"/>
      <c r="D198" s="95"/>
      <c r="E198" s="95"/>
      <c r="F198" s="95"/>
      <c r="G198" s="95"/>
      <c r="H198" s="523"/>
      <c r="I198" s="522"/>
      <c r="J198" s="95"/>
      <c r="K198" s="95"/>
      <c r="L198" s="95"/>
      <c r="M198" s="95"/>
      <c r="N198" s="95"/>
      <c r="O198" s="93"/>
    </row>
    <row r="199" spans="1:15" x14ac:dyDescent="0.25">
      <c r="A199" s="98"/>
      <c r="B199" s="95"/>
      <c r="C199" s="95"/>
      <c r="D199" s="95"/>
      <c r="E199" s="95"/>
      <c r="F199" s="95"/>
      <c r="G199" s="95"/>
      <c r="H199" s="523"/>
      <c r="I199" s="522"/>
      <c r="J199" s="95"/>
      <c r="K199" s="95"/>
      <c r="L199" s="95"/>
      <c r="M199" s="95"/>
      <c r="N199" s="95"/>
      <c r="O199" s="93"/>
    </row>
    <row r="200" spans="1:15" x14ac:dyDescent="0.25">
      <c r="A200" s="98"/>
      <c r="B200" s="95"/>
      <c r="C200" s="95"/>
      <c r="D200" s="95"/>
      <c r="E200" s="95"/>
      <c r="F200" s="95"/>
      <c r="G200" s="95"/>
      <c r="H200" s="523"/>
      <c r="I200" s="522"/>
      <c r="J200" s="95"/>
      <c r="K200" s="95"/>
      <c r="L200" s="95"/>
      <c r="M200" s="95"/>
      <c r="N200" s="95"/>
      <c r="O200" s="93"/>
    </row>
    <row r="201" spans="1:15" x14ac:dyDescent="0.25">
      <c r="A201" s="98"/>
      <c r="B201" s="95"/>
      <c r="C201" s="95"/>
      <c r="D201" s="95"/>
      <c r="E201" s="95"/>
      <c r="F201" s="95"/>
      <c r="G201" s="95"/>
      <c r="H201" s="523"/>
      <c r="I201" s="522"/>
      <c r="J201" s="95"/>
      <c r="K201" s="95"/>
      <c r="L201" s="95"/>
      <c r="M201" s="95"/>
      <c r="N201" s="95"/>
      <c r="O201" s="93"/>
    </row>
    <row r="202" spans="1:15" ht="15.75" thickBot="1" x14ac:dyDescent="0.3">
      <c r="A202" s="92"/>
      <c r="B202" s="91"/>
      <c r="C202" s="91"/>
      <c r="D202" s="91"/>
      <c r="E202" s="91"/>
      <c r="F202" s="91"/>
      <c r="G202" s="91"/>
      <c r="H202" s="91"/>
      <c r="I202" s="91"/>
      <c r="J202" s="91"/>
      <c r="K202" s="91"/>
      <c r="L202" s="91"/>
      <c r="M202" s="91"/>
      <c r="N202" s="91"/>
      <c r="O202" s="90"/>
    </row>
    <row r="203" spans="1:15" ht="15.75" thickBot="1" x14ac:dyDescent="0.3"/>
    <row r="204" spans="1:15" x14ac:dyDescent="0.25">
      <c r="A204" s="141"/>
      <c r="B204" s="140"/>
      <c r="C204" s="140"/>
      <c r="D204" s="140"/>
      <c r="E204" s="140"/>
      <c r="F204" s="140"/>
      <c r="G204" s="140"/>
      <c r="H204" s="140"/>
      <c r="I204" s="140"/>
      <c r="J204" s="140"/>
      <c r="K204" s="140"/>
      <c r="L204" s="140"/>
      <c r="M204" s="140"/>
      <c r="N204" s="140"/>
      <c r="O204" s="139"/>
    </row>
    <row r="205" spans="1:15" x14ac:dyDescent="0.25">
      <c r="A205" s="1219" t="s">
        <v>57</v>
      </c>
      <c r="B205" s="133" t="s">
        <v>523</v>
      </c>
      <c r="C205" s="94"/>
      <c r="D205" s="94"/>
      <c r="E205" s="94"/>
      <c r="F205" s="94"/>
      <c r="G205" s="94"/>
      <c r="H205" s="94"/>
      <c r="I205" s="94"/>
      <c r="J205" s="1221" t="s">
        <v>51</v>
      </c>
      <c r="K205" s="138">
        <v>81</v>
      </c>
      <c r="L205" s="94"/>
      <c r="M205" s="1219" t="s">
        <v>113</v>
      </c>
      <c r="N205" s="100">
        <f>EL_02003_m+EL_02003_p</f>
        <v>1.561561</v>
      </c>
      <c r="O205" s="93"/>
    </row>
    <row r="206" spans="1:15" x14ac:dyDescent="0.25">
      <c r="A206" s="1219" t="s">
        <v>125</v>
      </c>
      <c r="B206" s="133" t="s">
        <v>1975</v>
      </c>
      <c r="C206" s="94"/>
      <c r="D206" s="1219" t="s">
        <v>122</v>
      </c>
      <c r="E206" s="270" t="s">
        <v>522</v>
      </c>
      <c r="F206" s="94"/>
      <c r="G206" s="94"/>
      <c r="H206" s="94"/>
      <c r="I206" s="94"/>
      <c r="J206" s="94"/>
      <c r="K206" s="94"/>
      <c r="L206" s="94"/>
      <c r="M206" s="1219" t="s">
        <v>124</v>
      </c>
      <c r="N206" s="136">
        <v>5</v>
      </c>
      <c r="O206" s="93"/>
    </row>
    <row r="207" spans="1:15" x14ac:dyDescent="0.25">
      <c r="A207" s="1219" t="s">
        <v>123</v>
      </c>
      <c r="B207" s="270" t="str">
        <f>'EL Assemblies'!$B$90</f>
        <v>Battery Assembly</v>
      </c>
      <c r="C207" s="94"/>
      <c r="D207" s="1219" t="s">
        <v>119</v>
      </c>
      <c r="E207" s="94"/>
      <c r="F207" s="94"/>
      <c r="G207" s="94"/>
      <c r="H207" s="94"/>
      <c r="I207" s="94"/>
      <c r="J207" s="1220" t="s">
        <v>122</v>
      </c>
      <c r="K207" s="94"/>
      <c r="L207" s="94"/>
      <c r="M207" s="94"/>
      <c r="N207" s="94"/>
      <c r="O207" s="93"/>
    </row>
    <row r="208" spans="1:15" x14ac:dyDescent="0.25">
      <c r="A208" s="1219" t="s">
        <v>114</v>
      </c>
      <c r="B208" s="135" t="str">
        <f>'EL Assemblies'!B98</f>
        <v>Front tab</v>
      </c>
      <c r="C208" s="94"/>
      <c r="D208" s="1219" t="s">
        <v>116</v>
      </c>
      <c r="E208" s="94"/>
      <c r="F208" s="94"/>
      <c r="G208" s="94"/>
      <c r="H208" s="94"/>
      <c r="I208" s="94"/>
      <c r="J208" s="1220" t="s">
        <v>119</v>
      </c>
      <c r="K208" s="94"/>
      <c r="L208" s="94"/>
      <c r="M208" s="1219" t="s">
        <v>118</v>
      </c>
      <c r="N208" s="100">
        <f>N206*N205</f>
        <v>7.8078050000000001</v>
      </c>
      <c r="O208" s="93"/>
    </row>
    <row r="209" spans="1:15" x14ac:dyDescent="0.25">
      <c r="A209" s="1219" t="s">
        <v>121</v>
      </c>
      <c r="B209" s="269" t="s">
        <v>2134</v>
      </c>
      <c r="C209" s="94"/>
      <c r="D209" s="94"/>
      <c r="E209" s="94"/>
      <c r="F209" s="94"/>
      <c r="G209" s="94"/>
      <c r="H209" s="94"/>
      <c r="I209" s="94"/>
      <c r="J209" s="1220" t="s">
        <v>116</v>
      </c>
      <c r="K209" s="94"/>
      <c r="L209" s="94"/>
      <c r="M209" s="94"/>
      <c r="N209" s="94"/>
      <c r="O209" s="93"/>
    </row>
    <row r="210" spans="1:15" x14ac:dyDescent="0.25">
      <c r="A210" s="1219" t="s">
        <v>117</v>
      </c>
      <c r="B210" s="133" t="s">
        <v>23</v>
      </c>
      <c r="C210" s="94"/>
      <c r="D210" s="94"/>
      <c r="E210" s="94"/>
      <c r="F210" s="94"/>
      <c r="G210" s="94"/>
      <c r="H210" s="94"/>
      <c r="I210" s="94"/>
      <c r="J210" s="94"/>
      <c r="K210" s="94"/>
      <c r="L210" s="94"/>
      <c r="M210" s="94"/>
      <c r="N210" s="94"/>
      <c r="O210" s="93"/>
    </row>
    <row r="211" spans="1:15" x14ac:dyDescent="0.25">
      <c r="A211" s="1219" t="s">
        <v>115</v>
      </c>
      <c r="B211" s="133" t="s">
        <v>2133</v>
      </c>
      <c r="C211" s="94"/>
      <c r="D211" s="94"/>
      <c r="E211" s="94"/>
      <c r="F211" s="94"/>
      <c r="G211" s="94"/>
      <c r="H211" s="94"/>
      <c r="I211" s="94"/>
      <c r="J211" s="94"/>
      <c r="K211" s="94"/>
      <c r="L211" s="94"/>
      <c r="M211" s="94"/>
      <c r="N211" s="94"/>
      <c r="O211" s="93"/>
    </row>
    <row r="212" spans="1:15" x14ac:dyDescent="0.25">
      <c r="A212" s="266"/>
      <c r="B212" s="265"/>
      <c r="C212" s="265"/>
      <c r="D212" s="265"/>
      <c r="E212" s="265"/>
      <c r="F212" s="94"/>
      <c r="G212" s="94"/>
      <c r="H212" s="94"/>
      <c r="I212" s="94"/>
      <c r="J212" s="94"/>
      <c r="K212" s="94"/>
      <c r="L212" s="94"/>
      <c r="M212" s="94"/>
      <c r="N212" s="94"/>
      <c r="O212" s="93"/>
    </row>
    <row r="213" spans="1:15" x14ac:dyDescent="0.25">
      <c r="A213" s="1218" t="s">
        <v>67</v>
      </c>
      <c r="B213" s="1217" t="s">
        <v>112</v>
      </c>
      <c r="C213" s="1217" t="s">
        <v>66</v>
      </c>
      <c r="D213" s="1217" t="s">
        <v>65</v>
      </c>
      <c r="E213" s="1217" t="s">
        <v>81</v>
      </c>
      <c r="F213" s="1213" t="s">
        <v>80</v>
      </c>
      <c r="G213" s="1213" t="s">
        <v>79</v>
      </c>
      <c r="H213" s="1213" t="s">
        <v>78</v>
      </c>
      <c r="I213" s="1213" t="s">
        <v>111</v>
      </c>
      <c r="J213" s="1213" t="s">
        <v>110</v>
      </c>
      <c r="K213" s="1213" t="s">
        <v>109</v>
      </c>
      <c r="L213" s="1213" t="s">
        <v>108</v>
      </c>
      <c r="M213" s="1213" t="s">
        <v>40</v>
      </c>
      <c r="N213" s="1213" t="s">
        <v>58</v>
      </c>
      <c r="O213" s="93"/>
    </row>
    <row r="214" spans="1:15" ht="30" x14ac:dyDescent="0.25">
      <c r="A214" s="1077">
        <v>10</v>
      </c>
      <c r="B214" s="402" t="s">
        <v>519</v>
      </c>
      <c r="C214" s="296" t="s">
        <v>531</v>
      </c>
      <c r="D214" s="276">
        <v>2.25</v>
      </c>
      <c r="E214" s="296">
        <v>15</v>
      </c>
      <c r="F214" s="296" t="s">
        <v>68</v>
      </c>
      <c r="G214" s="296">
        <v>2</v>
      </c>
      <c r="H214" s="401" t="s">
        <v>68</v>
      </c>
      <c r="I214" s="700" t="s">
        <v>2130</v>
      </c>
      <c r="J214" s="1216">
        <v>3.0000000000000001E-5</v>
      </c>
      <c r="K214" s="398">
        <v>0.02</v>
      </c>
      <c r="L214" s="319">
        <v>7860</v>
      </c>
      <c r="M214" s="397">
        <v>1</v>
      </c>
      <c r="N214" s="276">
        <f>IF(J214="",D214*M214,D214*J214*K214*L214*M214)</f>
        <v>1.0611000000000001E-2</v>
      </c>
      <c r="O214" s="143"/>
    </row>
    <row r="215" spans="1:15" x14ac:dyDescent="0.25">
      <c r="A215" s="1077">
        <v>20</v>
      </c>
      <c r="B215" s="402" t="s">
        <v>250</v>
      </c>
      <c r="C215" s="296" t="s">
        <v>2129</v>
      </c>
      <c r="D215" s="276">
        <v>10</v>
      </c>
      <c r="E215" s="296">
        <v>5.9999999999999995E-4</v>
      </c>
      <c r="F215" s="296" t="s">
        <v>241</v>
      </c>
      <c r="G215" s="296"/>
      <c r="H215" s="401"/>
      <c r="I215" s="400"/>
      <c r="J215" s="399"/>
      <c r="K215" s="398"/>
      <c r="L215" s="319"/>
      <c r="M215" s="397">
        <v>1</v>
      </c>
      <c r="N215" s="276">
        <f>D215*E215*M215</f>
        <v>5.9999999999999993E-3</v>
      </c>
      <c r="O215" s="143"/>
    </row>
    <row r="216" spans="1:15" x14ac:dyDescent="0.25">
      <c r="A216" s="98"/>
      <c r="B216" s="95"/>
      <c r="C216" s="95"/>
      <c r="D216" s="95"/>
      <c r="E216" s="95"/>
      <c r="F216" s="95"/>
      <c r="G216" s="95"/>
      <c r="H216" s="95"/>
      <c r="I216" s="95"/>
      <c r="J216" s="95"/>
      <c r="K216" s="95"/>
      <c r="L216" s="95"/>
      <c r="M216" s="1215" t="s">
        <v>58</v>
      </c>
      <c r="N216" s="1211">
        <f>SUM(N214:N215)</f>
        <v>1.6611000000000001E-2</v>
      </c>
      <c r="O216" s="93"/>
    </row>
    <row r="217" spans="1:15" x14ac:dyDescent="0.25">
      <c r="A217" s="107"/>
      <c r="B217" s="94"/>
      <c r="C217" s="94"/>
      <c r="D217" s="94"/>
      <c r="E217" s="94"/>
      <c r="F217" s="94"/>
      <c r="G217" s="94"/>
      <c r="H217" s="94"/>
      <c r="I217" s="94"/>
      <c r="J217" s="94"/>
      <c r="K217" s="94"/>
      <c r="L217" s="94"/>
      <c r="M217" s="94"/>
      <c r="N217" s="94"/>
      <c r="O217" s="93"/>
    </row>
    <row r="218" spans="1:15" x14ac:dyDescent="0.25">
      <c r="A218" s="1214" t="s">
        <v>67</v>
      </c>
      <c r="B218" s="1213" t="s">
        <v>106</v>
      </c>
      <c r="C218" s="1213" t="s">
        <v>66</v>
      </c>
      <c r="D218" s="1213" t="s">
        <v>65</v>
      </c>
      <c r="E218" s="1213" t="s">
        <v>64</v>
      </c>
      <c r="F218" s="1213" t="s">
        <v>40</v>
      </c>
      <c r="G218" s="1213" t="s">
        <v>105</v>
      </c>
      <c r="H218" s="1213" t="s">
        <v>104</v>
      </c>
      <c r="I218" s="1213" t="s">
        <v>58</v>
      </c>
      <c r="J218" s="95"/>
      <c r="K218" s="95"/>
      <c r="L218" s="95"/>
      <c r="M218" s="95"/>
      <c r="N218" s="95"/>
      <c r="O218" s="93"/>
    </row>
    <row r="219" spans="1:15" x14ac:dyDescent="0.25">
      <c r="A219" s="1072">
        <v>10</v>
      </c>
      <c r="B219" s="564" t="s">
        <v>516</v>
      </c>
      <c r="C219" s="367" t="s">
        <v>802</v>
      </c>
      <c r="D219" s="293">
        <v>1.3</v>
      </c>
      <c r="E219" s="564" t="s">
        <v>64</v>
      </c>
      <c r="F219" s="299">
        <v>1</v>
      </c>
      <c r="G219" s="367"/>
      <c r="H219" s="367"/>
      <c r="I219" s="293">
        <f>IF(H219="",D219*F219,D219*F219*H219)</f>
        <v>1.3</v>
      </c>
      <c r="J219" s="142"/>
      <c r="K219" s="142"/>
      <c r="L219" s="142"/>
      <c r="M219" s="142"/>
      <c r="N219" s="142"/>
      <c r="O219" s="120"/>
    </row>
    <row r="220" spans="1:15" x14ac:dyDescent="0.25">
      <c r="A220" s="1071">
        <v>20</v>
      </c>
      <c r="B220" s="564" t="s">
        <v>527</v>
      </c>
      <c r="C220" s="325" t="s">
        <v>526</v>
      </c>
      <c r="D220" s="276">
        <v>0.01</v>
      </c>
      <c r="E220" s="325" t="s">
        <v>101</v>
      </c>
      <c r="F220" s="299">
        <v>8.06</v>
      </c>
      <c r="G220" s="564" t="s">
        <v>724</v>
      </c>
      <c r="H220" s="299">
        <v>3</v>
      </c>
      <c r="I220" s="293">
        <f>IF(H220="",D220*F220,D220*F220*H220)</f>
        <v>0.24180000000000001</v>
      </c>
      <c r="J220" s="94"/>
      <c r="K220" s="94"/>
      <c r="L220" s="94"/>
      <c r="M220" s="94"/>
      <c r="N220" s="94"/>
      <c r="O220" s="93"/>
    </row>
    <row r="221" spans="1:15" x14ac:dyDescent="0.25">
      <c r="A221" s="1069">
        <v>30</v>
      </c>
      <c r="B221" s="564" t="s">
        <v>243</v>
      </c>
      <c r="C221" s="299" t="s">
        <v>2128</v>
      </c>
      <c r="D221" s="276">
        <v>5.25</v>
      </c>
      <c r="E221" s="564" t="s">
        <v>241</v>
      </c>
      <c r="F221" s="299">
        <v>5.9999999999999995E-4</v>
      </c>
      <c r="G221" s="299"/>
      <c r="H221" s="299"/>
      <c r="I221" s="293">
        <f>IF(H221="",D221*F221,D221*F221*H221)</f>
        <v>3.1499999999999996E-3</v>
      </c>
      <c r="J221" s="99"/>
      <c r="K221" s="99"/>
      <c r="L221" s="99"/>
      <c r="M221" s="99"/>
      <c r="N221" s="99"/>
      <c r="O221" s="130"/>
    </row>
    <row r="222" spans="1:15" x14ac:dyDescent="0.25">
      <c r="A222" s="98"/>
      <c r="B222" s="95"/>
      <c r="C222" s="95"/>
      <c r="D222" s="95"/>
      <c r="E222" s="95"/>
      <c r="F222" s="95"/>
      <c r="G222" s="95"/>
      <c r="H222" s="1212" t="s">
        <v>58</v>
      </c>
      <c r="I222" s="1211">
        <f>SUM(I219:I221)</f>
        <v>1.54495</v>
      </c>
      <c r="J222" s="95"/>
      <c r="K222" s="95"/>
      <c r="L222" s="95"/>
      <c r="M222" s="95"/>
      <c r="N222" s="95"/>
      <c r="O222" s="93"/>
    </row>
    <row r="223" spans="1:15" x14ac:dyDescent="0.25">
      <c r="A223" s="98"/>
      <c r="B223" s="95"/>
      <c r="C223" s="95"/>
      <c r="D223" s="95"/>
      <c r="E223" s="95"/>
      <c r="F223" s="95"/>
      <c r="G223" s="95"/>
      <c r="H223" s="523"/>
      <c r="I223" s="522"/>
      <c r="J223" s="95"/>
      <c r="K223" s="95"/>
      <c r="L223" s="95"/>
      <c r="M223" s="95"/>
      <c r="N223" s="95"/>
      <c r="O223" s="93"/>
    </row>
    <row r="224" spans="1:15" ht="15.75" thickBot="1" x14ac:dyDescent="0.3">
      <c r="A224" s="92"/>
      <c r="B224" s="91"/>
      <c r="C224" s="91"/>
      <c r="D224" s="91"/>
      <c r="E224" s="91"/>
      <c r="F224" s="91"/>
      <c r="G224" s="91"/>
      <c r="H224" s="91"/>
      <c r="I224" s="91"/>
      <c r="J224" s="91"/>
      <c r="K224" s="91"/>
      <c r="L224" s="91"/>
      <c r="M224" s="91"/>
      <c r="N224" s="91"/>
      <c r="O224" s="90"/>
    </row>
    <row r="225" spans="1:15" ht="15.75" thickBot="1" x14ac:dyDescent="0.3"/>
    <row r="226" spans="1:15" x14ac:dyDescent="0.25">
      <c r="A226" s="141"/>
      <c r="B226" s="140"/>
      <c r="C226" s="140"/>
      <c r="D226" s="140"/>
      <c r="E226" s="140"/>
      <c r="F226" s="140"/>
      <c r="G226" s="140"/>
      <c r="H226" s="140"/>
      <c r="I226" s="140"/>
      <c r="J226" s="140"/>
      <c r="K226" s="140"/>
      <c r="L226" s="140"/>
      <c r="M226" s="140"/>
      <c r="N226" s="140"/>
      <c r="O226" s="139"/>
    </row>
    <row r="227" spans="1:15" x14ac:dyDescent="0.25">
      <c r="A227" s="1219" t="s">
        <v>57</v>
      </c>
      <c r="B227" s="133" t="s">
        <v>523</v>
      </c>
      <c r="C227" s="94"/>
      <c r="D227" s="94"/>
      <c r="E227" s="94"/>
      <c r="F227" s="94"/>
      <c r="G227" s="94"/>
      <c r="H227" s="94"/>
      <c r="I227" s="94"/>
      <c r="J227" s="1221" t="s">
        <v>51</v>
      </c>
      <c r="K227" s="138">
        <v>81</v>
      </c>
      <c r="L227" s="94"/>
      <c r="M227" s="1219" t="s">
        <v>113</v>
      </c>
      <c r="N227" s="100">
        <f>EL_02004_m+EL_02004_p</f>
        <v>1.567966</v>
      </c>
      <c r="O227" s="93"/>
    </row>
    <row r="228" spans="1:15" x14ac:dyDescent="0.25">
      <c r="A228" s="1219" t="s">
        <v>125</v>
      </c>
      <c r="B228" s="133" t="s">
        <v>1975</v>
      </c>
      <c r="C228" s="94"/>
      <c r="D228" s="1219" t="s">
        <v>122</v>
      </c>
      <c r="E228" s="270" t="s">
        <v>522</v>
      </c>
      <c r="F228" s="94"/>
      <c r="G228" s="94"/>
      <c r="H228" s="94"/>
      <c r="I228" s="94"/>
      <c r="J228" s="94"/>
      <c r="K228" s="94"/>
      <c r="L228" s="94"/>
      <c r="M228" s="1219" t="s">
        <v>124</v>
      </c>
      <c r="N228" s="136">
        <v>1</v>
      </c>
      <c r="O228" s="93"/>
    </row>
    <row r="229" spans="1:15" x14ac:dyDescent="0.25">
      <c r="A229" s="1219" t="s">
        <v>123</v>
      </c>
      <c r="B229" s="270" t="str">
        <f>'EL Assemblies'!$B$90</f>
        <v>Battery Assembly</v>
      </c>
      <c r="C229" s="94"/>
      <c r="D229" s="1219" t="s">
        <v>119</v>
      </c>
      <c r="E229" s="94"/>
      <c r="F229" s="94"/>
      <c r="G229" s="94"/>
      <c r="H229" s="94"/>
      <c r="I229" s="94"/>
      <c r="J229" s="1220" t="s">
        <v>122</v>
      </c>
      <c r="K229" s="94"/>
      <c r="L229" s="94"/>
      <c r="M229" s="94"/>
      <c r="N229" s="94"/>
      <c r="O229" s="93"/>
    </row>
    <row r="230" spans="1:15" x14ac:dyDescent="0.25">
      <c r="A230" s="1219" t="s">
        <v>114</v>
      </c>
      <c r="B230" s="135" t="str">
        <f>'EL Assemblies'!B99</f>
        <v>Rear tab</v>
      </c>
      <c r="C230" s="94"/>
      <c r="D230" s="1219" t="s">
        <v>116</v>
      </c>
      <c r="E230" s="94"/>
      <c r="F230" s="94"/>
      <c r="G230" s="94"/>
      <c r="H230" s="94"/>
      <c r="I230" s="94"/>
      <c r="J230" s="1220" t="s">
        <v>119</v>
      </c>
      <c r="K230" s="94"/>
      <c r="L230" s="94"/>
      <c r="M230" s="1219" t="s">
        <v>118</v>
      </c>
      <c r="N230" s="100">
        <f>N228*N227</f>
        <v>1.567966</v>
      </c>
      <c r="O230" s="93"/>
    </row>
    <row r="231" spans="1:15" x14ac:dyDescent="0.25">
      <c r="A231" s="1219" t="s">
        <v>121</v>
      </c>
      <c r="B231" s="269" t="s">
        <v>2132</v>
      </c>
      <c r="C231" s="94"/>
      <c r="D231" s="94"/>
      <c r="E231" s="94"/>
      <c r="F231" s="94"/>
      <c r="G231" s="94"/>
      <c r="H231" s="94"/>
      <c r="I231" s="94"/>
      <c r="J231" s="1220" t="s">
        <v>116</v>
      </c>
      <c r="K231" s="94"/>
      <c r="L231" s="94"/>
      <c r="M231" s="94"/>
      <c r="N231" s="94"/>
      <c r="O231" s="93"/>
    </row>
    <row r="232" spans="1:15" x14ac:dyDescent="0.25">
      <c r="A232" s="1219" t="s">
        <v>117</v>
      </c>
      <c r="B232" s="133" t="s">
        <v>23</v>
      </c>
      <c r="C232" s="94"/>
      <c r="D232" s="94"/>
      <c r="E232" s="94"/>
      <c r="F232" s="94"/>
      <c r="G232" s="94"/>
      <c r="H232" s="94"/>
      <c r="I232" s="94"/>
      <c r="J232" s="94"/>
      <c r="K232" s="94"/>
      <c r="L232" s="94"/>
      <c r="M232" s="94"/>
      <c r="N232" s="94"/>
      <c r="O232" s="93"/>
    </row>
    <row r="233" spans="1:15" x14ac:dyDescent="0.25">
      <c r="A233" s="1219" t="s">
        <v>115</v>
      </c>
      <c r="B233" s="133" t="s">
        <v>2131</v>
      </c>
      <c r="C233" s="94"/>
      <c r="D233" s="94"/>
      <c r="E233" s="94"/>
      <c r="F233" s="94"/>
      <c r="G233" s="94"/>
      <c r="H233" s="94"/>
      <c r="I233" s="94"/>
      <c r="J233" s="94"/>
      <c r="K233" s="94"/>
      <c r="L233" s="94"/>
      <c r="M233" s="94"/>
      <c r="N233" s="94"/>
      <c r="O233" s="93"/>
    </row>
    <row r="234" spans="1:15" x14ac:dyDescent="0.25">
      <c r="A234" s="266"/>
      <c r="B234" s="265"/>
      <c r="C234" s="265"/>
      <c r="D234" s="265"/>
      <c r="E234" s="265"/>
      <c r="F234" s="94"/>
      <c r="G234" s="94"/>
      <c r="H234" s="94"/>
      <c r="I234" s="94"/>
      <c r="J234" s="94"/>
      <c r="K234" s="94"/>
      <c r="L234" s="94"/>
      <c r="M234" s="94"/>
      <c r="N234" s="94"/>
      <c r="O234" s="93"/>
    </row>
    <row r="235" spans="1:15" x14ac:dyDescent="0.25">
      <c r="A235" s="1218" t="s">
        <v>67</v>
      </c>
      <c r="B235" s="1217" t="s">
        <v>112</v>
      </c>
      <c r="C235" s="1217" t="s">
        <v>66</v>
      </c>
      <c r="D235" s="1217" t="s">
        <v>65</v>
      </c>
      <c r="E235" s="1217" t="s">
        <v>81</v>
      </c>
      <c r="F235" s="1213" t="s">
        <v>80</v>
      </c>
      <c r="G235" s="1213" t="s">
        <v>79</v>
      </c>
      <c r="H235" s="1213" t="s">
        <v>78</v>
      </c>
      <c r="I235" s="1213" t="s">
        <v>111</v>
      </c>
      <c r="J235" s="1213" t="s">
        <v>110</v>
      </c>
      <c r="K235" s="1213" t="s">
        <v>109</v>
      </c>
      <c r="L235" s="1213" t="s">
        <v>108</v>
      </c>
      <c r="M235" s="1213" t="s">
        <v>40</v>
      </c>
      <c r="N235" s="1213" t="s">
        <v>58</v>
      </c>
      <c r="O235" s="93"/>
    </row>
    <row r="236" spans="1:15" ht="30" x14ac:dyDescent="0.25">
      <c r="A236" s="1077">
        <v>10</v>
      </c>
      <c r="B236" s="402" t="s">
        <v>519</v>
      </c>
      <c r="C236" s="296" t="s">
        <v>531</v>
      </c>
      <c r="D236" s="276">
        <v>2.25</v>
      </c>
      <c r="E236" s="296">
        <v>15</v>
      </c>
      <c r="F236" s="296" t="s">
        <v>68</v>
      </c>
      <c r="G236" s="296">
        <v>2</v>
      </c>
      <c r="H236" s="401" t="s">
        <v>68</v>
      </c>
      <c r="I236" s="700" t="s">
        <v>2130</v>
      </c>
      <c r="J236" s="1216">
        <v>3.0000000000000001E-5</v>
      </c>
      <c r="K236" s="398">
        <v>0.02</v>
      </c>
      <c r="L236" s="319">
        <v>7860</v>
      </c>
      <c r="M236" s="397">
        <v>1</v>
      </c>
      <c r="N236" s="276">
        <f>IF(J236="",D236*M236,D236*J236*K236*L236*M236)</f>
        <v>1.0611000000000001E-2</v>
      </c>
      <c r="O236" s="143"/>
    </row>
    <row r="237" spans="1:15" x14ac:dyDescent="0.25">
      <c r="A237" s="1077">
        <v>20</v>
      </c>
      <c r="B237" s="402" t="s">
        <v>250</v>
      </c>
      <c r="C237" s="296" t="s">
        <v>2129</v>
      </c>
      <c r="D237" s="276">
        <v>10</v>
      </c>
      <c r="E237" s="296">
        <v>1.0200000000000001E-3</v>
      </c>
      <c r="F237" s="296" t="s">
        <v>241</v>
      </c>
      <c r="G237" s="296"/>
      <c r="H237" s="401"/>
      <c r="I237" s="400"/>
      <c r="J237" s="399"/>
      <c r="K237" s="398"/>
      <c r="L237" s="319"/>
      <c r="M237" s="397">
        <v>1</v>
      </c>
      <c r="N237" s="276">
        <f>D237*E237*M237</f>
        <v>1.0200000000000001E-2</v>
      </c>
      <c r="O237" s="143"/>
    </row>
    <row r="238" spans="1:15" x14ac:dyDescent="0.25">
      <c r="A238" s="98"/>
      <c r="B238" s="95"/>
      <c r="C238" s="95"/>
      <c r="D238" s="95"/>
      <c r="E238" s="95"/>
      <c r="F238" s="95"/>
      <c r="G238" s="95"/>
      <c r="H238" s="95"/>
      <c r="I238" s="95"/>
      <c r="J238" s="95"/>
      <c r="K238" s="95"/>
      <c r="L238" s="95"/>
      <c r="M238" s="1215" t="s">
        <v>58</v>
      </c>
      <c r="N238" s="1211">
        <f>SUM(N236:N237)</f>
        <v>2.0811000000000003E-2</v>
      </c>
      <c r="O238" s="93"/>
    </row>
    <row r="239" spans="1:15" x14ac:dyDescent="0.25">
      <c r="A239" s="107"/>
      <c r="B239" s="94"/>
      <c r="C239" s="94"/>
      <c r="D239" s="94"/>
      <c r="E239" s="94"/>
      <c r="F239" s="94"/>
      <c r="G239" s="94"/>
      <c r="H239" s="94"/>
      <c r="I239" s="94"/>
      <c r="J239" s="94"/>
      <c r="K239" s="94"/>
      <c r="L239" s="94"/>
      <c r="M239" s="94"/>
      <c r="N239" s="94"/>
      <c r="O239" s="93"/>
    </row>
    <row r="240" spans="1:15" x14ac:dyDescent="0.25">
      <c r="A240" s="1214" t="s">
        <v>67</v>
      </c>
      <c r="B240" s="1213" t="s">
        <v>106</v>
      </c>
      <c r="C240" s="1213" t="s">
        <v>66</v>
      </c>
      <c r="D240" s="1213" t="s">
        <v>65</v>
      </c>
      <c r="E240" s="1213" t="s">
        <v>64</v>
      </c>
      <c r="F240" s="1213" t="s">
        <v>40</v>
      </c>
      <c r="G240" s="1213" t="s">
        <v>105</v>
      </c>
      <c r="H240" s="1213" t="s">
        <v>104</v>
      </c>
      <c r="I240" s="1213" t="s">
        <v>58</v>
      </c>
      <c r="J240" s="95"/>
      <c r="K240" s="95"/>
      <c r="L240" s="95"/>
      <c r="M240" s="95"/>
      <c r="N240" s="95"/>
      <c r="O240" s="93"/>
    </row>
    <row r="241" spans="1:15" x14ac:dyDescent="0.25">
      <c r="A241" s="1072">
        <v>10</v>
      </c>
      <c r="B241" s="564" t="s">
        <v>516</v>
      </c>
      <c r="C241" s="367" t="s">
        <v>802</v>
      </c>
      <c r="D241" s="293">
        <v>1.3</v>
      </c>
      <c r="E241" s="564" t="s">
        <v>64</v>
      </c>
      <c r="F241" s="299">
        <v>1</v>
      </c>
      <c r="G241" s="367"/>
      <c r="H241" s="367"/>
      <c r="I241" s="293">
        <f>IF(H241="",D241*F241,D241*F241*H241)</f>
        <v>1.3</v>
      </c>
      <c r="J241" s="142"/>
      <c r="K241" s="142"/>
      <c r="L241" s="142"/>
      <c r="M241" s="142"/>
      <c r="N241" s="142"/>
      <c r="O241" s="120"/>
    </row>
    <row r="242" spans="1:15" x14ac:dyDescent="0.25">
      <c r="A242" s="1071">
        <v>20</v>
      </c>
      <c r="B242" s="564" t="s">
        <v>527</v>
      </c>
      <c r="C242" s="325" t="s">
        <v>526</v>
      </c>
      <c r="D242" s="276">
        <v>0.01</v>
      </c>
      <c r="E242" s="325" t="s">
        <v>101</v>
      </c>
      <c r="F242" s="299">
        <v>8.06</v>
      </c>
      <c r="G242" s="564" t="s">
        <v>724</v>
      </c>
      <c r="H242" s="299">
        <v>3</v>
      </c>
      <c r="I242" s="293">
        <f>IF(H242="",D242*F242,D242*F242*H242)</f>
        <v>0.24180000000000001</v>
      </c>
      <c r="J242" s="94"/>
      <c r="K242" s="94"/>
      <c r="L242" s="94"/>
      <c r="M242" s="94"/>
      <c r="N242" s="94"/>
      <c r="O242" s="93"/>
    </row>
    <row r="243" spans="1:15" x14ac:dyDescent="0.25">
      <c r="A243" s="1069">
        <v>30</v>
      </c>
      <c r="B243" s="564" t="s">
        <v>243</v>
      </c>
      <c r="C243" s="299" t="s">
        <v>2128</v>
      </c>
      <c r="D243" s="276">
        <v>5.25</v>
      </c>
      <c r="E243" s="564" t="s">
        <v>241</v>
      </c>
      <c r="F243" s="299">
        <v>1.0200000000000001E-3</v>
      </c>
      <c r="G243" s="299"/>
      <c r="H243" s="299"/>
      <c r="I243" s="293">
        <f>IF(H243="",D243*F243,D243*F243*H243)</f>
        <v>5.3550000000000004E-3</v>
      </c>
      <c r="J243" s="99"/>
      <c r="K243" s="99"/>
      <c r="L243" s="99"/>
      <c r="M243" s="99"/>
      <c r="N243" s="99"/>
      <c r="O243" s="130"/>
    </row>
    <row r="244" spans="1:15" x14ac:dyDescent="0.25">
      <c r="A244" s="98"/>
      <c r="B244" s="95"/>
      <c r="C244" s="95"/>
      <c r="D244" s="95"/>
      <c r="E244" s="95"/>
      <c r="F244" s="95"/>
      <c r="G244" s="95"/>
      <c r="H244" s="1212" t="s">
        <v>58</v>
      </c>
      <c r="I244" s="1211">
        <f>SUM(I241:I243)</f>
        <v>1.5471550000000001</v>
      </c>
      <c r="J244" s="95"/>
      <c r="K244" s="95"/>
      <c r="L244" s="95"/>
      <c r="M244" s="95"/>
      <c r="N244" s="95"/>
      <c r="O244" s="93"/>
    </row>
    <row r="245" spans="1:15" x14ac:dyDescent="0.25">
      <c r="A245" s="98"/>
      <c r="B245" s="95"/>
      <c r="C245" s="95"/>
      <c r="D245" s="95"/>
      <c r="E245" s="95"/>
      <c r="F245" s="95"/>
      <c r="G245" s="95"/>
      <c r="H245" s="523"/>
      <c r="I245" s="522"/>
      <c r="J245" s="95"/>
      <c r="K245" s="95"/>
      <c r="L245" s="95"/>
      <c r="M245" s="95"/>
      <c r="N245" s="95"/>
      <c r="O245" s="93"/>
    </row>
    <row r="246" spans="1:15" ht="15.75" thickBot="1" x14ac:dyDescent="0.3">
      <c r="A246" s="92"/>
      <c r="B246" s="91"/>
      <c r="C246" s="91"/>
      <c r="D246" s="91"/>
      <c r="E246" s="91"/>
      <c r="F246" s="91"/>
      <c r="G246" s="91"/>
      <c r="H246" s="91"/>
      <c r="I246" s="91"/>
      <c r="J246" s="91"/>
      <c r="K246" s="91"/>
      <c r="L246" s="91"/>
      <c r="M246" s="91"/>
      <c r="N246" s="91"/>
      <c r="O246" s="90"/>
    </row>
    <row r="247" spans="1:15" ht="15.75" thickBot="1" x14ac:dyDescent="0.3"/>
    <row r="248" spans="1:15" x14ac:dyDescent="0.25">
      <c r="A248" s="141"/>
      <c r="B248" s="140"/>
      <c r="C248" s="140"/>
      <c r="D248" s="140"/>
      <c r="E248" s="140"/>
      <c r="F248" s="140"/>
      <c r="G248" s="140"/>
      <c r="H248" s="140"/>
      <c r="I248" s="140"/>
      <c r="J248" s="140"/>
      <c r="K248" s="140"/>
      <c r="L248" s="140"/>
      <c r="M248" s="140"/>
      <c r="N248" s="140"/>
      <c r="O248" s="139"/>
    </row>
    <row r="249" spans="1:15" x14ac:dyDescent="0.25">
      <c r="A249" s="1219" t="s">
        <v>57</v>
      </c>
      <c r="B249" s="133" t="s">
        <v>523</v>
      </c>
      <c r="C249" s="94"/>
      <c r="D249" s="94"/>
      <c r="E249" s="94"/>
      <c r="F249" s="94"/>
      <c r="G249" s="94"/>
      <c r="H249" s="94"/>
      <c r="I249" s="94"/>
      <c r="J249" s="1221" t="s">
        <v>51</v>
      </c>
      <c r="K249" s="138">
        <v>81</v>
      </c>
      <c r="L249" s="94"/>
      <c r="M249" s="1219" t="s">
        <v>113</v>
      </c>
      <c r="N249" s="100">
        <f>EL_02005_m+EL_02005_p</f>
        <v>2.8121899999999997</v>
      </c>
      <c r="O249" s="93"/>
    </row>
    <row r="250" spans="1:15" x14ac:dyDescent="0.25">
      <c r="A250" s="1219" t="s">
        <v>125</v>
      </c>
      <c r="B250" s="133" t="s">
        <v>1975</v>
      </c>
      <c r="C250" s="94"/>
      <c r="D250" s="1219" t="s">
        <v>122</v>
      </c>
      <c r="E250" s="270"/>
      <c r="F250" s="94"/>
      <c r="G250" s="94"/>
      <c r="H250" s="94"/>
      <c r="I250" s="94"/>
      <c r="J250" s="94"/>
      <c r="K250" s="94"/>
      <c r="L250" s="94"/>
      <c r="M250" s="1219" t="s">
        <v>124</v>
      </c>
      <c r="N250" s="136">
        <v>1</v>
      </c>
      <c r="O250" s="93"/>
    </row>
    <row r="251" spans="1:15" x14ac:dyDescent="0.25">
      <c r="A251" s="1219" t="s">
        <v>123</v>
      </c>
      <c r="B251" s="270" t="str">
        <f>'EL Assemblies'!$B$90</f>
        <v>Battery Assembly</v>
      </c>
      <c r="C251" s="94"/>
      <c r="D251" s="1219" t="s">
        <v>119</v>
      </c>
      <c r="E251" s="94"/>
      <c r="F251" s="94"/>
      <c r="G251" s="94"/>
      <c r="H251" s="94"/>
      <c r="I251" s="94"/>
      <c r="J251" s="1220" t="s">
        <v>122</v>
      </c>
      <c r="K251" s="94"/>
      <c r="L251" s="94"/>
      <c r="M251" s="94"/>
      <c r="N251" s="94"/>
      <c r="O251" s="93"/>
    </row>
    <row r="252" spans="1:15" x14ac:dyDescent="0.25">
      <c r="A252" s="1219" t="s">
        <v>114</v>
      </c>
      <c r="B252" s="135" t="str">
        <f>'EL Assemblies'!B100</f>
        <v>Master Switch mount</v>
      </c>
      <c r="C252" s="94"/>
      <c r="D252" s="1219" t="s">
        <v>116</v>
      </c>
      <c r="E252" s="94"/>
      <c r="F252" s="94"/>
      <c r="G252" s="94"/>
      <c r="H252" s="94"/>
      <c r="I252" s="94"/>
      <c r="J252" s="1220" t="s">
        <v>119</v>
      </c>
      <c r="K252" s="94"/>
      <c r="L252" s="94"/>
      <c r="M252" s="1219" t="s">
        <v>118</v>
      </c>
      <c r="N252" s="100">
        <f>N250*N249</f>
        <v>2.8121899999999997</v>
      </c>
      <c r="O252" s="93"/>
    </row>
    <row r="253" spans="1:15" x14ac:dyDescent="0.25">
      <c r="A253" s="1219" t="s">
        <v>121</v>
      </c>
      <c r="B253" s="269" t="s">
        <v>2127</v>
      </c>
      <c r="C253" s="94"/>
      <c r="D253" s="94"/>
      <c r="E253" s="94"/>
      <c r="F253" s="94"/>
      <c r="G253" s="94"/>
      <c r="H253" s="94"/>
      <c r="I253" s="94"/>
      <c r="J253" s="1220" t="s">
        <v>116</v>
      </c>
      <c r="K253" s="94"/>
      <c r="L253" s="94"/>
      <c r="M253" s="94"/>
      <c r="N253" s="94"/>
      <c r="O253" s="93"/>
    </row>
    <row r="254" spans="1:15" x14ac:dyDescent="0.25">
      <c r="A254" s="1219" t="s">
        <v>117</v>
      </c>
      <c r="B254" s="133" t="s">
        <v>23</v>
      </c>
      <c r="C254" s="94"/>
      <c r="D254" s="94"/>
      <c r="E254" s="94"/>
      <c r="F254" s="94"/>
      <c r="G254" s="94"/>
      <c r="H254" s="94"/>
      <c r="I254" s="94"/>
      <c r="J254" s="94"/>
      <c r="K254" s="94"/>
      <c r="L254" s="94"/>
      <c r="M254" s="94"/>
      <c r="N254" s="94"/>
      <c r="O254" s="93"/>
    </row>
    <row r="255" spans="1:15" x14ac:dyDescent="0.25">
      <c r="A255" s="1219" t="s">
        <v>115</v>
      </c>
      <c r="B255" s="133" t="s">
        <v>2126</v>
      </c>
      <c r="C255" s="94"/>
      <c r="D255" s="94"/>
      <c r="E255" s="94"/>
      <c r="F255" s="94"/>
      <c r="G255" s="94"/>
      <c r="H255" s="94"/>
      <c r="I255" s="94"/>
      <c r="J255" s="94"/>
      <c r="K255" s="94"/>
      <c r="L255" s="94"/>
      <c r="M255" s="94"/>
      <c r="N255" s="94"/>
      <c r="O255" s="93"/>
    </row>
    <row r="256" spans="1:15" x14ac:dyDescent="0.25">
      <c r="A256" s="266"/>
      <c r="B256" s="265"/>
      <c r="C256" s="265"/>
      <c r="D256" s="265"/>
      <c r="E256" s="265"/>
      <c r="F256" s="94"/>
      <c r="G256" s="94"/>
      <c r="H256" s="94"/>
      <c r="I256" s="94"/>
      <c r="J256" s="94"/>
      <c r="K256" s="94"/>
      <c r="L256" s="94"/>
      <c r="M256" s="94"/>
      <c r="N256" s="94"/>
      <c r="O256" s="93"/>
    </row>
    <row r="257" spans="1:15" x14ac:dyDescent="0.25">
      <c r="A257" s="1218" t="s">
        <v>67</v>
      </c>
      <c r="B257" s="1217" t="s">
        <v>112</v>
      </c>
      <c r="C257" s="1217" t="s">
        <v>66</v>
      </c>
      <c r="D257" s="1217" t="s">
        <v>65</v>
      </c>
      <c r="E257" s="1217" t="s">
        <v>81</v>
      </c>
      <c r="F257" s="1213" t="s">
        <v>80</v>
      </c>
      <c r="G257" s="1213" t="s">
        <v>79</v>
      </c>
      <c r="H257" s="1213" t="s">
        <v>78</v>
      </c>
      <c r="I257" s="1213" t="s">
        <v>111</v>
      </c>
      <c r="J257" s="1213" t="s">
        <v>110</v>
      </c>
      <c r="K257" s="1213" t="s">
        <v>109</v>
      </c>
      <c r="L257" s="1213" t="s">
        <v>108</v>
      </c>
      <c r="M257" s="1213" t="s">
        <v>40</v>
      </c>
      <c r="N257" s="1213" t="s">
        <v>58</v>
      </c>
      <c r="O257" s="93"/>
    </row>
    <row r="258" spans="1:15" ht="30" x14ac:dyDescent="0.25">
      <c r="A258" s="1077">
        <v>10</v>
      </c>
      <c r="B258" s="402" t="s">
        <v>942</v>
      </c>
      <c r="C258" s="296" t="s">
        <v>531</v>
      </c>
      <c r="D258" s="276">
        <v>4.2</v>
      </c>
      <c r="E258" s="296">
        <v>150</v>
      </c>
      <c r="F258" s="296" t="s">
        <v>68</v>
      </c>
      <c r="G258" s="296">
        <v>2</v>
      </c>
      <c r="H258" s="401" t="s">
        <v>68</v>
      </c>
      <c r="I258" s="700" t="s">
        <v>2125</v>
      </c>
      <c r="J258" s="1216">
        <v>2.9999999999999997E-4</v>
      </c>
      <c r="K258" s="398">
        <v>0.15</v>
      </c>
      <c r="L258" s="319">
        <v>2710</v>
      </c>
      <c r="M258" s="397">
        <v>1</v>
      </c>
      <c r="N258" s="276">
        <f>IF(J258="",D258*M258,D258*J258*K258*L258*M258)</f>
        <v>0.51218999999999992</v>
      </c>
      <c r="O258" s="143"/>
    </row>
    <row r="259" spans="1:15" x14ac:dyDescent="0.25">
      <c r="A259" s="98"/>
      <c r="B259" s="95"/>
      <c r="C259" s="95"/>
      <c r="D259" s="95"/>
      <c r="E259" s="95"/>
      <c r="F259" s="95"/>
      <c r="G259" s="95"/>
      <c r="H259" s="95"/>
      <c r="I259" s="95"/>
      <c r="J259" s="95"/>
      <c r="K259" s="95"/>
      <c r="L259" s="95"/>
      <c r="M259" s="1215" t="s">
        <v>58</v>
      </c>
      <c r="N259" s="1211">
        <f>SUM(N258:N258)</f>
        <v>0.51218999999999992</v>
      </c>
      <c r="O259" s="93"/>
    </row>
    <row r="260" spans="1:15" x14ac:dyDescent="0.25">
      <c r="A260" s="107"/>
      <c r="B260" s="94"/>
      <c r="C260" s="94"/>
      <c r="D260" s="94"/>
      <c r="E260" s="94"/>
      <c r="F260" s="94"/>
      <c r="G260" s="94"/>
      <c r="H260" s="94"/>
      <c r="I260" s="94"/>
      <c r="J260" s="94"/>
      <c r="K260" s="94"/>
      <c r="L260" s="94"/>
      <c r="M260" s="94"/>
      <c r="N260" s="94"/>
      <c r="O260" s="93"/>
    </row>
    <row r="261" spans="1:15" x14ac:dyDescent="0.25">
      <c r="A261" s="1214" t="s">
        <v>67</v>
      </c>
      <c r="B261" s="1213" t="s">
        <v>106</v>
      </c>
      <c r="C261" s="1213" t="s">
        <v>66</v>
      </c>
      <c r="D261" s="1213" t="s">
        <v>65</v>
      </c>
      <c r="E261" s="1213" t="s">
        <v>64</v>
      </c>
      <c r="F261" s="1213" t="s">
        <v>40</v>
      </c>
      <c r="G261" s="1213" t="s">
        <v>105</v>
      </c>
      <c r="H261" s="1213" t="s">
        <v>104</v>
      </c>
      <c r="I261" s="1213" t="s">
        <v>58</v>
      </c>
      <c r="J261" s="95"/>
      <c r="K261" s="95"/>
      <c r="L261" s="95"/>
      <c r="M261" s="95"/>
      <c r="N261" s="95"/>
      <c r="O261" s="93"/>
    </row>
    <row r="262" spans="1:15" x14ac:dyDescent="0.25">
      <c r="A262" s="1072">
        <v>10</v>
      </c>
      <c r="B262" s="564" t="s">
        <v>516</v>
      </c>
      <c r="C262" s="367" t="s">
        <v>802</v>
      </c>
      <c r="D262" s="293">
        <v>1.3</v>
      </c>
      <c r="E262" s="564" t="s">
        <v>64</v>
      </c>
      <c r="F262" s="367">
        <v>1</v>
      </c>
      <c r="G262" s="367"/>
      <c r="H262" s="367"/>
      <c r="I262" s="293">
        <f>IF(H262="",D262*F262,D262*F262*H262)</f>
        <v>1.3</v>
      </c>
      <c r="J262" s="142"/>
      <c r="K262" s="142"/>
      <c r="L262" s="142"/>
      <c r="M262" s="142"/>
      <c r="N262" s="142"/>
      <c r="O262" s="120"/>
    </row>
    <row r="263" spans="1:15" ht="30" x14ac:dyDescent="0.25">
      <c r="A263" s="1071">
        <v>20</v>
      </c>
      <c r="B263" s="564" t="s">
        <v>527</v>
      </c>
      <c r="C263" s="325" t="s">
        <v>526</v>
      </c>
      <c r="D263" s="276">
        <v>0.01</v>
      </c>
      <c r="E263" s="325" t="s">
        <v>101</v>
      </c>
      <c r="F263" s="565">
        <v>75</v>
      </c>
      <c r="G263" s="564" t="s">
        <v>870</v>
      </c>
      <c r="H263" s="299">
        <v>1</v>
      </c>
      <c r="I263" s="293">
        <f>IF(H263="",D263*F263,D263*F263*H263)</f>
        <v>0.75</v>
      </c>
      <c r="J263" s="94"/>
      <c r="K263" s="94"/>
      <c r="L263" s="94"/>
      <c r="M263" s="94"/>
      <c r="N263" s="94"/>
      <c r="O263" s="93"/>
    </row>
    <row r="264" spans="1:15" x14ac:dyDescent="0.25">
      <c r="A264" s="1069">
        <v>30</v>
      </c>
      <c r="B264" s="564" t="s">
        <v>539</v>
      </c>
      <c r="C264" s="299"/>
      <c r="D264" s="276">
        <v>0.25</v>
      </c>
      <c r="E264" s="564" t="s">
        <v>2124</v>
      </c>
      <c r="F264" s="299">
        <v>1</v>
      </c>
      <c r="G264" s="299"/>
      <c r="H264" s="299"/>
      <c r="I264" s="293">
        <f>IF(H264="",D264*F264,D264*F264*H264)</f>
        <v>0.25</v>
      </c>
      <c r="J264" s="99"/>
      <c r="K264" s="99"/>
      <c r="L264" s="99"/>
      <c r="M264" s="99"/>
      <c r="N264" s="99"/>
      <c r="O264" s="130"/>
    </row>
    <row r="265" spans="1:15" x14ac:dyDescent="0.25">
      <c r="A265" s="98"/>
      <c r="B265" s="95"/>
      <c r="C265" s="95"/>
      <c r="D265" s="95"/>
      <c r="E265" s="95"/>
      <c r="F265" s="95"/>
      <c r="G265" s="95"/>
      <c r="H265" s="1212" t="s">
        <v>58</v>
      </c>
      <c r="I265" s="1211">
        <f>SUM(I262:I264)</f>
        <v>2.2999999999999998</v>
      </c>
      <c r="J265" s="95"/>
      <c r="K265" s="95"/>
      <c r="L265" s="95"/>
      <c r="M265" s="95"/>
      <c r="N265" s="95"/>
      <c r="O265" s="93"/>
    </row>
    <row r="266" spans="1:15" x14ac:dyDescent="0.25">
      <c r="A266" s="98"/>
      <c r="B266" s="95"/>
      <c r="C266" s="95"/>
      <c r="D266" s="95"/>
      <c r="E266" s="95"/>
      <c r="F266" s="95"/>
      <c r="G266" s="95"/>
      <c r="H266" s="523"/>
      <c r="I266" s="522"/>
      <c r="J266" s="95"/>
      <c r="K266" s="95"/>
      <c r="L266" s="95"/>
      <c r="M266" s="95"/>
      <c r="N266" s="95"/>
      <c r="O266" s="93"/>
    </row>
    <row r="267" spans="1:15" x14ac:dyDescent="0.25">
      <c r="A267" s="98"/>
      <c r="B267" s="95"/>
      <c r="C267" s="95"/>
      <c r="D267" s="95"/>
      <c r="E267" s="95"/>
      <c r="F267" s="95"/>
      <c r="G267" s="95"/>
      <c r="H267" s="523"/>
      <c r="I267" s="522"/>
      <c r="J267" s="95"/>
      <c r="K267" s="95"/>
      <c r="L267" s="95"/>
      <c r="M267" s="95"/>
      <c r="N267" s="95"/>
      <c r="O267" s="93"/>
    </row>
    <row r="268" spans="1:15" x14ac:dyDescent="0.25">
      <c r="A268" s="98"/>
      <c r="B268" s="95"/>
      <c r="C268" s="95"/>
      <c r="D268" s="95"/>
      <c r="E268" s="95"/>
      <c r="F268" s="95"/>
      <c r="G268" s="95"/>
      <c r="H268" s="523"/>
      <c r="I268" s="522"/>
      <c r="J268" s="95"/>
      <c r="K268" s="95"/>
      <c r="L268" s="95"/>
      <c r="M268" s="95"/>
      <c r="N268" s="95"/>
      <c r="O268" s="93"/>
    </row>
    <row r="269" spans="1:15" x14ac:dyDescent="0.25">
      <c r="A269" s="98"/>
      <c r="B269" s="95"/>
      <c r="C269" s="95"/>
      <c r="D269" s="95"/>
      <c r="E269" s="95"/>
      <c r="F269" s="95"/>
      <c r="G269" s="95"/>
      <c r="H269" s="523"/>
      <c r="I269" s="522"/>
      <c r="J269" s="95"/>
      <c r="K269" s="95"/>
      <c r="L269" s="95"/>
      <c r="M269" s="95"/>
      <c r="N269" s="95"/>
      <c r="O269" s="93"/>
    </row>
    <row r="270" spans="1:15" x14ac:dyDescent="0.25">
      <c r="A270" s="98"/>
      <c r="B270" s="95"/>
      <c r="C270" s="95"/>
      <c r="D270" s="95"/>
      <c r="E270" s="95"/>
      <c r="F270" s="95"/>
      <c r="G270" s="95"/>
      <c r="H270" s="523"/>
      <c r="I270" s="522"/>
      <c r="J270" s="95"/>
      <c r="K270" s="95"/>
      <c r="L270" s="95"/>
      <c r="M270" s="95"/>
      <c r="N270" s="95"/>
      <c r="O270" s="93"/>
    </row>
    <row r="271" spans="1:15" x14ac:dyDescent="0.25">
      <c r="A271" s="98"/>
      <c r="B271" s="95"/>
      <c r="C271" s="95"/>
      <c r="D271" s="95"/>
      <c r="E271" s="95"/>
      <c r="F271" s="95"/>
      <c r="G271" s="95"/>
      <c r="H271" s="523"/>
      <c r="I271" s="522"/>
      <c r="J271" s="95"/>
      <c r="K271" s="95"/>
      <c r="L271" s="95"/>
      <c r="M271" s="95"/>
      <c r="N271" s="95"/>
      <c r="O271" s="93"/>
    </row>
    <row r="272" spans="1:15" ht="15.75" thickBot="1" x14ac:dyDescent="0.3">
      <c r="A272" s="92"/>
      <c r="B272" s="91"/>
      <c r="C272" s="91"/>
      <c r="D272" s="91"/>
      <c r="E272" s="91"/>
      <c r="F272" s="91"/>
      <c r="G272" s="91"/>
      <c r="H272" s="91"/>
      <c r="I272" s="91"/>
      <c r="J272" s="91"/>
      <c r="K272" s="91"/>
      <c r="L272" s="91"/>
      <c r="M272" s="91"/>
      <c r="N272" s="91"/>
      <c r="O272" s="90"/>
    </row>
    <row r="273" spans="1:15" ht="15.75" thickBot="1" x14ac:dyDescent="0.3"/>
    <row r="274" spans="1:15" x14ac:dyDescent="0.25">
      <c r="A274" s="141"/>
      <c r="B274" s="140"/>
      <c r="C274" s="140"/>
      <c r="D274" s="140"/>
      <c r="E274" s="140"/>
      <c r="F274" s="140"/>
      <c r="G274" s="140"/>
      <c r="H274" s="140"/>
      <c r="I274" s="140"/>
      <c r="J274" s="140"/>
      <c r="K274" s="140"/>
      <c r="L274" s="140"/>
      <c r="M274" s="140"/>
      <c r="N274" s="140"/>
      <c r="O274" s="139"/>
    </row>
    <row r="275" spans="1:15" x14ac:dyDescent="0.25">
      <c r="A275" s="1219" t="s">
        <v>57</v>
      </c>
      <c r="B275" s="133" t="s">
        <v>523</v>
      </c>
      <c r="C275" s="94"/>
      <c r="D275" s="94"/>
      <c r="E275" s="94"/>
      <c r="F275" s="94"/>
      <c r="G275" s="94"/>
      <c r="H275" s="94"/>
      <c r="I275" s="94"/>
      <c r="J275" s="1221" t="s">
        <v>51</v>
      </c>
      <c r="K275" s="138">
        <v>81</v>
      </c>
      <c r="L275" s="94"/>
      <c r="M275" s="1219" t="s">
        <v>113</v>
      </c>
      <c r="N275" s="100">
        <f>EL_03001_m+EL_03001_p</f>
        <v>1.552411</v>
      </c>
      <c r="O275" s="93"/>
    </row>
    <row r="276" spans="1:15" x14ac:dyDescent="0.25">
      <c r="A276" s="1219" t="s">
        <v>125</v>
      </c>
      <c r="B276" s="133" t="s">
        <v>1975</v>
      </c>
      <c r="C276" s="94"/>
      <c r="D276" s="1219" t="s">
        <v>122</v>
      </c>
      <c r="E276" s="270" t="s">
        <v>522</v>
      </c>
      <c r="F276" s="94"/>
      <c r="G276" s="94"/>
      <c r="H276" s="94"/>
      <c r="I276" s="94"/>
      <c r="J276" s="94"/>
      <c r="K276" s="94"/>
      <c r="L276" s="94"/>
      <c r="M276" s="1219" t="s">
        <v>124</v>
      </c>
      <c r="N276" s="136">
        <v>1</v>
      </c>
      <c r="O276" s="93"/>
    </row>
    <row r="277" spans="1:15" x14ac:dyDescent="0.25">
      <c r="A277" s="1219" t="s">
        <v>123</v>
      </c>
      <c r="B277" s="270" t="str">
        <f>'EL Assemblies'!B157</f>
        <v>Forward harness wiring</v>
      </c>
      <c r="C277" s="94"/>
      <c r="D277" s="1219" t="s">
        <v>119</v>
      </c>
      <c r="E277" s="94"/>
      <c r="F277" s="94"/>
      <c r="G277" s="94"/>
      <c r="H277" s="94"/>
      <c r="I277" s="94"/>
      <c r="J277" s="1220" t="s">
        <v>122</v>
      </c>
      <c r="K277" s="94"/>
      <c r="L277" s="94"/>
      <c r="M277" s="94"/>
      <c r="N277" s="94"/>
      <c r="O277" s="93"/>
    </row>
    <row r="278" spans="1:15" x14ac:dyDescent="0.25">
      <c r="A278" s="1219" t="s">
        <v>114</v>
      </c>
      <c r="B278" s="135" t="str">
        <f>'EL Assemblies'!B163</f>
        <v>Ground tab</v>
      </c>
      <c r="C278" s="94"/>
      <c r="D278" s="1219" t="s">
        <v>116</v>
      </c>
      <c r="E278" s="94"/>
      <c r="F278" s="94"/>
      <c r="G278" s="94"/>
      <c r="H278" s="94"/>
      <c r="I278" s="94"/>
      <c r="J278" s="1220" t="s">
        <v>119</v>
      </c>
      <c r="K278" s="94"/>
      <c r="L278" s="94"/>
      <c r="M278" s="1219" t="s">
        <v>118</v>
      </c>
      <c r="N278" s="100">
        <f>N276*N275</f>
        <v>1.552411</v>
      </c>
      <c r="O278" s="93"/>
    </row>
    <row r="279" spans="1:15" x14ac:dyDescent="0.25">
      <c r="A279" s="1219" t="s">
        <v>121</v>
      </c>
      <c r="B279" s="269" t="s">
        <v>2123</v>
      </c>
      <c r="C279" s="94"/>
      <c r="D279" s="94"/>
      <c r="E279" s="94"/>
      <c r="F279" s="94"/>
      <c r="G279" s="94"/>
      <c r="H279" s="94"/>
      <c r="I279" s="94"/>
      <c r="J279" s="1220" t="s">
        <v>116</v>
      </c>
      <c r="K279" s="94"/>
      <c r="L279" s="94"/>
      <c r="M279" s="94"/>
      <c r="N279" s="94"/>
      <c r="O279" s="93"/>
    </row>
    <row r="280" spans="1:15" x14ac:dyDescent="0.25">
      <c r="A280" s="1219" t="s">
        <v>117</v>
      </c>
      <c r="B280" s="133" t="s">
        <v>23</v>
      </c>
      <c r="C280" s="94"/>
      <c r="D280" s="94"/>
      <c r="E280" s="94"/>
      <c r="F280" s="94"/>
      <c r="G280" s="94"/>
      <c r="H280" s="94"/>
      <c r="I280" s="94"/>
      <c r="J280" s="94"/>
      <c r="K280" s="94"/>
      <c r="L280" s="94"/>
      <c r="M280" s="94"/>
      <c r="N280" s="94"/>
      <c r="O280" s="93"/>
    </row>
    <row r="281" spans="1:15" x14ac:dyDescent="0.25">
      <c r="A281" s="1219" t="s">
        <v>115</v>
      </c>
      <c r="B281" s="133" t="s">
        <v>2122</v>
      </c>
      <c r="C281" s="94"/>
      <c r="D281" s="94"/>
      <c r="E281" s="94"/>
      <c r="F281" s="94"/>
      <c r="G281" s="94"/>
      <c r="H281" s="94"/>
      <c r="I281" s="94"/>
      <c r="J281" s="94"/>
      <c r="K281" s="94"/>
      <c r="L281" s="94"/>
      <c r="M281" s="94"/>
      <c r="N281" s="94"/>
      <c r="O281" s="93"/>
    </row>
    <row r="282" spans="1:15" x14ac:dyDescent="0.25">
      <c r="A282" s="266"/>
      <c r="B282" s="265"/>
      <c r="C282" s="265"/>
      <c r="D282" s="265"/>
      <c r="E282" s="265"/>
      <c r="F282" s="94"/>
      <c r="G282" s="94"/>
      <c r="H282" s="94"/>
      <c r="I282" s="94"/>
      <c r="J282" s="94"/>
      <c r="K282" s="94"/>
      <c r="L282" s="94"/>
      <c r="M282" s="94"/>
      <c r="N282" s="94"/>
      <c r="O282" s="93"/>
    </row>
    <row r="283" spans="1:15" x14ac:dyDescent="0.25">
      <c r="A283" s="1218" t="s">
        <v>67</v>
      </c>
      <c r="B283" s="1217" t="s">
        <v>112</v>
      </c>
      <c r="C283" s="1217" t="s">
        <v>66</v>
      </c>
      <c r="D283" s="1217" t="s">
        <v>65</v>
      </c>
      <c r="E283" s="1217" t="s">
        <v>81</v>
      </c>
      <c r="F283" s="1213" t="s">
        <v>80</v>
      </c>
      <c r="G283" s="1213" t="s">
        <v>79</v>
      </c>
      <c r="H283" s="1213" t="s">
        <v>78</v>
      </c>
      <c r="I283" s="1213" t="s">
        <v>111</v>
      </c>
      <c r="J283" s="1213" t="s">
        <v>110</v>
      </c>
      <c r="K283" s="1213" t="s">
        <v>109</v>
      </c>
      <c r="L283" s="1213" t="s">
        <v>108</v>
      </c>
      <c r="M283" s="1213" t="s">
        <v>40</v>
      </c>
      <c r="N283" s="1213" t="s">
        <v>58</v>
      </c>
      <c r="O283" s="93"/>
    </row>
    <row r="284" spans="1:15" ht="30" x14ac:dyDescent="0.25">
      <c r="A284" s="1077">
        <v>10</v>
      </c>
      <c r="B284" s="402" t="s">
        <v>519</v>
      </c>
      <c r="C284" s="296" t="s">
        <v>531</v>
      </c>
      <c r="D284" s="276">
        <v>2.25</v>
      </c>
      <c r="E284" s="296">
        <v>15</v>
      </c>
      <c r="F284" s="296" t="s">
        <v>68</v>
      </c>
      <c r="G284" s="296">
        <v>2</v>
      </c>
      <c r="H284" s="401" t="s">
        <v>68</v>
      </c>
      <c r="I284" s="700" t="s">
        <v>2121</v>
      </c>
      <c r="J284" s="1216">
        <v>3.0000000000000001E-5</v>
      </c>
      <c r="K284" s="398">
        <v>0.02</v>
      </c>
      <c r="L284" s="319">
        <v>7860</v>
      </c>
      <c r="M284" s="397">
        <v>1</v>
      </c>
      <c r="N284" s="276">
        <f>IF(J284="",D284*M284,D284*J284*K284*L284*M284)</f>
        <v>1.0611000000000001E-2</v>
      </c>
      <c r="O284" s="143"/>
    </row>
    <row r="285" spans="1:15" x14ac:dyDescent="0.25">
      <c r="A285" s="98"/>
      <c r="B285" s="95"/>
      <c r="C285" s="95"/>
      <c r="D285" s="95"/>
      <c r="E285" s="95"/>
      <c r="F285" s="95"/>
      <c r="G285" s="95"/>
      <c r="H285" s="95"/>
      <c r="I285" s="95"/>
      <c r="J285" s="95"/>
      <c r="K285" s="95"/>
      <c r="L285" s="95"/>
      <c r="M285" s="1215" t="s">
        <v>58</v>
      </c>
      <c r="N285" s="1211">
        <f>SUM(N284:N284)</f>
        <v>1.0611000000000001E-2</v>
      </c>
      <c r="O285" s="93"/>
    </row>
    <row r="286" spans="1:15" x14ac:dyDescent="0.25">
      <c r="A286" s="107"/>
      <c r="B286" s="94"/>
      <c r="C286" s="94"/>
      <c r="D286" s="94"/>
      <c r="E286" s="94"/>
      <c r="F286" s="94"/>
      <c r="G286" s="94"/>
      <c r="H286" s="94"/>
      <c r="I286" s="94"/>
      <c r="J286" s="94"/>
      <c r="K286" s="94"/>
      <c r="L286" s="94"/>
      <c r="M286" s="94"/>
      <c r="N286" s="94"/>
      <c r="O286" s="93"/>
    </row>
    <row r="287" spans="1:15" x14ac:dyDescent="0.25">
      <c r="A287" s="1214" t="s">
        <v>67</v>
      </c>
      <c r="B287" s="1213" t="s">
        <v>106</v>
      </c>
      <c r="C287" s="1213" t="s">
        <v>66</v>
      </c>
      <c r="D287" s="1213" t="s">
        <v>65</v>
      </c>
      <c r="E287" s="1213" t="s">
        <v>64</v>
      </c>
      <c r="F287" s="1213" t="s">
        <v>40</v>
      </c>
      <c r="G287" s="1213" t="s">
        <v>105</v>
      </c>
      <c r="H287" s="1213" t="s">
        <v>104</v>
      </c>
      <c r="I287" s="1213" t="s">
        <v>58</v>
      </c>
      <c r="J287" s="95"/>
      <c r="K287" s="95"/>
      <c r="L287" s="95"/>
      <c r="M287" s="95"/>
      <c r="N287" s="95"/>
      <c r="O287" s="93"/>
    </row>
    <row r="288" spans="1:15" x14ac:dyDescent="0.25">
      <c r="A288" s="1072">
        <v>10</v>
      </c>
      <c r="B288" s="564" t="s">
        <v>516</v>
      </c>
      <c r="C288" s="367" t="s">
        <v>802</v>
      </c>
      <c r="D288" s="293">
        <v>1.3</v>
      </c>
      <c r="E288" s="564" t="s">
        <v>64</v>
      </c>
      <c r="F288" s="367">
        <v>1</v>
      </c>
      <c r="G288" s="367"/>
      <c r="H288" s="367"/>
      <c r="I288" s="293">
        <f>IF(H288="",D288*F288,D288*F288*H288)</f>
        <v>1.3</v>
      </c>
      <c r="J288" s="142"/>
      <c r="K288" s="142"/>
      <c r="L288" s="142"/>
      <c r="M288" s="142"/>
      <c r="N288" s="142"/>
      <c r="O288" s="120"/>
    </row>
    <row r="289" spans="1:15" x14ac:dyDescent="0.25">
      <c r="A289" s="1071">
        <v>20</v>
      </c>
      <c r="B289" s="564" t="s">
        <v>527</v>
      </c>
      <c r="C289" s="325" t="s">
        <v>526</v>
      </c>
      <c r="D289" s="276">
        <v>0.01</v>
      </c>
      <c r="E289" s="325" t="s">
        <v>101</v>
      </c>
      <c r="F289" s="565">
        <v>8.06</v>
      </c>
      <c r="G289" s="564" t="s">
        <v>724</v>
      </c>
      <c r="H289" s="299">
        <v>3</v>
      </c>
      <c r="I289" s="293">
        <f>IF(H289="",D289*F289,D289*F289*H289)</f>
        <v>0.24180000000000001</v>
      </c>
      <c r="J289" s="94"/>
      <c r="K289" s="94"/>
      <c r="L289" s="94"/>
      <c r="M289" s="94"/>
      <c r="N289" s="94"/>
      <c r="O289" s="93"/>
    </row>
    <row r="290" spans="1:15" x14ac:dyDescent="0.25">
      <c r="A290" s="98"/>
      <c r="B290" s="95"/>
      <c r="C290" s="95"/>
      <c r="D290" s="95"/>
      <c r="E290" s="95"/>
      <c r="F290" s="95"/>
      <c r="G290" s="95"/>
      <c r="H290" s="1212" t="s">
        <v>58</v>
      </c>
      <c r="I290" s="1211">
        <f>SUM(I288:I289)</f>
        <v>1.5418000000000001</v>
      </c>
      <c r="J290" s="95"/>
      <c r="K290" s="95"/>
      <c r="L290" s="95"/>
      <c r="M290" s="95"/>
      <c r="N290" s="95"/>
      <c r="O290" s="93"/>
    </row>
    <row r="291" spans="1:15" ht="15.75" thickBot="1" x14ac:dyDescent="0.3">
      <c r="A291" s="92"/>
      <c r="B291" s="91"/>
      <c r="C291" s="91"/>
      <c r="D291" s="91"/>
      <c r="E291" s="91"/>
      <c r="F291" s="91"/>
      <c r="G291" s="91"/>
      <c r="H291" s="91"/>
      <c r="I291" s="91"/>
      <c r="J291" s="91"/>
      <c r="K291" s="91"/>
      <c r="L291" s="91"/>
      <c r="M291" s="91"/>
      <c r="N291" s="91"/>
      <c r="O291" s="90"/>
    </row>
    <row r="292" spans="1:15" ht="15.75" thickBot="1" x14ac:dyDescent="0.3"/>
    <row r="293" spans="1:15" x14ac:dyDescent="0.25">
      <c r="A293" s="141"/>
      <c r="B293" s="140"/>
      <c r="C293" s="140"/>
      <c r="D293" s="140"/>
      <c r="E293" s="140"/>
      <c r="F293" s="140"/>
      <c r="G293" s="140"/>
      <c r="H293" s="140"/>
      <c r="I293" s="140"/>
      <c r="J293" s="140"/>
      <c r="K293" s="140"/>
      <c r="L293" s="140"/>
      <c r="M293" s="140"/>
      <c r="N293" s="140"/>
      <c r="O293" s="139"/>
    </row>
    <row r="294" spans="1:15" x14ac:dyDescent="0.25">
      <c r="A294" s="1219" t="s">
        <v>57</v>
      </c>
      <c r="B294" s="133" t="s">
        <v>523</v>
      </c>
      <c r="C294" s="94"/>
      <c r="D294" s="94"/>
      <c r="E294" s="94"/>
      <c r="F294" s="94"/>
      <c r="G294" s="94"/>
      <c r="H294" s="94"/>
      <c r="I294" s="94"/>
      <c r="J294" s="1221" t="s">
        <v>51</v>
      </c>
      <c r="K294" s="138">
        <v>81</v>
      </c>
      <c r="L294" s="94"/>
      <c r="M294" s="1219" t="s">
        <v>113</v>
      </c>
      <c r="N294" s="100">
        <f>EL_04001_m+EL_04001_p</f>
        <v>1.5352842</v>
      </c>
      <c r="O294" s="93"/>
    </row>
    <row r="295" spans="1:15" x14ac:dyDescent="0.25">
      <c r="A295" s="1219" t="s">
        <v>125</v>
      </c>
      <c r="B295" s="133" t="s">
        <v>1975</v>
      </c>
      <c r="C295" s="94"/>
      <c r="D295" s="1219" t="s">
        <v>122</v>
      </c>
      <c r="E295" s="270"/>
      <c r="F295" s="94"/>
      <c r="G295" s="94"/>
      <c r="H295" s="94"/>
      <c r="I295" s="94"/>
      <c r="J295" s="94"/>
      <c r="K295" s="94"/>
      <c r="L295" s="94"/>
      <c r="M295" s="1219" t="s">
        <v>124</v>
      </c>
      <c r="N295" s="136">
        <v>1</v>
      </c>
      <c r="O295" s="93"/>
    </row>
    <row r="296" spans="1:15" x14ac:dyDescent="0.25">
      <c r="A296" s="1219" t="s">
        <v>123</v>
      </c>
      <c r="B296" s="270" t="str">
        <f>'EL Assemblies'!B197</f>
        <v>Shifting system wiring harness</v>
      </c>
      <c r="C296" s="94"/>
      <c r="D296" s="1219" t="s">
        <v>119</v>
      </c>
      <c r="E296" s="94"/>
      <c r="F296" s="94"/>
      <c r="G296" s="94"/>
      <c r="H296" s="94"/>
      <c r="I296" s="94"/>
      <c r="J296" s="1220" t="s">
        <v>122</v>
      </c>
      <c r="K296" s="94"/>
      <c r="L296" s="94"/>
      <c r="M296" s="94"/>
      <c r="N296" s="94"/>
      <c r="O296" s="93"/>
    </row>
    <row r="297" spans="1:15" x14ac:dyDescent="0.25">
      <c r="A297" s="1219" t="s">
        <v>114</v>
      </c>
      <c r="B297" s="135" t="str">
        <f>'EL Assemblies'!B203</f>
        <v>Paddles connector mount</v>
      </c>
      <c r="C297" s="94"/>
      <c r="D297" s="1219" t="s">
        <v>116</v>
      </c>
      <c r="E297" s="94"/>
      <c r="F297" s="94"/>
      <c r="G297" s="94"/>
      <c r="H297" s="94"/>
      <c r="I297" s="94"/>
      <c r="J297" s="1220" t="s">
        <v>119</v>
      </c>
      <c r="K297" s="94"/>
      <c r="L297" s="94"/>
      <c r="M297" s="1219" t="s">
        <v>118</v>
      </c>
      <c r="N297" s="100">
        <f>N295*N294</f>
        <v>1.5352842</v>
      </c>
      <c r="O297" s="93"/>
    </row>
    <row r="298" spans="1:15" x14ac:dyDescent="0.25">
      <c r="A298" s="1219" t="s">
        <v>121</v>
      </c>
      <c r="B298" s="269" t="s">
        <v>2120</v>
      </c>
      <c r="C298" s="94"/>
      <c r="D298" s="94"/>
      <c r="E298" s="94"/>
      <c r="F298" s="94"/>
      <c r="G298" s="94"/>
      <c r="H298" s="94"/>
      <c r="I298" s="94"/>
      <c r="J298" s="1220" t="s">
        <v>116</v>
      </c>
      <c r="K298" s="94"/>
      <c r="L298" s="94"/>
      <c r="M298" s="94"/>
      <c r="N298" s="94"/>
      <c r="O298" s="93"/>
    </row>
    <row r="299" spans="1:15" x14ac:dyDescent="0.25">
      <c r="A299" s="1219" t="s">
        <v>117</v>
      </c>
      <c r="B299" s="133" t="s">
        <v>23</v>
      </c>
      <c r="C299" s="94"/>
      <c r="D299" s="94"/>
      <c r="E299" s="94"/>
      <c r="F299" s="94"/>
      <c r="G299" s="94"/>
      <c r="H299" s="94"/>
      <c r="I299" s="94"/>
      <c r="J299" s="94"/>
      <c r="K299" s="94"/>
      <c r="L299" s="94"/>
      <c r="M299" s="94"/>
      <c r="N299" s="94"/>
      <c r="O299" s="93"/>
    </row>
    <row r="300" spans="1:15" x14ac:dyDescent="0.25">
      <c r="A300" s="1219" t="s">
        <v>115</v>
      </c>
      <c r="B300" s="133" t="s">
        <v>2119</v>
      </c>
      <c r="C300" s="94"/>
      <c r="D300" s="94"/>
      <c r="E300" s="94"/>
      <c r="F300" s="94"/>
      <c r="G300" s="94"/>
      <c r="H300" s="94"/>
      <c r="I300" s="94"/>
      <c r="J300" s="94"/>
      <c r="K300" s="94"/>
      <c r="L300" s="94"/>
      <c r="M300" s="94"/>
      <c r="N300" s="94"/>
      <c r="O300" s="93"/>
    </row>
    <row r="301" spans="1:15" x14ac:dyDescent="0.25">
      <c r="A301" s="266"/>
      <c r="B301" s="265"/>
      <c r="C301" s="265"/>
      <c r="D301" s="265"/>
      <c r="E301" s="265"/>
      <c r="F301" s="94"/>
      <c r="G301" s="94"/>
      <c r="H301" s="94"/>
      <c r="I301" s="94"/>
      <c r="J301" s="94"/>
      <c r="K301" s="94"/>
      <c r="L301" s="94"/>
      <c r="M301" s="94"/>
      <c r="N301" s="94"/>
      <c r="O301" s="93"/>
    </row>
    <row r="302" spans="1:15" x14ac:dyDescent="0.25">
      <c r="A302" s="1218" t="s">
        <v>67</v>
      </c>
      <c r="B302" s="1217" t="s">
        <v>112</v>
      </c>
      <c r="C302" s="1217" t="s">
        <v>66</v>
      </c>
      <c r="D302" s="1217" t="s">
        <v>65</v>
      </c>
      <c r="E302" s="1217" t="s">
        <v>81</v>
      </c>
      <c r="F302" s="1213" t="s">
        <v>80</v>
      </c>
      <c r="G302" s="1213" t="s">
        <v>79</v>
      </c>
      <c r="H302" s="1213" t="s">
        <v>78</v>
      </c>
      <c r="I302" s="1213" t="s">
        <v>111</v>
      </c>
      <c r="J302" s="1213" t="s">
        <v>110</v>
      </c>
      <c r="K302" s="1213" t="s">
        <v>109</v>
      </c>
      <c r="L302" s="1213" t="s">
        <v>108</v>
      </c>
      <c r="M302" s="1213" t="s">
        <v>40</v>
      </c>
      <c r="N302" s="1213" t="s">
        <v>58</v>
      </c>
      <c r="O302" s="93"/>
    </row>
    <row r="303" spans="1:15" ht="30" x14ac:dyDescent="0.25">
      <c r="A303" s="1077">
        <v>10</v>
      </c>
      <c r="B303" s="402" t="s">
        <v>2118</v>
      </c>
      <c r="C303" s="296" t="s">
        <v>682</v>
      </c>
      <c r="D303" s="276">
        <v>4.2</v>
      </c>
      <c r="E303" s="296">
        <v>31</v>
      </c>
      <c r="F303" s="296" t="s">
        <v>68</v>
      </c>
      <c r="G303" s="296">
        <v>2</v>
      </c>
      <c r="H303" s="401" t="s">
        <v>68</v>
      </c>
      <c r="I303" s="700" t="s">
        <v>2117</v>
      </c>
      <c r="J303" s="1216">
        <f>E303*G303*10^(-6)</f>
        <v>6.2000000000000003E-5</v>
      </c>
      <c r="K303" s="398">
        <v>0.05</v>
      </c>
      <c r="L303" s="319">
        <v>2710</v>
      </c>
      <c r="M303" s="397">
        <v>1</v>
      </c>
      <c r="N303" s="276">
        <f>IF(J303="",D303*M303,D303*J303*K303*L303*M303)</f>
        <v>3.5284200000000009E-2</v>
      </c>
      <c r="O303" s="143"/>
    </row>
    <row r="304" spans="1:15" x14ac:dyDescent="0.25">
      <c r="A304" s="98"/>
      <c r="B304" s="95"/>
      <c r="C304" s="95"/>
      <c r="D304" s="95"/>
      <c r="E304" s="95"/>
      <c r="F304" s="95"/>
      <c r="G304" s="95"/>
      <c r="H304" s="95"/>
      <c r="I304" s="95"/>
      <c r="J304" s="95"/>
      <c r="K304" s="95"/>
      <c r="L304" s="95"/>
      <c r="M304" s="1215" t="s">
        <v>58</v>
      </c>
      <c r="N304" s="1211">
        <f>SUM(N303:N303)</f>
        <v>3.5284200000000009E-2</v>
      </c>
      <c r="O304" s="93"/>
    </row>
    <row r="305" spans="1:15" x14ac:dyDescent="0.25">
      <c r="A305" s="107"/>
      <c r="B305" s="94"/>
      <c r="C305" s="94"/>
      <c r="D305" s="94"/>
      <c r="E305" s="94"/>
      <c r="F305" s="94"/>
      <c r="G305" s="94"/>
      <c r="H305" s="94"/>
      <c r="I305" s="94"/>
      <c r="J305" s="94"/>
      <c r="K305" s="94"/>
      <c r="L305" s="94"/>
      <c r="M305" s="94"/>
      <c r="N305" s="94"/>
      <c r="O305" s="93"/>
    </row>
    <row r="306" spans="1:15" x14ac:dyDescent="0.25">
      <c r="A306" s="1214" t="s">
        <v>67</v>
      </c>
      <c r="B306" s="1213" t="s">
        <v>106</v>
      </c>
      <c r="C306" s="1213" t="s">
        <v>66</v>
      </c>
      <c r="D306" s="1213" t="s">
        <v>65</v>
      </c>
      <c r="E306" s="1213" t="s">
        <v>64</v>
      </c>
      <c r="F306" s="1213" t="s">
        <v>40</v>
      </c>
      <c r="G306" s="1213" t="s">
        <v>105</v>
      </c>
      <c r="H306" s="1213" t="s">
        <v>104</v>
      </c>
      <c r="I306" s="1213" t="s">
        <v>58</v>
      </c>
      <c r="J306" s="95"/>
      <c r="K306" s="95"/>
      <c r="L306" s="95"/>
      <c r="M306" s="95"/>
      <c r="N306" s="95"/>
      <c r="O306" s="93"/>
    </row>
    <row r="307" spans="1:15" x14ac:dyDescent="0.25">
      <c r="A307" s="1072">
        <v>10</v>
      </c>
      <c r="B307" s="564" t="s">
        <v>516</v>
      </c>
      <c r="C307" s="367" t="s">
        <v>802</v>
      </c>
      <c r="D307" s="293">
        <v>1.3</v>
      </c>
      <c r="E307" s="564" t="s">
        <v>64</v>
      </c>
      <c r="F307" s="367">
        <v>1</v>
      </c>
      <c r="G307" s="367"/>
      <c r="H307" s="367"/>
      <c r="I307" s="293">
        <f>IF(H307="",D307*F307,D307*F307*H307)</f>
        <v>1.3</v>
      </c>
      <c r="J307" s="142"/>
      <c r="K307" s="142"/>
      <c r="L307" s="142"/>
      <c r="M307" s="142"/>
      <c r="N307" s="142"/>
      <c r="O307" s="120"/>
    </row>
    <row r="308" spans="1:15" ht="30" x14ac:dyDescent="0.25">
      <c r="A308" s="1071">
        <v>20</v>
      </c>
      <c r="B308" s="564" t="s">
        <v>527</v>
      </c>
      <c r="C308" s="325" t="s">
        <v>526</v>
      </c>
      <c r="D308" s="276">
        <v>0.01</v>
      </c>
      <c r="E308" s="325" t="s">
        <v>101</v>
      </c>
      <c r="F308" s="565">
        <v>20</v>
      </c>
      <c r="G308" s="564" t="s">
        <v>870</v>
      </c>
      <c r="H308" s="299">
        <v>1</v>
      </c>
      <c r="I308" s="293">
        <f>IF(H308="",D308*F308,D308*F308*H308)</f>
        <v>0.2</v>
      </c>
      <c r="J308" s="94"/>
      <c r="K308" s="94"/>
      <c r="L308" s="94"/>
      <c r="M308" s="94"/>
      <c r="N308" s="94"/>
      <c r="O308" s="93"/>
    </row>
    <row r="309" spans="1:15" x14ac:dyDescent="0.25">
      <c r="A309" s="98"/>
      <c r="B309" s="95"/>
      <c r="C309" s="95"/>
      <c r="D309" s="95"/>
      <c r="E309" s="95"/>
      <c r="F309" s="95"/>
      <c r="G309" s="95"/>
      <c r="H309" s="1212" t="s">
        <v>58</v>
      </c>
      <c r="I309" s="1211">
        <f>SUM(I307:I308)</f>
        <v>1.5</v>
      </c>
      <c r="J309" s="95"/>
      <c r="K309" s="95"/>
      <c r="L309" s="95"/>
      <c r="M309" s="95"/>
      <c r="N309" s="95"/>
      <c r="O309" s="93"/>
    </row>
    <row r="310" spans="1:15" x14ac:dyDescent="0.25">
      <c r="A310" s="98"/>
      <c r="B310" s="95"/>
      <c r="C310" s="95"/>
      <c r="D310" s="95"/>
      <c r="E310" s="95"/>
      <c r="F310" s="95"/>
      <c r="G310" s="95"/>
      <c r="H310" s="523"/>
      <c r="I310" s="522"/>
      <c r="J310" s="95"/>
      <c r="K310" s="95"/>
      <c r="L310" s="95"/>
      <c r="M310" s="95"/>
      <c r="N310" s="95"/>
      <c r="O310" s="93"/>
    </row>
    <row r="311" spans="1:15" ht="15.75" thickBot="1" x14ac:dyDescent="0.3">
      <c r="A311" s="92"/>
      <c r="B311" s="91"/>
      <c r="C311" s="91"/>
      <c r="D311" s="91"/>
      <c r="E311" s="91"/>
      <c r="F311" s="91"/>
      <c r="G311" s="91"/>
      <c r="H311" s="91"/>
      <c r="I311" s="91"/>
      <c r="J311" s="91"/>
      <c r="K311" s="91"/>
      <c r="L311" s="91"/>
      <c r="M311" s="91"/>
      <c r="N311" s="91"/>
      <c r="O311" s="90"/>
    </row>
  </sheetData>
  <hyperlinks>
    <hyperlink ref="B4" location="EL_A0001" display="EL_A0001"/>
    <hyperlink ref="B155" location="EL_A0002" display="EL_A0002"/>
    <hyperlink ref="B48" location="EL_A0001" display="EL_A0001"/>
    <hyperlink ref="B82" location="EL_A0001" display="EL_A0001"/>
    <hyperlink ref="B277" location="EL_A0003" display="EL_A0003"/>
    <hyperlink ref="B181" location="EL_A0002" display="EL_A0002"/>
    <hyperlink ref="B207" location="EL_A0002" display="EL_A0002"/>
    <hyperlink ref="B229" location="EL_A0002" display="EL_A0002"/>
    <hyperlink ref="B251" location="EL_A0002" display="EL_A0002"/>
    <hyperlink ref="B296" location="EL_A0004" display="EL_A0004"/>
    <hyperlink ref="B108" location="EL_A0001" display="EL_A0001"/>
    <hyperlink ref="E3" location="dEL_01001" display="Drawing"/>
    <hyperlink ref="E47" location="dEL_01002a" display="Drawing"/>
    <hyperlink ref="E81" location="dEL_01003" display="Drawing"/>
    <hyperlink ref="E107" location="dEL_01004" display="Drawing"/>
    <hyperlink ref="E154" location="dEL_02001" display="Drawing"/>
    <hyperlink ref="E180" location="dEL_02002" display="Drawing"/>
    <hyperlink ref="E206" location="dEL_02003" display="Drawing"/>
    <hyperlink ref="E228" location="dEL_02004" display="Drawing"/>
    <hyperlink ref="E276" location="dEL_03001" display="Drawing"/>
    <hyperlink ref="B133" location="EL_A0001" display="EL_A0001"/>
    <hyperlink ref="E132" location="dEL_01005" display="Drawing"/>
  </hyperlinks>
  <pageMargins left="0.78749999999999998" right="0.78749999999999998" top="1.05277777777778" bottom="1.05277777777778" header="0.78749999999999998" footer="0.78749999999999998"/>
  <pageSetup paperSize="9" scale="60" firstPageNumber="0" fitToHeight="0" orientation="landscape" r:id="rId1"/>
  <headerFooter>
    <oddHeader>&amp;C&amp;"Times New Roman,Normal"&amp;12&amp;A</oddHeader>
    <oddFooter>&amp;C&amp;"Times New Roman,Normal"&amp;12Page &amp;P</oddFooter>
  </headerFooter>
  <rowBreaks count="11" manualBreakCount="11">
    <brk id="43" max="16383" man="1"/>
    <brk id="77" max="16383" man="1"/>
    <brk id="103" max="16383" man="1"/>
    <brk id="129" max="16383" man="1"/>
    <brk id="150" max="16383" man="1"/>
    <brk id="176" max="16383" man="1"/>
    <brk id="202" max="16383" man="1"/>
    <brk id="224" max="16383" man="1"/>
    <brk id="246" max="16383" man="1"/>
    <brk id="272" max="16383" man="1"/>
    <brk id="291" max="16383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  <pageSetUpPr fitToPage="1"/>
  </sheetPr>
  <dimension ref="A1:B174"/>
  <sheetViews>
    <sheetView zoomScale="80" zoomScaleNormal="80" zoomScaleSheetLayoutView="100" workbookViewId="0"/>
  </sheetViews>
  <sheetFormatPr baseColWidth="10" defaultRowHeight="15" x14ac:dyDescent="0.25"/>
  <cols>
    <col min="1" max="1" width="14" style="89" customWidth="1"/>
    <col min="2" max="16384" width="11.42578125" style="89"/>
  </cols>
  <sheetData>
    <row r="1" spans="1:2" x14ac:dyDescent="0.25">
      <c r="A1" s="547" t="s">
        <v>1087</v>
      </c>
      <c r="B1" s="547" t="str">
        <f>EL_01001</f>
        <v>EL 01001</v>
      </c>
    </row>
    <row r="22" spans="1:2" x14ac:dyDescent="0.25">
      <c r="A22" s="547" t="s">
        <v>1087</v>
      </c>
      <c r="B22" s="547" t="s">
        <v>2172</v>
      </c>
    </row>
    <row r="45" spans="1:2" x14ac:dyDescent="0.25">
      <c r="A45" s="547" t="s">
        <v>1087</v>
      </c>
      <c r="B45" s="547" t="s">
        <v>2160</v>
      </c>
    </row>
    <row r="66" spans="1:2" x14ac:dyDescent="0.25">
      <c r="A66" s="547" t="s">
        <v>1087</v>
      </c>
      <c r="B66" s="547" t="s">
        <v>2148</v>
      </c>
    </row>
    <row r="87" spans="1:2" x14ac:dyDescent="0.25">
      <c r="A87" s="547" t="s">
        <v>1087</v>
      </c>
      <c r="B87" s="547" t="s">
        <v>2143</v>
      </c>
    </row>
    <row r="108" spans="1:2" x14ac:dyDescent="0.25">
      <c r="A108" s="547" t="s">
        <v>1087</v>
      </c>
      <c r="B108" s="547" t="s">
        <v>2140</v>
      </c>
    </row>
    <row r="129" spans="1:2" x14ac:dyDescent="0.25">
      <c r="A129" s="547" t="s">
        <v>1087</v>
      </c>
      <c r="B129" s="547" t="s">
        <v>2137</v>
      </c>
    </row>
    <row r="150" spans="1:2" x14ac:dyDescent="0.25">
      <c r="A150" s="547" t="s">
        <v>1087</v>
      </c>
      <c r="B150" s="547" t="s">
        <v>2134</v>
      </c>
    </row>
    <row r="151" spans="1:2" x14ac:dyDescent="0.25">
      <c r="B151" s="547" t="s">
        <v>2123</v>
      </c>
    </row>
    <row r="174" spans="1:2" x14ac:dyDescent="0.25">
      <c r="A174" s="547" t="s">
        <v>1087</v>
      </c>
      <c r="B174" s="547" t="s">
        <v>2132</v>
      </c>
    </row>
  </sheetData>
  <hyperlinks>
    <hyperlink ref="B1" location="EL_01001" display="EL_01001"/>
    <hyperlink ref="A1" location="EL_01001" display="Drawing part :"/>
    <hyperlink ref="A22:B22" location="EL_01002" display="Drawing part :"/>
    <hyperlink ref="A45:B45" location="EL_01003" display="Drawing part :"/>
    <hyperlink ref="A66:B66" location="EL_01004" display="Drawing part :"/>
    <hyperlink ref="A108:B108" location="EL_02001" display="Drawing part :"/>
    <hyperlink ref="A129:B129" location="EL_02002" display="Drawing part :"/>
    <hyperlink ref="A150:B150" location="EL_02003" display="Drawing part :"/>
    <hyperlink ref="B151" location="EL_03001" display="EL 03001"/>
    <hyperlink ref="A174:B174" location="EL_02004" display="Drawing part :"/>
    <hyperlink ref="A87:B87" location="EL_01005" display="Drawing part :"/>
  </hyperlinks>
  <pageMargins left="0.7" right="0.7" top="0.75" bottom="0.75" header="0.3" footer="0.3"/>
  <pageSetup paperSize="9" fitToHeight="0" orientation="landscape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54"/>
    <pageSetUpPr fitToPage="1"/>
  </sheetPr>
  <dimension ref="A1:IV203"/>
  <sheetViews>
    <sheetView zoomScale="80" zoomScaleNormal="80" workbookViewId="0"/>
  </sheetViews>
  <sheetFormatPr baseColWidth="10" defaultColWidth="7.140625" defaultRowHeight="15" x14ac:dyDescent="0.25"/>
  <cols>
    <col min="1" max="1" width="12.5703125" style="1250" customWidth="1"/>
    <col min="2" max="2" width="33.7109375" style="1250" customWidth="1"/>
    <col min="3" max="3" width="38.7109375" style="1250" customWidth="1"/>
    <col min="4" max="4" width="11.28515625" style="1250" customWidth="1"/>
    <col min="5" max="5" width="10.7109375" style="1250" customWidth="1"/>
    <col min="6" max="6" width="7.140625" style="1250"/>
    <col min="7" max="7" width="23.140625" style="1250" customWidth="1"/>
    <col min="8" max="8" width="13" style="1250" customWidth="1"/>
    <col min="9" max="9" width="12.7109375" style="1250" customWidth="1"/>
    <col min="10" max="10" width="10.140625" style="1250" customWidth="1"/>
    <col min="11" max="12" width="7.140625" style="1250"/>
    <col min="13" max="13" width="12.5703125" style="1250" customWidth="1"/>
    <col min="14" max="14" width="9.5703125" style="1250" customWidth="1"/>
    <col min="15" max="15" width="3.5703125" style="1250" customWidth="1"/>
    <col min="16" max="16384" width="7.140625" style="1250"/>
  </cols>
  <sheetData>
    <row r="1" spans="1:256" x14ac:dyDescent="0.25">
      <c r="A1" s="1301"/>
      <c r="B1" s="1300"/>
      <c r="C1" s="1300"/>
      <c r="D1" s="1300"/>
      <c r="E1" s="1300"/>
      <c r="F1" s="1300"/>
      <c r="G1" s="1300"/>
      <c r="H1" s="1300"/>
      <c r="I1" s="1300"/>
      <c r="J1" s="1300"/>
      <c r="K1" s="1300"/>
      <c r="L1" s="1300"/>
      <c r="M1" s="1300"/>
      <c r="N1" s="1300"/>
      <c r="O1" s="1299"/>
      <c r="P1" s="1302"/>
      <c r="Q1" s="1302"/>
      <c r="R1" s="1302"/>
      <c r="S1" s="1302"/>
      <c r="T1" s="1302"/>
      <c r="U1" s="1302"/>
      <c r="V1" s="1302"/>
      <c r="W1" s="1302"/>
      <c r="X1" s="1302"/>
      <c r="Y1" s="1302"/>
      <c r="Z1" s="1302"/>
      <c r="AA1" s="1302"/>
      <c r="AB1" s="1302"/>
      <c r="AC1" s="1302"/>
      <c r="AD1" s="1302"/>
      <c r="AE1" s="1302"/>
      <c r="AF1" s="1302"/>
      <c r="AG1" s="1302"/>
      <c r="AH1" s="1302"/>
      <c r="AI1" s="1302"/>
      <c r="AJ1" s="1302"/>
      <c r="AK1" s="1302"/>
      <c r="AL1" s="1302"/>
      <c r="AM1" s="1302"/>
      <c r="AN1" s="1302"/>
      <c r="AO1" s="1302"/>
      <c r="AP1" s="1302"/>
      <c r="AQ1" s="1302"/>
      <c r="AR1" s="1302"/>
      <c r="AS1" s="1302"/>
      <c r="AT1" s="1302"/>
      <c r="AU1" s="1302"/>
      <c r="AV1" s="1302"/>
      <c r="AW1" s="1302"/>
      <c r="AX1" s="1302"/>
      <c r="AY1" s="1302"/>
      <c r="AZ1" s="1302"/>
      <c r="BA1" s="1302"/>
      <c r="BB1" s="1302"/>
      <c r="BC1" s="1302"/>
      <c r="BD1" s="1302"/>
      <c r="BE1" s="1302"/>
      <c r="BF1" s="1302"/>
      <c r="BG1" s="1302"/>
      <c r="BH1" s="1302"/>
      <c r="BI1" s="1302"/>
      <c r="BJ1" s="1302"/>
      <c r="BK1" s="1302"/>
      <c r="BL1" s="1302"/>
      <c r="BM1" s="1302"/>
      <c r="BN1" s="1302"/>
      <c r="BO1" s="1302"/>
      <c r="BP1" s="1302"/>
      <c r="BQ1" s="1302"/>
      <c r="BR1" s="1302"/>
      <c r="BS1" s="1302"/>
      <c r="BT1" s="1302"/>
      <c r="BU1" s="1302"/>
      <c r="BV1" s="1302"/>
      <c r="BW1" s="1302"/>
      <c r="BX1" s="1302"/>
      <c r="BY1" s="1302"/>
      <c r="BZ1" s="1302"/>
      <c r="CA1" s="1302"/>
      <c r="CB1" s="1302"/>
      <c r="CC1" s="1302"/>
      <c r="CD1" s="1302"/>
      <c r="CE1" s="1302"/>
      <c r="CF1" s="1302"/>
      <c r="CG1" s="1302"/>
      <c r="CH1" s="1302"/>
      <c r="CI1" s="1302"/>
      <c r="CJ1" s="1302"/>
      <c r="CK1" s="1302"/>
      <c r="CL1" s="1302"/>
      <c r="CM1" s="1302"/>
      <c r="CN1" s="1302"/>
      <c r="CO1" s="1302"/>
      <c r="CP1" s="1302"/>
      <c r="CQ1" s="1302"/>
      <c r="CR1" s="1302"/>
      <c r="CS1" s="1302"/>
      <c r="CT1" s="1302"/>
      <c r="CU1" s="1302"/>
      <c r="CV1" s="1302"/>
      <c r="CW1" s="1302"/>
      <c r="CX1" s="1302"/>
      <c r="CY1" s="1302"/>
      <c r="CZ1" s="1302"/>
      <c r="DA1" s="1302"/>
      <c r="DB1" s="1302"/>
      <c r="DC1" s="1302"/>
      <c r="DD1" s="1302"/>
      <c r="DE1" s="1302"/>
      <c r="DF1" s="1302"/>
      <c r="DG1" s="1302"/>
      <c r="DH1" s="1302"/>
      <c r="DI1" s="1302"/>
      <c r="DJ1" s="1302"/>
      <c r="DK1" s="1302"/>
      <c r="DL1" s="1302"/>
      <c r="DM1" s="1302"/>
      <c r="DN1" s="1302"/>
      <c r="DO1" s="1302"/>
      <c r="DP1" s="1302"/>
      <c r="DQ1" s="1302"/>
      <c r="DR1" s="1302"/>
      <c r="DS1" s="1302"/>
      <c r="DT1" s="1302"/>
      <c r="DU1" s="1302"/>
      <c r="DV1" s="1302"/>
      <c r="DW1" s="1302"/>
      <c r="DX1" s="1302"/>
      <c r="DY1" s="1302"/>
      <c r="DZ1" s="1302"/>
      <c r="EA1" s="1302"/>
      <c r="EB1" s="1302"/>
      <c r="EC1" s="1302"/>
      <c r="ED1" s="1302"/>
      <c r="EE1" s="1302"/>
      <c r="EF1" s="1302"/>
      <c r="EG1" s="1302"/>
      <c r="EH1" s="1302"/>
      <c r="EI1" s="1302"/>
      <c r="EJ1" s="1302"/>
      <c r="EK1" s="1302"/>
      <c r="EL1" s="1302"/>
      <c r="EM1" s="1302"/>
      <c r="EN1" s="1302"/>
      <c r="EO1" s="1302"/>
      <c r="EP1" s="1302"/>
      <c r="EQ1" s="1302"/>
      <c r="ER1" s="1302"/>
      <c r="ES1" s="1302"/>
      <c r="ET1" s="1302"/>
      <c r="EU1" s="1302"/>
      <c r="EV1" s="1302"/>
      <c r="EW1" s="1302"/>
      <c r="EX1" s="1302"/>
      <c r="EY1" s="1302"/>
      <c r="EZ1" s="1302"/>
      <c r="FA1" s="1302"/>
      <c r="FB1" s="1302"/>
      <c r="FC1" s="1302"/>
      <c r="FD1" s="1302"/>
      <c r="FE1" s="1302"/>
      <c r="FF1" s="1302"/>
      <c r="FG1" s="1302"/>
      <c r="FH1" s="1302"/>
      <c r="FI1" s="1302"/>
      <c r="FJ1" s="1302"/>
      <c r="FK1" s="1302"/>
      <c r="FL1" s="1302"/>
      <c r="FM1" s="1302"/>
      <c r="FN1" s="1302"/>
      <c r="FO1" s="1302"/>
      <c r="FP1" s="1302"/>
      <c r="FQ1" s="1302"/>
      <c r="FR1" s="1302"/>
      <c r="FS1" s="1302"/>
      <c r="FT1" s="1302"/>
      <c r="FU1" s="1302"/>
      <c r="FV1" s="1302"/>
      <c r="FW1" s="1302"/>
      <c r="FX1" s="1302"/>
      <c r="FY1" s="1302"/>
      <c r="FZ1" s="1302"/>
      <c r="GA1" s="1302"/>
      <c r="GB1" s="1302"/>
      <c r="GC1" s="1302"/>
      <c r="GD1" s="1302"/>
      <c r="GE1" s="1302"/>
      <c r="GF1" s="1302"/>
      <c r="GG1" s="1302"/>
      <c r="GH1" s="1302"/>
      <c r="GI1" s="1302"/>
      <c r="GJ1" s="1302"/>
      <c r="GK1" s="1302"/>
      <c r="GL1" s="1302"/>
      <c r="GM1" s="1302"/>
      <c r="GN1" s="1302"/>
      <c r="GO1" s="1302"/>
      <c r="GP1" s="1302"/>
      <c r="GQ1" s="1302"/>
      <c r="GR1" s="1302"/>
      <c r="GS1" s="1302"/>
      <c r="GT1" s="1302"/>
      <c r="GU1" s="1302"/>
      <c r="GV1" s="1302"/>
      <c r="GW1" s="1302"/>
      <c r="GX1" s="1302"/>
      <c r="GY1" s="1302"/>
      <c r="GZ1" s="1302"/>
      <c r="HA1" s="1302"/>
      <c r="HB1" s="1302"/>
      <c r="HC1" s="1302"/>
      <c r="HD1" s="1302"/>
      <c r="HE1" s="1302"/>
      <c r="HF1" s="1302"/>
      <c r="HG1" s="1302"/>
      <c r="HH1" s="1302"/>
      <c r="HI1" s="1302"/>
      <c r="HJ1" s="1302"/>
      <c r="HK1" s="1302"/>
      <c r="HL1" s="1302"/>
      <c r="HM1" s="1302"/>
      <c r="HN1" s="1302"/>
      <c r="HO1" s="1302"/>
      <c r="HP1" s="1302"/>
      <c r="HQ1" s="1302"/>
      <c r="HR1" s="1302"/>
      <c r="HS1" s="1302"/>
      <c r="HT1" s="1302"/>
      <c r="HU1" s="1302"/>
      <c r="HV1" s="1302"/>
      <c r="HW1" s="1302"/>
      <c r="HX1" s="1302"/>
      <c r="HY1" s="1302"/>
      <c r="HZ1" s="1302"/>
      <c r="IA1" s="1302"/>
      <c r="IB1" s="1302"/>
      <c r="IC1" s="1302"/>
      <c r="ID1" s="1302"/>
      <c r="IE1" s="1302"/>
      <c r="IF1" s="1302"/>
      <c r="IG1" s="1302"/>
      <c r="IH1" s="1302"/>
      <c r="II1" s="1302"/>
      <c r="IJ1" s="1302"/>
      <c r="IK1" s="1302"/>
      <c r="IL1" s="1302"/>
      <c r="IM1" s="1302"/>
      <c r="IN1" s="1302"/>
      <c r="IO1" s="1302"/>
      <c r="IP1" s="1302"/>
      <c r="IQ1" s="1302"/>
      <c r="IR1" s="1302"/>
      <c r="IS1" s="1302"/>
      <c r="IT1" s="1302"/>
      <c r="IU1" s="1302"/>
      <c r="IV1" s="1302"/>
    </row>
    <row r="2" spans="1:256" x14ac:dyDescent="0.25">
      <c r="A2" s="1645" t="s">
        <v>57</v>
      </c>
      <c r="B2" s="1294" t="s">
        <v>523</v>
      </c>
      <c r="C2" s="1255"/>
      <c r="D2" s="1255"/>
      <c r="E2" s="1255"/>
      <c r="F2" s="1255"/>
      <c r="G2" s="1255"/>
      <c r="H2" s="1255"/>
      <c r="I2" s="1255"/>
      <c r="J2" s="1263" t="s">
        <v>51</v>
      </c>
      <c r="K2" s="1298">
        <v>81</v>
      </c>
      <c r="L2" s="1255"/>
      <c r="M2" s="1263" t="s">
        <v>126</v>
      </c>
      <c r="N2" s="1273">
        <f>E17+N22+I38+J42+I46</f>
        <v>106.86393893466668</v>
      </c>
      <c r="O2" s="1254"/>
      <c r="P2" s="1302"/>
      <c r="Q2" s="1302"/>
      <c r="R2" s="1302"/>
      <c r="S2" s="1302"/>
      <c r="T2" s="1302"/>
      <c r="U2" s="1302"/>
      <c r="V2" s="1302"/>
      <c r="W2" s="1302"/>
      <c r="X2" s="1302"/>
      <c r="Y2" s="1302"/>
      <c r="Z2" s="1302"/>
      <c r="AA2" s="1302"/>
      <c r="AB2" s="1302"/>
      <c r="AC2" s="1302"/>
      <c r="AD2" s="1302"/>
      <c r="AE2" s="1302"/>
      <c r="AF2" s="1302"/>
      <c r="AG2" s="1302"/>
      <c r="AH2" s="1302"/>
      <c r="AI2" s="1302"/>
      <c r="AJ2" s="1302"/>
      <c r="AK2" s="1302"/>
      <c r="AL2" s="1302"/>
      <c r="AM2" s="1302"/>
      <c r="AN2" s="1302"/>
      <c r="AO2" s="1302"/>
      <c r="AP2" s="1302"/>
      <c r="AQ2" s="1302"/>
      <c r="AR2" s="1302"/>
      <c r="AS2" s="1302"/>
      <c r="AT2" s="1302"/>
      <c r="AU2" s="1302"/>
      <c r="AV2" s="1302"/>
      <c r="AW2" s="1302"/>
      <c r="AX2" s="1302"/>
      <c r="AY2" s="1302"/>
      <c r="AZ2" s="1302"/>
      <c r="BA2" s="1302"/>
      <c r="BB2" s="1302"/>
      <c r="BC2" s="1302"/>
      <c r="BD2" s="1302"/>
      <c r="BE2" s="1302"/>
      <c r="BF2" s="1302"/>
      <c r="BG2" s="1302"/>
      <c r="BH2" s="1302"/>
      <c r="BI2" s="1302"/>
      <c r="BJ2" s="1302"/>
      <c r="BK2" s="1302"/>
      <c r="BL2" s="1302"/>
      <c r="BM2" s="1302"/>
      <c r="BN2" s="1302"/>
      <c r="BO2" s="1302"/>
      <c r="BP2" s="1302"/>
      <c r="BQ2" s="1302"/>
      <c r="BR2" s="1302"/>
      <c r="BS2" s="1302"/>
      <c r="BT2" s="1302"/>
      <c r="BU2" s="1302"/>
      <c r="BV2" s="1302"/>
      <c r="BW2" s="1302"/>
      <c r="BX2" s="1302"/>
      <c r="BY2" s="1302"/>
      <c r="BZ2" s="1302"/>
      <c r="CA2" s="1302"/>
      <c r="CB2" s="1302"/>
      <c r="CC2" s="1302"/>
      <c r="CD2" s="1302"/>
      <c r="CE2" s="1302"/>
      <c r="CF2" s="1302"/>
      <c r="CG2" s="1302"/>
      <c r="CH2" s="1302"/>
      <c r="CI2" s="1302"/>
      <c r="CJ2" s="1302"/>
      <c r="CK2" s="1302"/>
      <c r="CL2" s="1302"/>
      <c r="CM2" s="1302"/>
      <c r="CN2" s="1302"/>
      <c r="CO2" s="1302"/>
      <c r="CP2" s="1302"/>
      <c r="CQ2" s="1302"/>
      <c r="CR2" s="1302"/>
      <c r="CS2" s="1302"/>
      <c r="CT2" s="1302"/>
      <c r="CU2" s="1302"/>
      <c r="CV2" s="1302"/>
      <c r="CW2" s="1302"/>
      <c r="CX2" s="1302"/>
      <c r="CY2" s="1302"/>
      <c r="CZ2" s="1302"/>
      <c r="DA2" s="1302"/>
      <c r="DB2" s="1302"/>
      <c r="DC2" s="1302"/>
      <c r="DD2" s="1302"/>
      <c r="DE2" s="1302"/>
      <c r="DF2" s="1302"/>
      <c r="DG2" s="1302"/>
      <c r="DH2" s="1302"/>
      <c r="DI2" s="1302"/>
      <c r="DJ2" s="1302"/>
      <c r="DK2" s="1302"/>
      <c r="DL2" s="1302"/>
      <c r="DM2" s="1302"/>
      <c r="DN2" s="1302"/>
      <c r="DO2" s="1302"/>
      <c r="DP2" s="1302"/>
      <c r="DQ2" s="1302"/>
      <c r="DR2" s="1302"/>
      <c r="DS2" s="1302"/>
      <c r="DT2" s="1302"/>
      <c r="DU2" s="1302"/>
      <c r="DV2" s="1302"/>
      <c r="DW2" s="1302"/>
      <c r="DX2" s="1302"/>
      <c r="DY2" s="1302"/>
      <c r="DZ2" s="1302"/>
      <c r="EA2" s="1302"/>
      <c r="EB2" s="1302"/>
      <c r="EC2" s="1302"/>
      <c r="ED2" s="1302"/>
      <c r="EE2" s="1302"/>
      <c r="EF2" s="1302"/>
      <c r="EG2" s="1302"/>
      <c r="EH2" s="1302"/>
      <c r="EI2" s="1302"/>
      <c r="EJ2" s="1302"/>
      <c r="EK2" s="1302"/>
      <c r="EL2" s="1302"/>
      <c r="EM2" s="1302"/>
      <c r="EN2" s="1302"/>
      <c r="EO2" s="1302"/>
      <c r="EP2" s="1302"/>
      <c r="EQ2" s="1302"/>
      <c r="ER2" s="1302"/>
      <c r="ES2" s="1302"/>
      <c r="ET2" s="1302"/>
      <c r="EU2" s="1302"/>
      <c r="EV2" s="1302"/>
      <c r="EW2" s="1302"/>
      <c r="EX2" s="1302"/>
      <c r="EY2" s="1302"/>
      <c r="EZ2" s="1302"/>
      <c r="FA2" s="1302"/>
      <c r="FB2" s="1302"/>
      <c r="FC2" s="1302"/>
      <c r="FD2" s="1302"/>
      <c r="FE2" s="1302"/>
      <c r="FF2" s="1302"/>
      <c r="FG2" s="1302"/>
      <c r="FH2" s="1302"/>
      <c r="FI2" s="1302"/>
      <c r="FJ2" s="1302"/>
      <c r="FK2" s="1302"/>
      <c r="FL2" s="1302"/>
      <c r="FM2" s="1302"/>
      <c r="FN2" s="1302"/>
      <c r="FO2" s="1302"/>
      <c r="FP2" s="1302"/>
      <c r="FQ2" s="1302"/>
      <c r="FR2" s="1302"/>
      <c r="FS2" s="1302"/>
      <c r="FT2" s="1302"/>
      <c r="FU2" s="1302"/>
      <c r="FV2" s="1302"/>
      <c r="FW2" s="1302"/>
      <c r="FX2" s="1302"/>
      <c r="FY2" s="1302"/>
      <c r="FZ2" s="1302"/>
      <c r="GA2" s="1302"/>
      <c r="GB2" s="1302"/>
      <c r="GC2" s="1302"/>
      <c r="GD2" s="1302"/>
      <c r="GE2" s="1302"/>
      <c r="GF2" s="1302"/>
      <c r="GG2" s="1302"/>
      <c r="GH2" s="1302"/>
      <c r="GI2" s="1302"/>
      <c r="GJ2" s="1302"/>
      <c r="GK2" s="1302"/>
      <c r="GL2" s="1302"/>
      <c r="GM2" s="1302"/>
      <c r="GN2" s="1302"/>
      <c r="GO2" s="1302"/>
      <c r="GP2" s="1302"/>
      <c r="GQ2" s="1302"/>
      <c r="GR2" s="1302"/>
      <c r="GS2" s="1302"/>
      <c r="GT2" s="1302"/>
      <c r="GU2" s="1302"/>
      <c r="GV2" s="1302"/>
      <c r="GW2" s="1302"/>
      <c r="GX2" s="1302"/>
      <c r="GY2" s="1302"/>
      <c r="GZ2" s="1302"/>
      <c r="HA2" s="1302"/>
      <c r="HB2" s="1302"/>
      <c r="HC2" s="1302"/>
      <c r="HD2" s="1302"/>
      <c r="HE2" s="1302"/>
      <c r="HF2" s="1302"/>
      <c r="HG2" s="1302"/>
      <c r="HH2" s="1302"/>
      <c r="HI2" s="1302"/>
      <c r="HJ2" s="1302"/>
      <c r="HK2" s="1302"/>
      <c r="HL2" s="1302"/>
      <c r="HM2" s="1302"/>
      <c r="HN2" s="1302"/>
      <c r="HO2" s="1302"/>
      <c r="HP2" s="1302"/>
      <c r="HQ2" s="1302"/>
      <c r="HR2" s="1302"/>
      <c r="HS2" s="1302"/>
      <c r="HT2" s="1302"/>
      <c r="HU2" s="1302"/>
      <c r="HV2" s="1302"/>
      <c r="HW2" s="1302"/>
      <c r="HX2" s="1302"/>
      <c r="HY2" s="1302"/>
      <c r="HZ2" s="1302"/>
      <c r="IA2" s="1302"/>
      <c r="IB2" s="1302"/>
      <c r="IC2" s="1302"/>
      <c r="ID2" s="1302"/>
      <c r="IE2" s="1302"/>
      <c r="IF2" s="1302"/>
      <c r="IG2" s="1302"/>
      <c r="IH2" s="1302"/>
      <c r="II2" s="1302"/>
      <c r="IJ2" s="1302"/>
      <c r="IK2" s="1302"/>
      <c r="IL2" s="1302"/>
      <c r="IM2" s="1302"/>
      <c r="IN2" s="1302"/>
      <c r="IO2" s="1302"/>
      <c r="IP2" s="1302"/>
      <c r="IQ2" s="1302"/>
      <c r="IR2" s="1302"/>
      <c r="IS2" s="1302"/>
      <c r="IT2" s="1302"/>
      <c r="IU2" s="1302"/>
      <c r="IV2" s="1302"/>
    </row>
    <row r="3" spans="1:256" x14ac:dyDescent="0.25">
      <c r="A3" s="1646" t="s">
        <v>125</v>
      </c>
      <c r="B3" s="1297" t="s">
        <v>2210</v>
      </c>
      <c r="C3" s="1255"/>
      <c r="D3" s="1255"/>
      <c r="E3" s="1255"/>
      <c r="F3" s="1255"/>
      <c r="G3" s="1255"/>
      <c r="H3" s="1255"/>
      <c r="I3" s="1255"/>
      <c r="J3" s="1255"/>
      <c r="K3" s="1255"/>
      <c r="L3" s="1255"/>
      <c r="M3" s="1263" t="s">
        <v>124</v>
      </c>
      <c r="N3" s="1311">
        <v>1</v>
      </c>
      <c r="O3" s="1254"/>
      <c r="P3" s="1302"/>
      <c r="Q3" s="1302"/>
      <c r="R3" s="1302"/>
      <c r="S3" s="1302"/>
      <c r="T3" s="1302"/>
      <c r="U3" s="1302"/>
      <c r="V3" s="1302"/>
      <c r="W3" s="1302"/>
      <c r="X3" s="1302"/>
      <c r="Y3" s="1302"/>
      <c r="Z3" s="1302"/>
      <c r="AA3" s="1302"/>
      <c r="AB3" s="1302"/>
      <c r="AC3" s="1302"/>
      <c r="AD3" s="1302"/>
      <c r="AE3" s="1302"/>
      <c r="AF3" s="1302"/>
      <c r="AG3" s="1302"/>
      <c r="AH3" s="1302"/>
      <c r="AI3" s="1302"/>
      <c r="AJ3" s="1302"/>
      <c r="AK3" s="1302"/>
      <c r="AL3" s="1302"/>
      <c r="AM3" s="1302"/>
      <c r="AN3" s="1302"/>
      <c r="AO3" s="1302"/>
      <c r="AP3" s="1302"/>
      <c r="AQ3" s="1302"/>
      <c r="AR3" s="1302"/>
      <c r="AS3" s="1302"/>
      <c r="AT3" s="1302"/>
      <c r="AU3" s="1302"/>
      <c r="AV3" s="1302"/>
      <c r="AW3" s="1302"/>
      <c r="AX3" s="1302"/>
      <c r="AY3" s="1302"/>
      <c r="AZ3" s="1302"/>
      <c r="BA3" s="1302"/>
      <c r="BB3" s="1302"/>
      <c r="BC3" s="1302"/>
      <c r="BD3" s="1302"/>
      <c r="BE3" s="1302"/>
      <c r="BF3" s="1302"/>
      <c r="BG3" s="1302"/>
      <c r="BH3" s="1302"/>
      <c r="BI3" s="1302"/>
      <c r="BJ3" s="1302"/>
      <c r="BK3" s="1302"/>
      <c r="BL3" s="1302"/>
      <c r="BM3" s="1302"/>
      <c r="BN3" s="1302"/>
      <c r="BO3" s="1302"/>
      <c r="BP3" s="1302"/>
      <c r="BQ3" s="1302"/>
      <c r="BR3" s="1302"/>
      <c r="BS3" s="1302"/>
      <c r="BT3" s="1302"/>
      <c r="BU3" s="1302"/>
      <c r="BV3" s="1302"/>
      <c r="BW3" s="1302"/>
      <c r="BX3" s="1302"/>
      <c r="BY3" s="1302"/>
      <c r="BZ3" s="1302"/>
      <c r="CA3" s="1302"/>
      <c r="CB3" s="1302"/>
      <c r="CC3" s="1302"/>
      <c r="CD3" s="1302"/>
      <c r="CE3" s="1302"/>
      <c r="CF3" s="1302"/>
      <c r="CG3" s="1302"/>
      <c r="CH3" s="1302"/>
      <c r="CI3" s="1302"/>
      <c r="CJ3" s="1302"/>
      <c r="CK3" s="1302"/>
      <c r="CL3" s="1302"/>
      <c r="CM3" s="1302"/>
      <c r="CN3" s="1302"/>
      <c r="CO3" s="1302"/>
      <c r="CP3" s="1302"/>
      <c r="CQ3" s="1302"/>
      <c r="CR3" s="1302"/>
      <c r="CS3" s="1302"/>
      <c r="CT3" s="1302"/>
      <c r="CU3" s="1302"/>
      <c r="CV3" s="1302"/>
      <c r="CW3" s="1302"/>
      <c r="CX3" s="1302"/>
      <c r="CY3" s="1302"/>
      <c r="CZ3" s="1302"/>
      <c r="DA3" s="1302"/>
      <c r="DB3" s="1302"/>
      <c r="DC3" s="1302"/>
      <c r="DD3" s="1302"/>
      <c r="DE3" s="1302"/>
      <c r="DF3" s="1302"/>
      <c r="DG3" s="1302"/>
      <c r="DH3" s="1302"/>
      <c r="DI3" s="1302"/>
      <c r="DJ3" s="1302"/>
      <c r="DK3" s="1302"/>
      <c r="DL3" s="1302"/>
      <c r="DM3" s="1302"/>
      <c r="DN3" s="1302"/>
      <c r="DO3" s="1302"/>
      <c r="DP3" s="1302"/>
      <c r="DQ3" s="1302"/>
      <c r="DR3" s="1302"/>
      <c r="DS3" s="1302"/>
      <c r="DT3" s="1302"/>
      <c r="DU3" s="1302"/>
      <c r="DV3" s="1302"/>
      <c r="DW3" s="1302"/>
      <c r="DX3" s="1302"/>
      <c r="DY3" s="1302"/>
      <c r="DZ3" s="1302"/>
      <c r="EA3" s="1302"/>
      <c r="EB3" s="1302"/>
      <c r="EC3" s="1302"/>
      <c r="ED3" s="1302"/>
      <c r="EE3" s="1302"/>
      <c r="EF3" s="1302"/>
      <c r="EG3" s="1302"/>
      <c r="EH3" s="1302"/>
      <c r="EI3" s="1302"/>
      <c r="EJ3" s="1302"/>
      <c r="EK3" s="1302"/>
      <c r="EL3" s="1302"/>
      <c r="EM3" s="1302"/>
      <c r="EN3" s="1302"/>
      <c r="EO3" s="1302"/>
      <c r="EP3" s="1302"/>
      <c r="EQ3" s="1302"/>
      <c r="ER3" s="1302"/>
      <c r="ES3" s="1302"/>
      <c r="ET3" s="1302"/>
      <c r="EU3" s="1302"/>
      <c r="EV3" s="1302"/>
      <c r="EW3" s="1302"/>
      <c r="EX3" s="1302"/>
      <c r="EY3" s="1302"/>
      <c r="EZ3" s="1302"/>
      <c r="FA3" s="1302"/>
      <c r="FB3" s="1302"/>
      <c r="FC3" s="1302"/>
      <c r="FD3" s="1302"/>
      <c r="FE3" s="1302"/>
      <c r="FF3" s="1302"/>
      <c r="FG3" s="1302"/>
      <c r="FH3" s="1302"/>
      <c r="FI3" s="1302"/>
      <c r="FJ3" s="1302"/>
      <c r="FK3" s="1302"/>
      <c r="FL3" s="1302"/>
      <c r="FM3" s="1302"/>
      <c r="FN3" s="1302"/>
      <c r="FO3" s="1302"/>
      <c r="FP3" s="1302"/>
      <c r="FQ3" s="1302"/>
      <c r="FR3" s="1302"/>
      <c r="FS3" s="1302"/>
      <c r="FT3" s="1302"/>
      <c r="FU3" s="1302"/>
      <c r="FV3" s="1302"/>
      <c r="FW3" s="1302"/>
      <c r="FX3" s="1302"/>
      <c r="FY3" s="1302"/>
      <c r="FZ3" s="1302"/>
      <c r="GA3" s="1302"/>
      <c r="GB3" s="1302"/>
      <c r="GC3" s="1302"/>
      <c r="GD3" s="1302"/>
      <c r="GE3" s="1302"/>
      <c r="GF3" s="1302"/>
      <c r="GG3" s="1302"/>
      <c r="GH3" s="1302"/>
      <c r="GI3" s="1302"/>
      <c r="GJ3" s="1302"/>
      <c r="GK3" s="1302"/>
      <c r="GL3" s="1302"/>
      <c r="GM3" s="1302"/>
      <c r="GN3" s="1302"/>
      <c r="GO3" s="1302"/>
      <c r="GP3" s="1302"/>
      <c r="GQ3" s="1302"/>
      <c r="GR3" s="1302"/>
      <c r="GS3" s="1302"/>
      <c r="GT3" s="1302"/>
      <c r="GU3" s="1302"/>
      <c r="GV3" s="1302"/>
      <c r="GW3" s="1302"/>
      <c r="GX3" s="1302"/>
      <c r="GY3" s="1302"/>
      <c r="GZ3" s="1302"/>
      <c r="HA3" s="1302"/>
      <c r="HB3" s="1302"/>
      <c r="HC3" s="1302"/>
      <c r="HD3" s="1302"/>
      <c r="HE3" s="1302"/>
      <c r="HF3" s="1302"/>
      <c r="HG3" s="1302"/>
      <c r="HH3" s="1302"/>
      <c r="HI3" s="1302"/>
      <c r="HJ3" s="1302"/>
      <c r="HK3" s="1302"/>
      <c r="HL3" s="1302"/>
      <c r="HM3" s="1302"/>
      <c r="HN3" s="1302"/>
      <c r="HO3" s="1302"/>
      <c r="HP3" s="1302"/>
      <c r="HQ3" s="1302"/>
      <c r="HR3" s="1302"/>
      <c r="HS3" s="1302"/>
      <c r="HT3" s="1302"/>
      <c r="HU3" s="1302"/>
      <c r="HV3" s="1302"/>
      <c r="HW3" s="1302"/>
      <c r="HX3" s="1302"/>
      <c r="HY3" s="1302"/>
      <c r="HZ3" s="1302"/>
      <c r="IA3" s="1302"/>
      <c r="IB3" s="1302"/>
      <c r="IC3" s="1302"/>
      <c r="ID3" s="1302"/>
      <c r="IE3" s="1302"/>
      <c r="IF3" s="1302"/>
      <c r="IG3" s="1302"/>
      <c r="IH3" s="1302"/>
      <c r="II3" s="1302"/>
      <c r="IJ3" s="1302"/>
      <c r="IK3" s="1302"/>
      <c r="IL3" s="1302"/>
      <c r="IM3" s="1302"/>
      <c r="IN3" s="1302"/>
      <c r="IO3" s="1302"/>
      <c r="IP3" s="1302"/>
      <c r="IQ3" s="1302"/>
      <c r="IR3" s="1302"/>
      <c r="IS3" s="1302"/>
      <c r="IT3" s="1302"/>
      <c r="IU3" s="1302"/>
      <c r="IV3" s="1302"/>
    </row>
    <row r="4" spans="1:256" x14ac:dyDescent="0.25">
      <c r="A4" s="1321" t="s">
        <v>123</v>
      </c>
      <c r="B4" s="1260" t="s">
        <v>2266</v>
      </c>
      <c r="C4" s="1255"/>
      <c r="D4" s="1255"/>
      <c r="E4" s="1255"/>
      <c r="F4" s="1255"/>
      <c r="G4" s="1255"/>
      <c r="H4" s="1255"/>
      <c r="I4" s="1255"/>
      <c r="J4" s="1295" t="s">
        <v>122</v>
      </c>
      <c r="K4" s="1255"/>
      <c r="L4" s="1255"/>
      <c r="M4" s="1255"/>
      <c r="N4" s="1255"/>
      <c r="O4" s="1254"/>
      <c r="P4" s="1302"/>
      <c r="Q4" s="1302"/>
      <c r="R4" s="1302"/>
      <c r="S4" s="1302"/>
      <c r="T4" s="1302"/>
      <c r="U4" s="1302"/>
      <c r="V4" s="1302"/>
      <c r="W4" s="1302"/>
      <c r="X4" s="1302"/>
      <c r="Y4" s="1302"/>
      <c r="Z4" s="1302"/>
      <c r="AA4" s="1302"/>
      <c r="AB4" s="1302"/>
      <c r="AC4" s="1302"/>
      <c r="AD4" s="1302"/>
      <c r="AE4" s="1302"/>
      <c r="AF4" s="1302"/>
      <c r="AG4" s="1302"/>
      <c r="AH4" s="1302"/>
      <c r="AI4" s="1302"/>
      <c r="AJ4" s="1302"/>
      <c r="AK4" s="1302"/>
      <c r="AL4" s="1302"/>
      <c r="AM4" s="1302"/>
      <c r="AN4" s="1302"/>
      <c r="AO4" s="1302"/>
      <c r="AP4" s="1302"/>
      <c r="AQ4" s="1302"/>
      <c r="AR4" s="1302"/>
      <c r="AS4" s="1302"/>
      <c r="AT4" s="1302"/>
      <c r="AU4" s="1302"/>
      <c r="AV4" s="1302"/>
      <c r="AW4" s="1302"/>
      <c r="AX4" s="1302"/>
      <c r="AY4" s="1302"/>
      <c r="AZ4" s="1302"/>
      <c r="BA4" s="1302"/>
      <c r="BB4" s="1302"/>
      <c r="BC4" s="1302"/>
      <c r="BD4" s="1302"/>
      <c r="BE4" s="1302"/>
      <c r="BF4" s="1302"/>
      <c r="BG4" s="1302"/>
      <c r="BH4" s="1302"/>
      <c r="BI4" s="1302"/>
      <c r="BJ4" s="1302"/>
      <c r="BK4" s="1302"/>
      <c r="BL4" s="1302"/>
      <c r="BM4" s="1302"/>
      <c r="BN4" s="1302"/>
      <c r="BO4" s="1302"/>
      <c r="BP4" s="1302"/>
      <c r="BQ4" s="1302"/>
      <c r="BR4" s="1302"/>
      <c r="BS4" s="1302"/>
      <c r="BT4" s="1302"/>
      <c r="BU4" s="1302"/>
      <c r="BV4" s="1302"/>
      <c r="BW4" s="1302"/>
      <c r="BX4" s="1302"/>
      <c r="BY4" s="1302"/>
      <c r="BZ4" s="1302"/>
      <c r="CA4" s="1302"/>
      <c r="CB4" s="1302"/>
      <c r="CC4" s="1302"/>
      <c r="CD4" s="1302"/>
      <c r="CE4" s="1302"/>
      <c r="CF4" s="1302"/>
      <c r="CG4" s="1302"/>
      <c r="CH4" s="1302"/>
      <c r="CI4" s="1302"/>
      <c r="CJ4" s="1302"/>
      <c r="CK4" s="1302"/>
      <c r="CL4" s="1302"/>
      <c r="CM4" s="1302"/>
      <c r="CN4" s="1302"/>
      <c r="CO4" s="1302"/>
      <c r="CP4" s="1302"/>
      <c r="CQ4" s="1302"/>
      <c r="CR4" s="1302"/>
      <c r="CS4" s="1302"/>
      <c r="CT4" s="1302"/>
      <c r="CU4" s="1302"/>
      <c r="CV4" s="1302"/>
      <c r="CW4" s="1302"/>
      <c r="CX4" s="1302"/>
      <c r="CY4" s="1302"/>
      <c r="CZ4" s="1302"/>
      <c r="DA4" s="1302"/>
      <c r="DB4" s="1302"/>
      <c r="DC4" s="1302"/>
      <c r="DD4" s="1302"/>
      <c r="DE4" s="1302"/>
      <c r="DF4" s="1302"/>
      <c r="DG4" s="1302"/>
      <c r="DH4" s="1302"/>
      <c r="DI4" s="1302"/>
      <c r="DJ4" s="1302"/>
      <c r="DK4" s="1302"/>
      <c r="DL4" s="1302"/>
      <c r="DM4" s="1302"/>
      <c r="DN4" s="1302"/>
      <c r="DO4" s="1302"/>
      <c r="DP4" s="1302"/>
      <c r="DQ4" s="1302"/>
      <c r="DR4" s="1302"/>
      <c r="DS4" s="1302"/>
      <c r="DT4" s="1302"/>
      <c r="DU4" s="1302"/>
      <c r="DV4" s="1302"/>
      <c r="DW4" s="1302"/>
      <c r="DX4" s="1302"/>
      <c r="DY4" s="1302"/>
      <c r="DZ4" s="1302"/>
      <c r="EA4" s="1302"/>
      <c r="EB4" s="1302"/>
      <c r="EC4" s="1302"/>
      <c r="ED4" s="1302"/>
      <c r="EE4" s="1302"/>
      <c r="EF4" s="1302"/>
      <c r="EG4" s="1302"/>
      <c r="EH4" s="1302"/>
      <c r="EI4" s="1302"/>
      <c r="EJ4" s="1302"/>
      <c r="EK4" s="1302"/>
      <c r="EL4" s="1302"/>
      <c r="EM4" s="1302"/>
      <c r="EN4" s="1302"/>
      <c r="EO4" s="1302"/>
      <c r="EP4" s="1302"/>
      <c r="EQ4" s="1302"/>
      <c r="ER4" s="1302"/>
      <c r="ES4" s="1302"/>
      <c r="ET4" s="1302"/>
      <c r="EU4" s="1302"/>
      <c r="EV4" s="1302"/>
      <c r="EW4" s="1302"/>
      <c r="EX4" s="1302"/>
      <c r="EY4" s="1302"/>
      <c r="EZ4" s="1302"/>
      <c r="FA4" s="1302"/>
      <c r="FB4" s="1302"/>
      <c r="FC4" s="1302"/>
      <c r="FD4" s="1302"/>
      <c r="FE4" s="1302"/>
      <c r="FF4" s="1302"/>
      <c r="FG4" s="1302"/>
      <c r="FH4" s="1302"/>
      <c r="FI4" s="1302"/>
      <c r="FJ4" s="1302"/>
      <c r="FK4" s="1302"/>
      <c r="FL4" s="1302"/>
      <c r="FM4" s="1302"/>
      <c r="FN4" s="1302"/>
      <c r="FO4" s="1302"/>
      <c r="FP4" s="1302"/>
      <c r="FQ4" s="1302"/>
      <c r="FR4" s="1302"/>
      <c r="FS4" s="1302"/>
      <c r="FT4" s="1302"/>
      <c r="FU4" s="1302"/>
      <c r="FV4" s="1302"/>
      <c r="FW4" s="1302"/>
      <c r="FX4" s="1302"/>
      <c r="FY4" s="1302"/>
      <c r="FZ4" s="1302"/>
      <c r="GA4" s="1302"/>
      <c r="GB4" s="1302"/>
      <c r="GC4" s="1302"/>
      <c r="GD4" s="1302"/>
      <c r="GE4" s="1302"/>
      <c r="GF4" s="1302"/>
      <c r="GG4" s="1302"/>
      <c r="GH4" s="1302"/>
      <c r="GI4" s="1302"/>
      <c r="GJ4" s="1302"/>
      <c r="GK4" s="1302"/>
      <c r="GL4" s="1302"/>
      <c r="GM4" s="1302"/>
      <c r="GN4" s="1302"/>
      <c r="GO4" s="1302"/>
      <c r="GP4" s="1302"/>
      <c r="GQ4" s="1302"/>
      <c r="GR4" s="1302"/>
      <c r="GS4" s="1302"/>
      <c r="GT4" s="1302"/>
      <c r="GU4" s="1302"/>
      <c r="GV4" s="1302"/>
      <c r="GW4" s="1302"/>
      <c r="GX4" s="1302"/>
      <c r="GY4" s="1302"/>
      <c r="GZ4" s="1302"/>
      <c r="HA4" s="1302"/>
      <c r="HB4" s="1302"/>
      <c r="HC4" s="1302"/>
      <c r="HD4" s="1302"/>
      <c r="HE4" s="1302"/>
      <c r="HF4" s="1302"/>
      <c r="HG4" s="1302"/>
      <c r="HH4" s="1302"/>
      <c r="HI4" s="1302"/>
      <c r="HJ4" s="1302"/>
      <c r="HK4" s="1302"/>
      <c r="HL4" s="1302"/>
      <c r="HM4" s="1302"/>
      <c r="HN4" s="1302"/>
      <c r="HO4" s="1302"/>
      <c r="HP4" s="1302"/>
      <c r="HQ4" s="1302"/>
      <c r="HR4" s="1302"/>
      <c r="HS4" s="1302"/>
      <c r="HT4" s="1302"/>
      <c r="HU4" s="1302"/>
      <c r="HV4" s="1302"/>
      <c r="HW4" s="1302"/>
      <c r="HX4" s="1302"/>
      <c r="HY4" s="1302"/>
      <c r="HZ4" s="1302"/>
      <c r="IA4" s="1302"/>
      <c r="IB4" s="1302"/>
      <c r="IC4" s="1302"/>
      <c r="ID4" s="1302"/>
      <c r="IE4" s="1302"/>
      <c r="IF4" s="1302"/>
      <c r="IG4" s="1302"/>
      <c r="IH4" s="1302"/>
      <c r="II4" s="1302"/>
      <c r="IJ4" s="1302"/>
      <c r="IK4" s="1302"/>
      <c r="IL4" s="1302"/>
      <c r="IM4" s="1302"/>
      <c r="IN4" s="1302"/>
      <c r="IO4" s="1302"/>
      <c r="IP4" s="1302"/>
      <c r="IQ4" s="1302"/>
      <c r="IR4" s="1302"/>
      <c r="IS4" s="1302"/>
      <c r="IT4" s="1302"/>
      <c r="IU4" s="1302"/>
      <c r="IV4" s="1302"/>
    </row>
    <row r="5" spans="1:256" x14ac:dyDescent="0.25">
      <c r="A5" s="1263" t="s">
        <v>121</v>
      </c>
      <c r="B5" s="1296" t="s">
        <v>2265</v>
      </c>
      <c r="C5" s="1255"/>
      <c r="D5" s="1255"/>
      <c r="E5" s="1255"/>
      <c r="F5" s="1255"/>
      <c r="G5" s="1255"/>
      <c r="H5" s="1255"/>
      <c r="I5" s="1255"/>
      <c r="J5" s="1295" t="s">
        <v>119</v>
      </c>
      <c r="K5" s="1255"/>
      <c r="L5" s="1255"/>
      <c r="M5" s="1263" t="s">
        <v>118</v>
      </c>
      <c r="N5" s="1273">
        <f>N2*N3</f>
        <v>106.86393893466668</v>
      </c>
      <c r="O5" s="1254"/>
      <c r="P5" s="1302"/>
      <c r="Q5" s="1302"/>
      <c r="R5" s="1302"/>
      <c r="S5" s="1302"/>
      <c r="T5" s="1302"/>
      <c r="U5" s="1302"/>
      <c r="V5" s="1302"/>
      <c r="W5" s="1302"/>
      <c r="X5" s="1302"/>
      <c r="Y5" s="1302"/>
      <c r="Z5" s="1302"/>
      <c r="AA5" s="1302"/>
      <c r="AB5" s="1302"/>
      <c r="AC5" s="1302"/>
      <c r="AD5" s="1302"/>
      <c r="AE5" s="1302"/>
      <c r="AF5" s="1302"/>
      <c r="AG5" s="1302"/>
      <c r="AH5" s="1302"/>
      <c r="AI5" s="1302"/>
      <c r="AJ5" s="1302"/>
      <c r="AK5" s="1302"/>
      <c r="AL5" s="1302"/>
      <c r="AM5" s="1302"/>
      <c r="AN5" s="1302"/>
      <c r="AO5" s="1302"/>
      <c r="AP5" s="1302"/>
      <c r="AQ5" s="1302"/>
      <c r="AR5" s="1302"/>
      <c r="AS5" s="1302"/>
      <c r="AT5" s="1302"/>
      <c r="AU5" s="1302"/>
      <c r="AV5" s="1302"/>
      <c r="AW5" s="1302"/>
      <c r="AX5" s="1302"/>
      <c r="AY5" s="1302"/>
      <c r="AZ5" s="1302"/>
      <c r="BA5" s="1302"/>
      <c r="BB5" s="1302"/>
      <c r="BC5" s="1302"/>
      <c r="BD5" s="1302"/>
      <c r="BE5" s="1302"/>
      <c r="BF5" s="1302"/>
      <c r="BG5" s="1302"/>
      <c r="BH5" s="1302"/>
      <c r="BI5" s="1302"/>
      <c r="BJ5" s="1302"/>
      <c r="BK5" s="1302"/>
      <c r="BL5" s="1302"/>
      <c r="BM5" s="1302"/>
      <c r="BN5" s="1302"/>
      <c r="BO5" s="1302"/>
      <c r="BP5" s="1302"/>
      <c r="BQ5" s="1302"/>
      <c r="BR5" s="1302"/>
      <c r="BS5" s="1302"/>
      <c r="BT5" s="1302"/>
      <c r="BU5" s="1302"/>
      <c r="BV5" s="1302"/>
      <c r="BW5" s="1302"/>
      <c r="BX5" s="1302"/>
      <c r="BY5" s="1302"/>
      <c r="BZ5" s="1302"/>
      <c r="CA5" s="1302"/>
      <c r="CB5" s="1302"/>
      <c r="CC5" s="1302"/>
      <c r="CD5" s="1302"/>
      <c r="CE5" s="1302"/>
      <c r="CF5" s="1302"/>
      <c r="CG5" s="1302"/>
      <c r="CH5" s="1302"/>
      <c r="CI5" s="1302"/>
      <c r="CJ5" s="1302"/>
      <c r="CK5" s="1302"/>
      <c r="CL5" s="1302"/>
      <c r="CM5" s="1302"/>
      <c r="CN5" s="1302"/>
      <c r="CO5" s="1302"/>
      <c r="CP5" s="1302"/>
      <c r="CQ5" s="1302"/>
      <c r="CR5" s="1302"/>
      <c r="CS5" s="1302"/>
      <c r="CT5" s="1302"/>
      <c r="CU5" s="1302"/>
      <c r="CV5" s="1302"/>
      <c r="CW5" s="1302"/>
      <c r="CX5" s="1302"/>
      <c r="CY5" s="1302"/>
      <c r="CZ5" s="1302"/>
      <c r="DA5" s="1302"/>
      <c r="DB5" s="1302"/>
      <c r="DC5" s="1302"/>
      <c r="DD5" s="1302"/>
      <c r="DE5" s="1302"/>
      <c r="DF5" s="1302"/>
      <c r="DG5" s="1302"/>
      <c r="DH5" s="1302"/>
      <c r="DI5" s="1302"/>
      <c r="DJ5" s="1302"/>
      <c r="DK5" s="1302"/>
      <c r="DL5" s="1302"/>
      <c r="DM5" s="1302"/>
      <c r="DN5" s="1302"/>
      <c r="DO5" s="1302"/>
      <c r="DP5" s="1302"/>
      <c r="DQ5" s="1302"/>
      <c r="DR5" s="1302"/>
      <c r="DS5" s="1302"/>
      <c r="DT5" s="1302"/>
      <c r="DU5" s="1302"/>
      <c r="DV5" s="1302"/>
      <c r="DW5" s="1302"/>
      <c r="DX5" s="1302"/>
      <c r="DY5" s="1302"/>
      <c r="DZ5" s="1302"/>
      <c r="EA5" s="1302"/>
      <c r="EB5" s="1302"/>
      <c r="EC5" s="1302"/>
      <c r="ED5" s="1302"/>
      <c r="EE5" s="1302"/>
      <c r="EF5" s="1302"/>
      <c r="EG5" s="1302"/>
      <c r="EH5" s="1302"/>
      <c r="EI5" s="1302"/>
      <c r="EJ5" s="1302"/>
      <c r="EK5" s="1302"/>
      <c r="EL5" s="1302"/>
      <c r="EM5" s="1302"/>
      <c r="EN5" s="1302"/>
      <c r="EO5" s="1302"/>
      <c r="EP5" s="1302"/>
      <c r="EQ5" s="1302"/>
      <c r="ER5" s="1302"/>
      <c r="ES5" s="1302"/>
      <c r="ET5" s="1302"/>
      <c r="EU5" s="1302"/>
      <c r="EV5" s="1302"/>
      <c r="EW5" s="1302"/>
      <c r="EX5" s="1302"/>
      <c r="EY5" s="1302"/>
      <c r="EZ5" s="1302"/>
      <c r="FA5" s="1302"/>
      <c r="FB5" s="1302"/>
      <c r="FC5" s="1302"/>
      <c r="FD5" s="1302"/>
      <c r="FE5" s="1302"/>
      <c r="FF5" s="1302"/>
      <c r="FG5" s="1302"/>
      <c r="FH5" s="1302"/>
      <c r="FI5" s="1302"/>
      <c r="FJ5" s="1302"/>
      <c r="FK5" s="1302"/>
      <c r="FL5" s="1302"/>
      <c r="FM5" s="1302"/>
      <c r="FN5" s="1302"/>
      <c r="FO5" s="1302"/>
      <c r="FP5" s="1302"/>
      <c r="FQ5" s="1302"/>
      <c r="FR5" s="1302"/>
      <c r="FS5" s="1302"/>
      <c r="FT5" s="1302"/>
      <c r="FU5" s="1302"/>
      <c r="FV5" s="1302"/>
      <c r="FW5" s="1302"/>
      <c r="FX5" s="1302"/>
      <c r="FY5" s="1302"/>
      <c r="FZ5" s="1302"/>
      <c r="GA5" s="1302"/>
      <c r="GB5" s="1302"/>
      <c r="GC5" s="1302"/>
      <c r="GD5" s="1302"/>
      <c r="GE5" s="1302"/>
      <c r="GF5" s="1302"/>
      <c r="GG5" s="1302"/>
      <c r="GH5" s="1302"/>
      <c r="GI5" s="1302"/>
      <c r="GJ5" s="1302"/>
      <c r="GK5" s="1302"/>
      <c r="GL5" s="1302"/>
      <c r="GM5" s="1302"/>
      <c r="GN5" s="1302"/>
      <c r="GO5" s="1302"/>
      <c r="GP5" s="1302"/>
      <c r="GQ5" s="1302"/>
      <c r="GR5" s="1302"/>
      <c r="GS5" s="1302"/>
      <c r="GT5" s="1302"/>
      <c r="GU5" s="1302"/>
      <c r="GV5" s="1302"/>
      <c r="GW5" s="1302"/>
      <c r="GX5" s="1302"/>
      <c r="GY5" s="1302"/>
      <c r="GZ5" s="1302"/>
      <c r="HA5" s="1302"/>
      <c r="HB5" s="1302"/>
      <c r="HC5" s="1302"/>
      <c r="HD5" s="1302"/>
      <c r="HE5" s="1302"/>
      <c r="HF5" s="1302"/>
      <c r="HG5" s="1302"/>
      <c r="HH5" s="1302"/>
      <c r="HI5" s="1302"/>
      <c r="HJ5" s="1302"/>
      <c r="HK5" s="1302"/>
      <c r="HL5" s="1302"/>
      <c r="HM5" s="1302"/>
      <c r="HN5" s="1302"/>
      <c r="HO5" s="1302"/>
      <c r="HP5" s="1302"/>
      <c r="HQ5" s="1302"/>
      <c r="HR5" s="1302"/>
      <c r="HS5" s="1302"/>
      <c r="HT5" s="1302"/>
      <c r="HU5" s="1302"/>
      <c r="HV5" s="1302"/>
      <c r="HW5" s="1302"/>
      <c r="HX5" s="1302"/>
      <c r="HY5" s="1302"/>
      <c r="HZ5" s="1302"/>
      <c r="IA5" s="1302"/>
      <c r="IB5" s="1302"/>
      <c r="IC5" s="1302"/>
      <c r="ID5" s="1302"/>
      <c r="IE5" s="1302"/>
      <c r="IF5" s="1302"/>
      <c r="IG5" s="1302"/>
      <c r="IH5" s="1302"/>
      <c r="II5" s="1302"/>
      <c r="IJ5" s="1302"/>
      <c r="IK5" s="1302"/>
      <c r="IL5" s="1302"/>
      <c r="IM5" s="1302"/>
      <c r="IN5" s="1302"/>
      <c r="IO5" s="1302"/>
      <c r="IP5" s="1302"/>
      <c r="IQ5" s="1302"/>
      <c r="IR5" s="1302"/>
      <c r="IS5" s="1302"/>
      <c r="IT5" s="1302"/>
      <c r="IU5" s="1302"/>
      <c r="IV5" s="1302"/>
    </row>
    <row r="6" spans="1:256" x14ac:dyDescent="0.25">
      <c r="A6" s="1263" t="s">
        <v>117</v>
      </c>
      <c r="B6" s="1294" t="s">
        <v>23</v>
      </c>
      <c r="C6" s="1255"/>
      <c r="D6" s="1255"/>
      <c r="E6" s="1255"/>
      <c r="F6" s="1255"/>
      <c r="G6" s="1255"/>
      <c r="H6" s="1255"/>
      <c r="I6" s="1255"/>
      <c r="J6" s="1295" t="s">
        <v>116</v>
      </c>
      <c r="K6" s="1255"/>
      <c r="L6" s="1255"/>
      <c r="M6" s="1255"/>
      <c r="N6" s="1255"/>
      <c r="O6" s="1254"/>
      <c r="P6" s="1302"/>
      <c r="Q6" s="1302"/>
      <c r="R6" s="1302"/>
      <c r="S6" s="1302"/>
      <c r="T6" s="1302"/>
      <c r="U6" s="1302"/>
      <c r="V6" s="1302"/>
      <c r="W6" s="1302"/>
      <c r="X6" s="1302"/>
      <c r="Y6" s="1302"/>
      <c r="Z6" s="1302"/>
      <c r="AA6" s="1302"/>
      <c r="AB6" s="1302"/>
      <c r="AC6" s="1302"/>
      <c r="AD6" s="1302"/>
      <c r="AE6" s="1302"/>
      <c r="AF6" s="1302"/>
      <c r="AG6" s="1302"/>
      <c r="AH6" s="1302"/>
      <c r="AI6" s="1302"/>
      <c r="AJ6" s="1302"/>
      <c r="AK6" s="1302"/>
      <c r="AL6" s="1302"/>
      <c r="AM6" s="1302"/>
      <c r="AN6" s="1302"/>
      <c r="AO6" s="1302"/>
      <c r="AP6" s="1302"/>
      <c r="AQ6" s="1302"/>
      <c r="AR6" s="1302"/>
      <c r="AS6" s="1302"/>
      <c r="AT6" s="1302"/>
      <c r="AU6" s="1302"/>
      <c r="AV6" s="1302"/>
      <c r="AW6" s="1302"/>
      <c r="AX6" s="1302"/>
      <c r="AY6" s="1302"/>
      <c r="AZ6" s="1302"/>
      <c r="BA6" s="1302"/>
      <c r="BB6" s="1302"/>
      <c r="BC6" s="1302"/>
      <c r="BD6" s="1302"/>
      <c r="BE6" s="1302"/>
      <c r="BF6" s="1302"/>
      <c r="BG6" s="1302"/>
      <c r="BH6" s="1302"/>
      <c r="BI6" s="1302"/>
      <c r="BJ6" s="1302"/>
      <c r="BK6" s="1302"/>
      <c r="BL6" s="1302"/>
      <c r="BM6" s="1302"/>
      <c r="BN6" s="1302"/>
      <c r="BO6" s="1302"/>
      <c r="BP6" s="1302"/>
      <c r="BQ6" s="1302"/>
      <c r="BR6" s="1302"/>
      <c r="BS6" s="1302"/>
      <c r="BT6" s="1302"/>
      <c r="BU6" s="1302"/>
      <c r="BV6" s="1302"/>
      <c r="BW6" s="1302"/>
      <c r="BX6" s="1302"/>
      <c r="BY6" s="1302"/>
      <c r="BZ6" s="1302"/>
      <c r="CA6" s="1302"/>
      <c r="CB6" s="1302"/>
      <c r="CC6" s="1302"/>
      <c r="CD6" s="1302"/>
      <c r="CE6" s="1302"/>
      <c r="CF6" s="1302"/>
      <c r="CG6" s="1302"/>
      <c r="CH6" s="1302"/>
      <c r="CI6" s="1302"/>
      <c r="CJ6" s="1302"/>
      <c r="CK6" s="1302"/>
      <c r="CL6" s="1302"/>
      <c r="CM6" s="1302"/>
      <c r="CN6" s="1302"/>
      <c r="CO6" s="1302"/>
      <c r="CP6" s="1302"/>
      <c r="CQ6" s="1302"/>
      <c r="CR6" s="1302"/>
      <c r="CS6" s="1302"/>
      <c r="CT6" s="1302"/>
      <c r="CU6" s="1302"/>
      <c r="CV6" s="1302"/>
      <c r="CW6" s="1302"/>
      <c r="CX6" s="1302"/>
      <c r="CY6" s="1302"/>
      <c r="CZ6" s="1302"/>
      <c r="DA6" s="1302"/>
      <c r="DB6" s="1302"/>
      <c r="DC6" s="1302"/>
      <c r="DD6" s="1302"/>
      <c r="DE6" s="1302"/>
      <c r="DF6" s="1302"/>
      <c r="DG6" s="1302"/>
      <c r="DH6" s="1302"/>
      <c r="DI6" s="1302"/>
      <c r="DJ6" s="1302"/>
      <c r="DK6" s="1302"/>
      <c r="DL6" s="1302"/>
      <c r="DM6" s="1302"/>
      <c r="DN6" s="1302"/>
      <c r="DO6" s="1302"/>
      <c r="DP6" s="1302"/>
      <c r="DQ6" s="1302"/>
      <c r="DR6" s="1302"/>
      <c r="DS6" s="1302"/>
      <c r="DT6" s="1302"/>
      <c r="DU6" s="1302"/>
      <c r="DV6" s="1302"/>
      <c r="DW6" s="1302"/>
      <c r="DX6" s="1302"/>
      <c r="DY6" s="1302"/>
      <c r="DZ6" s="1302"/>
      <c r="EA6" s="1302"/>
      <c r="EB6" s="1302"/>
      <c r="EC6" s="1302"/>
      <c r="ED6" s="1302"/>
      <c r="EE6" s="1302"/>
      <c r="EF6" s="1302"/>
      <c r="EG6" s="1302"/>
      <c r="EH6" s="1302"/>
      <c r="EI6" s="1302"/>
      <c r="EJ6" s="1302"/>
      <c r="EK6" s="1302"/>
      <c r="EL6" s="1302"/>
      <c r="EM6" s="1302"/>
      <c r="EN6" s="1302"/>
      <c r="EO6" s="1302"/>
      <c r="EP6" s="1302"/>
      <c r="EQ6" s="1302"/>
      <c r="ER6" s="1302"/>
      <c r="ES6" s="1302"/>
      <c r="ET6" s="1302"/>
      <c r="EU6" s="1302"/>
      <c r="EV6" s="1302"/>
      <c r="EW6" s="1302"/>
      <c r="EX6" s="1302"/>
      <c r="EY6" s="1302"/>
      <c r="EZ6" s="1302"/>
      <c r="FA6" s="1302"/>
      <c r="FB6" s="1302"/>
      <c r="FC6" s="1302"/>
      <c r="FD6" s="1302"/>
      <c r="FE6" s="1302"/>
      <c r="FF6" s="1302"/>
      <c r="FG6" s="1302"/>
      <c r="FH6" s="1302"/>
      <c r="FI6" s="1302"/>
      <c r="FJ6" s="1302"/>
      <c r="FK6" s="1302"/>
      <c r="FL6" s="1302"/>
      <c r="FM6" s="1302"/>
      <c r="FN6" s="1302"/>
      <c r="FO6" s="1302"/>
      <c r="FP6" s="1302"/>
      <c r="FQ6" s="1302"/>
      <c r="FR6" s="1302"/>
      <c r="FS6" s="1302"/>
      <c r="FT6" s="1302"/>
      <c r="FU6" s="1302"/>
      <c r="FV6" s="1302"/>
      <c r="FW6" s="1302"/>
      <c r="FX6" s="1302"/>
      <c r="FY6" s="1302"/>
      <c r="FZ6" s="1302"/>
      <c r="GA6" s="1302"/>
      <c r="GB6" s="1302"/>
      <c r="GC6" s="1302"/>
      <c r="GD6" s="1302"/>
      <c r="GE6" s="1302"/>
      <c r="GF6" s="1302"/>
      <c r="GG6" s="1302"/>
      <c r="GH6" s="1302"/>
      <c r="GI6" s="1302"/>
      <c r="GJ6" s="1302"/>
      <c r="GK6" s="1302"/>
      <c r="GL6" s="1302"/>
      <c r="GM6" s="1302"/>
      <c r="GN6" s="1302"/>
      <c r="GO6" s="1302"/>
      <c r="GP6" s="1302"/>
      <c r="GQ6" s="1302"/>
      <c r="GR6" s="1302"/>
      <c r="GS6" s="1302"/>
      <c r="GT6" s="1302"/>
      <c r="GU6" s="1302"/>
      <c r="GV6" s="1302"/>
      <c r="GW6" s="1302"/>
      <c r="GX6" s="1302"/>
      <c r="GY6" s="1302"/>
      <c r="GZ6" s="1302"/>
      <c r="HA6" s="1302"/>
      <c r="HB6" s="1302"/>
      <c r="HC6" s="1302"/>
      <c r="HD6" s="1302"/>
      <c r="HE6" s="1302"/>
      <c r="HF6" s="1302"/>
      <c r="HG6" s="1302"/>
      <c r="HH6" s="1302"/>
      <c r="HI6" s="1302"/>
      <c r="HJ6" s="1302"/>
      <c r="HK6" s="1302"/>
      <c r="HL6" s="1302"/>
      <c r="HM6" s="1302"/>
      <c r="HN6" s="1302"/>
      <c r="HO6" s="1302"/>
      <c r="HP6" s="1302"/>
      <c r="HQ6" s="1302"/>
      <c r="HR6" s="1302"/>
      <c r="HS6" s="1302"/>
      <c r="HT6" s="1302"/>
      <c r="HU6" s="1302"/>
      <c r="HV6" s="1302"/>
      <c r="HW6" s="1302"/>
      <c r="HX6" s="1302"/>
      <c r="HY6" s="1302"/>
      <c r="HZ6" s="1302"/>
      <c r="IA6" s="1302"/>
      <c r="IB6" s="1302"/>
      <c r="IC6" s="1302"/>
      <c r="ID6" s="1302"/>
      <c r="IE6" s="1302"/>
      <c r="IF6" s="1302"/>
      <c r="IG6" s="1302"/>
      <c r="IH6" s="1302"/>
      <c r="II6" s="1302"/>
      <c r="IJ6" s="1302"/>
      <c r="IK6" s="1302"/>
      <c r="IL6" s="1302"/>
      <c r="IM6" s="1302"/>
      <c r="IN6" s="1302"/>
      <c r="IO6" s="1302"/>
      <c r="IP6" s="1302"/>
      <c r="IQ6" s="1302"/>
      <c r="IR6" s="1302"/>
      <c r="IS6" s="1302"/>
      <c r="IT6" s="1302"/>
      <c r="IU6" s="1302"/>
      <c r="IV6" s="1302"/>
    </row>
    <row r="7" spans="1:256" x14ac:dyDescent="0.25">
      <c r="A7" s="1263" t="s">
        <v>115</v>
      </c>
      <c r="B7" s="1294" t="s">
        <v>2264</v>
      </c>
      <c r="C7" s="1255"/>
      <c r="D7" s="1255"/>
      <c r="E7" s="1255"/>
      <c r="F7" s="1255"/>
      <c r="G7" s="1255"/>
      <c r="H7" s="1255"/>
      <c r="I7" s="1255"/>
      <c r="J7" s="1255"/>
      <c r="K7" s="1255"/>
      <c r="L7" s="1255"/>
      <c r="M7" s="1255"/>
      <c r="N7" s="1255"/>
      <c r="O7" s="1254"/>
      <c r="P7" s="1302"/>
      <c r="Q7" s="1302"/>
      <c r="R7" s="1302"/>
      <c r="S7" s="1302"/>
      <c r="T7" s="1302"/>
      <c r="U7" s="1302"/>
      <c r="V7" s="1302"/>
      <c r="W7" s="1302"/>
      <c r="X7" s="1302"/>
      <c r="Y7" s="1302"/>
      <c r="Z7" s="1302"/>
      <c r="AA7" s="1302"/>
      <c r="AB7" s="1302"/>
      <c r="AC7" s="1302"/>
      <c r="AD7" s="1302"/>
      <c r="AE7" s="1302"/>
      <c r="AF7" s="1302"/>
      <c r="AG7" s="1302"/>
      <c r="AH7" s="1302"/>
      <c r="AI7" s="1302"/>
      <c r="AJ7" s="1302"/>
      <c r="AK7" s="1302"/>
      <c r="AL7" s="1302"/>
      <c r="AM7" s="1302"/>
      <c r="AN7" s="1302"/>
      <c r="AO7" s="1302"/>
      <c r="AP7" s="1302"/>
      <c r="AQ7" s="1302"/>
      <c r="AR7" s="1302"/>
      <c r="AS7" s="1302"/>
      <c r="AT7" s="1302"/>
      <c r="AU7" s="1302"/>
      <c r="AV7" s="1302"/>
      <c r="AW7" s="1302"/>
      <c r="AX7" s="1302"/>
      <c r="AY7" s="1302"/>
      <c r="AZ7" s="1302"/>
      <c r="BA7" s="1302"/>
      <c r="BB7" s="1302"/>
      <c r="BC7" s="1302"/>
      <c r="BD7" s="1302"/>
      <c r="BE7" s="1302"/>
      <c r="BF7" s="1302"/>
      <c r="BG7" s="1302"/>
      <c r="BH7" s="1302"/>
      <c r="BI7" s="1302"/>
      <c r="BJ7" s="1302"/>
      <c r="BK7" s="1302"/>
      <c r="BL7" s="1302"/>
      <c r="BM7" s="1302"/>
      <c r="BN7" s="1302"/>
      <c r="BO7" s="1302"/>
      <c r="BP7" s="1302"/>
      <c r="BQ7" s="1302"/>
      <c r="BR7" s="1302"/>
      <c r="BS7" s="1302"/>
      <c r="BT7" s="1302"/>
      <c r="BU7" s="1302"/>
      <c r="BV7" s="1302"/>
      <c r="BW7" s="1302"/>
      <c r="BX7" s="1302"/>
      <c r="BY7" s="1302"/>
      <c r="BZ7" s="1302"/>
      <c r="CA7" s="1302"/>
      <c r="CB7" s="1302"/>
      <c r="CC7" s="1302"/>
      <c r="CD7" s="1302"/>
      <c r="CE7" s="1302"/>
      <c r="CF7" s="1302"/>
      <c r="CG7" s="1302"/>
      <c r="CH7" s="1302"/>
      <c r="CI7" s="1302"/>
      <c r="CJ7" s="1302"/>
      <c r="CK7" s="1302"/>
      <c r="CL7" s="1302"/>
      <c r="CM7" s="1302"/>
      <c r="CN7" s="1302"/>
      <c r="CO7" s="1302"/>
      <c r="CP7" s="1302"/>
      <c r="CQ7" s="1302"/>
      <c r="CR7" s="1302"/>
      <c r="CS7" s="1302"/>
      <c r="CT7" s="1302"/>
      <c r="CU7" s="1302"/>
      <c r="CV7" s="1302"/>
      <c r="CW7" s="1302"/>
      <c r="CX7" s="1302"/>
      <c r="CY7" s="1302"/>
      <c r="CZ7" s="1302"/>
      <c r="DA7" s="1302"/>
      <c r="DB7" s="1302"/>
      <c r="DC7" s="1302"/>
      <c r="DD7" s="1302"/>
      <c r="DE7" s="1302"/>
      <c r="DF7" s="1302"/>
      <c r="DG7" s="1302"/>
      <c r="DH7" s="1302"/>
      <c r="DI7" s="1302"/>
      <c r="DJ7" s="1302"/>
      <c r="DK7" s="1302"/>
      <c r="DL7" s="1302"/>
      <c r="DM7" s="1302"/>
      <c r="DN7" s="1302"/>
      <c r="DO7" s="1302"/>
      <c r="DP7" s="1302"/>
      <c r="DQ7" s="1302"/>
      <c r="DR7" s="1302"/>
      <c r="DS7" s="1302"/>
      <c r="DT7" s="1302"/>
      <c r="DU7" s="1302"/>
      <c r="DV7" s="1302"/>
      <c r="DW7" s="1302"/>
      <c r="DX7" s="1302"/>
      <c r="DY7" s="1302"/>
      <c r="DZ7" s="1302"/>
      <c r="EA7" s="1302"/>
      <c r="EB7" s="1302"/>
      <c r="EC7" s="1302"/>
      <c r="ED7" s="1302"/>
      <c r="EE7" s="1302"/>
      <c r="EF7" s="1302"/>
      <c r="EG7" s="1302"/>
      <c r="EH7" s="1302"/>
      <c r="EI7" s="1302"/>
      <c r="EJ7" s="1302"/>
      <c r="EK7" s="1302"/>
      <c r="EL7" s="1302"/>
      <c r="EM7" s="1302"/>
      <c r="EN7" s="1302"/>
      <c r="EO7" s="1302"/>
      <c r="EP7" s="1302"/>
      <c r="EQ7" s="1302"/>
      <c r="ER7" s="1302"/>
      <c r="ES7" s="1302"/>
      <c r="ET7" s="1302"/>
      <c r="EU7" s="1302"/>
      <c r="EV7" s="1302"/>
      <c r="EW7" s="1302"/>
      <c r="EX7" s="1302"/>
      <c r="EY7" s="1302"/>
      <c r="EZ7" s="1302"/>
      <c r="FA7" s="1302"/>
      <c r="FB7" s="1302"/>
      <c r="FC7" s="1302"/>
      <c r="FD7" s="1302"/>
      <c r="FE7" s="1302"/>
      <c r="FF7" s="1302"/>
      <c r="FG7" s="1302"/>
      <c r="FH7" s="1302"/>
      <c r="FI7" s="1302"/>
      <c r="FJ7" s="1302"/>
      <c r="FK7" s="1302"/>
      <c r="FL7" s="1302"/>
      <c r="FM7" s="1302"/>
      <c r="FN7" s="1302"/>
      <c r="FO7" s="1302"/>
      <c r="FP7" s="1302"/>
      <c r="FQ7" s="1302"/>
      <c r="FR7" s="1302"/>
      <c r="FS7" s="1302"/>
      <c r="FT7" s="1302"/>
      <c r="FU7" s="1302"/>
      <c r="FV7" s="1302"/>
      <c r="FW7" s="1302"/>
      <c r="FX7" s="1302"/>
      <c r="FY7" s="1302"/>
      <c r="FZ7" s="1302"/>
      <c r="GA7" s="1302"/>
      <c r="GB7" s="1302"/>
      <c r="GC7" s="1302"/>
      <c r="GD7" s="1302"/>
      <c r="GE7" s="1302"/>
      <c r="GF7" s="1302"/>
      <c r="GG7" s="1302"/>
      <c r="GH7" s="1302"/>
      <c r="GI7" s="1302"/>
      <c r="GJ7" s="1302"/>
      <c r="GK7" s="1302"/>
      <c r="GL7" s="1302"/>
      <c r="GM7" s="1302"/>
      <c r="GN7" s="1302"/>
      <c r="GO7" s="1302"/>
      <c r="GP7" s="1302"/>
      <c r="GQ7" s="1302"/>
      <c r="GR7" s="1302"/>
      <c r="GS7" s="1302"/>
      <c r="GT7" s="1302"/>
      <c r="GU7" s="1302"/>
      <c r="GV7" s="1302"/>
      <c r="GW7" s="1302"/>
      <c r="GX7" s="1302"/>
      <c r="GY7" s="1302"/>
      <c r="GZ7" s="1302"/>
      <c r="HA7" s="1302"/>
      <c r="HB7" s="1302"/>
      <c r="HC7" s="1302"/>
      <c r="HD7" s="1302"/>
      <c r="HE7" s="1302"/>
      <c r="HF7" s="1302"/>
      <c r="HG7" s="1302"/>
      <c r="HH7" s="1302"/>
      <c r="HI7" s="1302"/>
      <c r="HJ7" s="1302"/>
      <c r="HK7" s="1302"/>
      <c r="HL7" s="1302"/>
      <c r="HM7" s="1302"/>
      <c r="HN7" s="1302"/>
      <c r="HO7" s="1302"/>
      <c r="HP7" s="1302"/>
      <c r="HQ7" s="1302"/>
      <c r="HR7" s="1302"/>
      <c r="HS7" s="1302"/>
      <c r="HT7" s="1302"/>
      <c r="HU7" s="1302"/>
      <c r="HV7" s="1302"/>
      <c r="HW7" s="1302"/>
      <c r="HX7" s="1302"/>
      <c r="HY7" s="1302"/>
      <c r="HZ7" s="1302"/>
      <c r="IA7" s="1302"/>
      <c r="IB7" s="1302"/>
      <c r="IC7" s="1302"/>
      <c r="ID7" s="1302"/>
      <c r="IE7" s="1302"/>
      <c r="IF7" s="1302"/>
      <c r="IG7" s="1302"/>
      <c r="IH7" s="1302"/>
      <c r="II7" s="1302"/>
      <c r="IJ7" s="1302"/>
      <c r="IK7" s="1302"/>
      <c r="IL7" s="1302"/>
      <c r="IM7" s="1302"/>
      <c r="IN7" s="1302"/>
      <c r="IO7" s="1302"/>
      <c r="IP7" s="1302"/>
      <c r="IQ7" s="1302"/>
      <c r="IR7" s="1302"/>
      <c r="IS7" s="1302"/>
      <c r="IT7" s="1302"/>
      <c r="IU7" s="1302"/>
      <c r="IV7" s="1302"/>
    </row>
    <row r="8" spans="1:256" x14ac:dyDescent="0.25">
      <c r="A8" s="1264"/>
      <c r="B8" s="1255"/>
      <c r="C8" s="1255"/>
      <c r="D8" s="1255"/>
      <c r="E8" s="1255"/>
      <c r="F8" s="1255"/>
      <c r="G8" s="1255"/>
      <c r="H8" s="1255"/>
      <c r="I8" s="1255"/>
      <c r="J8" s="1255"/>
      <c r="K8" s="1255"/>
      <c r="L8" s="1255"/>
      <c r="M8" s="1255"/>
      <c r="N8" s="1255"/>
      <c r="O8" s="1254"/>
      <c r="P8" s="1302"/>
      <c r="Q8" s="1302"/>
      <c r="R8" s="1302"/>
      <c r="S8" s="1302"/>
      <c r="T8" s="1302"/>
      <c r="U8" s="1302"/>
      <c r="V8" s="1302"/>
      <c r="W8" s="1302"/>
      <c r="X8" s="1302"/>
      <c r="Y8" s="1302"/>
      <c r="Z8" s="1302"/>
      <c r="AA8" s="1302"/>
      <c r="AB8" s="1302"/>
      <c r="AC8" s="1302"/>
      <c r="AD8" s="1302"/>
      <c r="AE8" s="1302"/>
      <c r="AF8" s="1302"/>
      <c r="AG8" s="1302"/>
      <c r="AH8" s="1302"/>
      <c r="AI8" s="1302"/>
      <c r="AJ8" s="1302"/>
      <c r="AK8" s="1302"/>
      <c r="AL8" s="1302"/>
      <c r="AM8" s="1302"/>
      <c r="AN8" s="1302"/>
      <c r="AO8" s="1302"/>
      <c r="AP8" s="1302"/>
      <c r="AQ8" s="1302"/>
      <c r="AR8" s="1302"/>
      <c r="AS8" s="1302"/>
      <c r="AT8" s="1302"/>
      <c r="AU8" s="1302"/>
      <c r="AV8" s="1302"/>
      <c r="AW8" s="1302"/>
      <c r="AX8" s="1302"/>
      <c r="AY8" s="1302"/>
      <c r="AZ8" s="1302"/>
      <c r="BA8" s="1302"/>
      <c r="BB8" s="1302"/>
      <c r="BC8" s="1302"/>
      <c r="BD8" s="1302"/>
      <c r="BE8" s="1302"/>
      <c r="BF8" s="1302"/>
      <c r="BG8" s="1302"/>
      <c r="BH8" s="1302"/>
      <c r="BI8" s="1302"/>
      <c r="BJ8" s="1302"/>
      <c r="BK8" s="1302"/>
      <c r="BL8" s="1302"/>
      <c r="BM8" s="1302"/>
      <c r="BN8" s="1302"/>
      <c r="BO8" s="1302"/>
      <c r="BP8" s="1302"/>
      <c r="BQ8" s="1302"/>
      <c r="BR8" s="1302"/>
      <c r="BS8" s="1302"/>
      <c r="BT8" s="1302"/>
      <c r="BU8" s="1302"/>
      <c r="BV8" s="1302"/>
      <c r="BW8" s="1302"/>
      <c r="BX8" s="1302"/>
      <c r="BY8" s="1302"/>
      <c r="BZ8" s="1302"/>
      <c r="CA8" s="1302"/>
      <c r="CB8" s="1302"/>
      <c r="CC8" s="1302"/>
      <c r="CD8" s="1302"/>
      <c r="CE8" s="1302"/>
      <c r="CF8" s="1302"/>
      <c r="CG8" s="1302"/>
      <c r="CH8" s="1302"/>
      <c r="CI8" s="1302"/>
      <c r="CJ8" s="1302"/>
      <c r="CK8" s="1302"/>
      <c r="CL8" s="1302"/>
      <c r="CM8" s="1302"/>
      <c r="CN8" s="1302"/>
      <c r="CO8" s="1302"/>
      <c r="CP8" s="1302"/>
      <c r="CQ8" s="1302"/>
      <c r="CR8" s="1302"/>
      <c r="CS8" s="1302"/>
      <c r="CT8" s="1302"/>
      <c r="CU8" s="1302"/>
      <c r="CV8" s="1302"/>
      <c r="CW8" s="1302"/>
      <c r="CX8" s="1302"/>
      <c r="CY8" s="1302"/>
      <c r="CZ8" s="1302"/>
      <c r="DA8" s="1302"/>
      <c r="DB8" s="1302"/>
      <c r="DC8" s="1302"/>
      <c r="DD8" s="1302"/>
      <c r="DE8" s="1302"/>
      <c r="DF8" s="1302"/>
      <c r="DG8" s="1302"/>
      <c r="DH8" s="1302"/>
      <c r="DI8" s="1302"/>
      <c r="DJ8" s="1302"/>
      <c r="DK8" s="1302"/>
      <c r="DL8" s="1302"/>
      <c r="DM8" s="1302"/>
      <c r="DN8" s="1302"/>
      <c r="DO8" s="1302"/>
      <c r="DP8" s="1302"/>
      <c r="DQ8" s="1302"/>
      <c r="DR8" s="1302"/>
      <c r="DS8" s="1302"/>
      <c r="DT8" s="1302"/>
      <c r="DU8" s="1302"/>
      <c r="DV8" s="1302"/>
      <c r="DW8" s="1302"/>
      <c r="DX8" s="1302"/>
      <c r="DY8" s="1302"/>
      <c r="DZ8" s="1302"/>
      <c r="EA8" s="1302"/>
      <c r="EB8" s="1302"/>
      <c r="EC8" s="1302"/>
      <c r="ED8" s="1302"/>
      <c r="EE8" s="1302"/>
      <c r="EF8" s="1302"/>
      <c r="EG8" s="1302"/>
      <c r="EH8" s="1302"/>
      <c r="EI8" s="1302"/>
      <c r="EJ8" s="1302"/>
      <c r="EK8" s="1302"/>
      <c r="EL8" s="1302"/>
      <c r="EM8" s="1302"/>
      <c r="EN8" s="1302"/>
      <c r="EO8" s="1302"/>
      <c r="EP8" s="1302"/>
      <c r="EQ8" s="1302"/>
      <c r="ER8" s="1302"/>
      <c r="ES8" s="1302"/>
      <c r="ET8" s="1302"/>
      <c r="EU8" s="1302"/>
      <c r="EV8" s="1302"/>
      <c r="EW8" s="1302"/>
      <c r="EX8" s="1302"/>
      <c r="EY8" s="1302"/>
      <c r="EZ8" s="1302"/>
      <c r="FA8" s="1302"/>
      <c r="FB8" s="1302"/>
      <c r="FC8" s="1302"/>
      <c r="FD8" s="1302"/>
      <c r="FE8" s="1302"/>
      <c r="FF8" s="1302"/>
      <c r="FG8" s="1302"/>
      <c r="FH8" s="1302"/>
      <c r="FI8" s="1302"/>
      <c r="FJ8" s="1302"/>
      <c r="FK8" s="1302"/>
      <c r="FL8" s="1302"/>
      <c r="FM8" s="1302"/>
      <c r="FN8" s="1302"/>
      <c r="FO8" s="1302"/>
      <c r="FP8" s="1302"/>
      <c r="FQ8" s="1302"/>
      <c r="FR8" s="1302"/>
      <c r="FS8" s="1302"/>
      <c r="FT8" s="1302"/>
      <c r="FU8" s="1302"/>
      <c r="FV8" s="1302"/>
      <c r="FW8" s="1302"/>
      <c r="FX8" s="1302"/>
      <c r="FY8" s="1302"/>
      <c r="FZ8" s="1302"/>
      <c r="GA8" s="1302"/>
      <c r="GB8" s="1302"/>
      <c r="GC8" s="1302"/>
      <c r="GD8" s="1302"/>
      <c r="GE8" s="1302"/>
      <c r="GF8" s="1302"/>
      <c r="GG8" s="1302"/>
      <c r="GH8" s="1302"/>
      <c r="GI8" s="1302"/>
      <c r="GJ8" s="1302"/>
      <c r="GK8" s="1302"/>
      <c r="GL8" s="1302"/>
      <c r="GM8" s="1302"/>
      <c r="GN8" s="1302"/>
      <c r="GO8" s="1302"/>
      <c r="GP8" s="1302"/>
      <c r="GQ8" s="1302"/>
      <c r="GR8" s="1302"/>
      <c r="GS8" s="1302"/>
      <c r="GT8" s="1302"/>
      <c r="GU8" s="1302"/>
      <c r="GV8" s="1302"/>
      <c r="GW8" s="1302"/>
      <c r="GX8" s="1302"/>
      <c r="GY8" s="1302"/>
      <c r="GZ8" s="1302"/>
      <c r="HA8" s="1302"/>
      <c r="HB8" s="1302"/>
      <c r="HC8" s="1302"/>
      <c r="HD8" s="1302"/>
      <c r="HE8" s="1302"/>
      <c r="HF8" s="1302"/>
      <c r="HG8" s="1302"/>
      <c r="HH8" s="1302"/>
      <c r="HI8" s="1302"/>
      <c r="HJ8" s="1302"/>
      <c r="HK8" s="1302"/>
      <c r="HL8" s="1302"/>
      <c r="HM8" s="1302"/>
      <c r="HN8" s="1302"/>
      <c r="HO8" s="1302"/>
      <c r="HP8" s="1302"/>
      <c r="HQ8" s="1302"/>
      <c r="HR8" s="1302"/>
      <c r="HS8" s="1302"/>
      <c r="HT8" s="1302"/>
      <c r="HU8" s="1302"/>
      <c r="HV8" s="1302"/>
      <c r="HW8" s="1302"/>
      <c r="HX8" s="1302"/>
      <c r="HY8" s="1302"/>
      <c r="HZ8" s="1302"/>
      <c r="IA8" s="1302"/>
      <c r="IB8" s="1302"/>
      <c r="IC8" s="1302"/>
      <c r="ID8" s="1302"/>
      <c r="IE8" s="1302"/>
      <c r="IF8" s="1302"/>
      <c r="IG8" s="1302"/>
      <c r="IH8" s="1302"/>
      <c r="II8" s="1302"/>
      <c r="IJ8" s="1302"/>
      <c r="IK8" s="1302"/>
      <c r="IL8" s="1302"/>
      <c r="IM8" s="1302"/>
      <c r="IN8" s="1302"/>
      <c r="IO8" s="1302"/>
      <c r="IP8" s="1302"/>
      <c r="IQ8" s="1302"/>
      <c r="IR8" s="1302"/>
      <c r="IS8" s="1302"/>
      <c r="IT8" s="1302"/>
      <c r="IU8" s="1302"/>
      <c r="IV8" s="1302"/>
    </row>
    <row r="9" spans="1:256" x14ac:dyDescent="0.25">
      <c r="A9" s="1263" t="s">
        <v>67</v>
      </c>
      <c r="B9" s="1263" t="s">
        <v>114</v>
      </c>
      <c r="C9" s="1263" t="s">
        <v>113</v>
      </c>
      <c r="D9" s="1263" t="s">
        <v>40</v>
      </c>
      <c r="E9" s="1263" t="s">
        <v>58</v>
      </c>
      <c r="F9" s="1255"/>
      <c r="G9" s="1255"/>
      <c r="H9" s="1255"/>
      <c r="I9" s="1255"/>
      <c r="J9" s="1255"/>
      <c r="K9" s="1255"/>
      <c r="L9" s="1255"/>
      <c r="M9" s="1255"/>
      <c r="N9" s="1255"/>
      <c r="O9" s="1254"/>
      <c r="P9" s="1302"/>
      <c r="Q9" s="1302"/>
      <c r="R9" s="1302"/>
      <c r="S9" s="1302"/>
      <c r="T9" s="1302"/>
      <c r="U9" s="1302"/>
      <c r="V9" s="1302"/>
      <c r="W9" s="1302"/>
      <c r="X9" s="1302"/>
      <c r="Y9" s="1302"/>
      <c r="Z9" s="1302"/>
      <c r="AA9" s="1302"/>
      <c r="AB9" s="1302"/>
      <c r="AC9" s="1302"/>
      <c r="AD9" s="1302"/>
      <c r="AE9" s="1302"/>
      <c r="AF9" s="1302"/>
      <c r="AG9" s="1302"/>
      <c r="AH9" s="1302"/>
      <c r="AI9" s="1302"/>
      <c r="AJ9" s="1302"/>
      <c r="AK9" s="1302"/>
      <c r="AL9" s="1302"/>
      <c r="AM9" s="1302"/>
      <c r="AN9" s="1302"/>
      <c r="AO9" s="1302"/>
      <c r="AP9" s="1302"/>
      <c r="AQ9" s="1302"/>
      <c r="AR9" s="1302"/>
      <c r="AS9" s="1302"/>
      <c r="AT9" s="1302"/>
      <c r="AU9" s="1302"/>
      <c r="AV9" s="1302"/>
      <c r="AW9" s="1302"/>
      <c r="AX9" s="1302"/>
      <c r="AY9" s="1302"/>
      <c r="AZ9" s="1302"/>
      <c r="BA9" s="1302"/>
      <c r="BB9" s="1302"/>
      <c r="BC9" s="1302"/>
      <c r="BD9" s="1302"/>
      <c r="BE9" s="1302"/>
      <c r="BF9" s="1302"/>
      <c r="BG9" s="1302"/>
      <c r="BH9" s="1302"/>
      <c r="BI9" s="1302"/>
      <c r="BJ9" s="1302"/>
      <c r="BK9" s="1302"/>
      <c r="BL9" s="1302"/>
      <c r="BM9" s="1302"/>
      <c r="BN9" s="1302"/>
      <c r="BO9" s="1302"/>
      <c r="BP9" s="1302"/>
      <c r="BQ9" s="1302"/>
      <c r="BR9" s="1302"/>
      <c r="BS9" s="1302"/>
      <c r="BT9" s="1302"/>
      <c r="BU9" s="1302"/>
      <c r="BV9" s="1302"/>
      <c r="BW9" s="1302"/>
      <c r="BX9" s="1302"/>
      <c r="BY9" s="1302"/>
      <c r="BZ9" s="1302"/>
      <c r="CA9" s="1302"/>
      <c r="CB9" s="1302"/>
      <c r="CC9" s="1302"/>
      <c r="CD9" s="1302"/>
      <c r="CE9" s="1302"/>
      <c r="CF9" s="1302"/>
      <c r="CG9" s="1302"/>
      <c r="CH9" s="1302"/>
      <c r="CI9" s="1302"/>
      <c r="CJ9" s="1302"/>
      <c r="CK9" s="1302"/>
      <c r="CL9" s="1302"/>
      <c r="CM9" s="1302"/>
      <c r="CN9" s="1302"/>
      <c r="CO9" s="1302"/>
      <c r="CP9" s="1302"/>
      <c r="CQ9" s="1302"/>
      <c r="CR9" s="1302"/>
      <c r="CS9" s="1302"/>
      <c r="CT9" s="1302"/>
      <c r="CU9" s="1302"/>
      <c r="CV9" s="1302"/>
      <c r="CW9" s="1302"/>
      <c r="CX9" s="1302"/>
      <c r="CY9" s="1302"/>
      <c r="CZ9" s="1302"/>
      <c r="DA9" s="1302"/>
      <c r="DB9" s="1302"/>
      <c r="DC9" s="1302"/>
      <c r="DD9" s="1302"/>
      <c r="DE9" s="1302"/>
      <c r="DF9" s="1302"/>
      <c r="DG9" s="1302"/>
      <c r="DH9" s="1302"/>
      <c r="DI9" s="1302"/>
      <c r="DJ9" s="1302"/>
      <c r="DK9" s="1302"/>
      <c r="DL9" s="1302"/>
      <c r="DM9" s="1302"/>
      <c r="DN9" s="1302"/>
      <c r="DO9" s="1302"/>
      <c r="DP9" s="1302"/>
      <c r="DQ9" s="1302"/>
      <c r="DR9" s="1302"/>
      <c r="DS9" s="1302"/>
      <c r="DT9" s="1302"/>
      <c r="DU9" s="1302"/>
      <c r="DV9" s="1302"/>
      <c r="DW9" s="1302"/>
      <c r="DX9" s="1302"/>
      <c r="DY9" s="1302"/>
      <c r="DZ9" s="1302"/>
      <c r="EA9" s="1302"/>
      <c r="EB9" s="1302"/>
      <c r="EC9" s="1302"/>
      <c r="ED9" s="1302"/>
      <c r="EE9" s="1302"/>
      <c r="EF9" s="1302"/>
      <c r="EG9" s="1302"/>
      <c r="EH9" s="1302"/>
      <c r="EI9" s="1302"/>
      <c r="EJ9" s="1302"/>
      <c r="EK9" s="1302"/>
      <c r="EL9" s="1302"/>
      <c r="EM9" s="1302"/>
      <c r="EN9" s="1302"/>
      <c r="EO9" s="1302"/>
      <c r="EP9" s="1302"/>
      <c r="EQ9" s="1302"/>
      <c r="ER9" s="1302"/>
      <c r="ES9" s="1302"/>
      <c r="ET9" s="1302"/>
      <c r="EU9" s="1302"/>
      <c r="EV9" s="1302"/>
      <c r="EW9" s="1302"/>
      <c r="EX9" s="1302"/>
      <c r="EY9" s="1302"/>
      <c r="EZ9" s="1302"/>
      <c r="FA9" s="1302"/>
      <c r="FB9" s="1302"/>
      <c r="FC9" s="1302"/>
      <c r="FD9" s="1302"/>
      <c r="FE9" s="1302"/>
      <c r="FF9" s="1302"/>
      <c r="FG9" s="1302"/>
      <c r="FH9" s="1302"/>
      <c r="FI9" s="1302"/>
      <c r="FJ9" s="1302"/>
      <c r="FK9" s="1302"/>
      <c r="FL9" s="1302"/>
      <c r="FM9" s="1302"/>
      <c r="FN9" s="1302"/>
      <c r="FO9" s="1302"/>
      <c r="FP9" s="1302"/>
      <c r="FQ9" s="1302"/>
      <c r="FR9" s="1302"/>
      <c r="FS9" s="1302"/>
      <c r="FT9" s="1302"/>
      <c r="FU9" s="1302"/>
      <c r="FV9" s="1302"/>
      <c r="FW9" s="1302"/>
      <c r="FX9" s="1302"/>
      <c r="FY9" s="1302"/>
      <c r="FZ9" s="1302"/>
      <c r="GA9" s="1302"/>
      <c r="GB9" s="1302"/>
      <c r="GC9" s="1302"/>
      <c r="GD9" s="1302"/>
      <c r="GE9" s="1302"/>
      <c r="GF9" s="1302"/>
      <c r="GG9" s="1302"/>
      <c r="GH9" s="1302"/>
      <c r="GI9" s="1302"/>
      <c r="GJ9" s="1302"/>
      <c r="GK9" s="1302"/>
      <c r="GL9" s="1302"/>
      <c r="GM9" s="1302"/>
      <c r="GN9" s="1302"/>
      <c r="GO9" s="1302"/>
      <c r="GP9" s="1302"/>
      <c r="GQ9" s="1302"/>
      <c r="GR9" s="1302"/>
      <c r="GS9" s="1302"/>
      <c r="GT9" s="1302"/>
      <c r="GU9" s="1302"/>
      <c r="GV9" s="1302"/>
      <c r="GW9" s="1302"/>
      <c r="GX9" s="1302"/>
      <c r="GY9" s="1302"/>
      <c r="GZ9" s="1302"/>
      <c r="HA9" s="1302"/>
      <c r="HB9" s="1302"/>
      <c r="HC9" s="1302"/>
      <c r="HD9" s="1302"/>
      <c r="HE9" s="1302"/>
      <c r="HF9" s="1302"/>
      <c r="HG9" s="1302"/>
      <c r="HH9" s="1302"/>
      <c r="HI9" s="1302"/>
      <c r="HJ9" s="1302"/>
      <c r="HK9" s="1302"/>
      <c r="HL9" s="1302"/>
      <c r="HM9" s="1302"/>
      <c r="HN9" s="1302"/>
      <c r="HO9" s="1302"/>
      <c r="HP9" s="1302"/>
      <c r="HQ9" s="1302"/>
      <c r="HR9" s="1302"/>
      <c r="HS9" s="1302"/>
      <c r="HT9" s="1302"/>
      <c r="HU9" s="1302"/>
      <c r="HV9" s="1302"/>
      <c r="HW9" s="1302"/>
      <c r="HX9" s="1302"/>
      <c r="HY9" s="1302"/>
      <c r="HZ9" s="1302"/>
      <c r="IA9" s="1302"/>
      <c r="IB9" s="1302"/>
      <c r="IC9" s="1302"/>
      <c r="ID9" s="1302"/>
      <c r="IE9" s="1302"/>
      <c r="IF9" s="1302"/>
      <c r="IG9" s="1302"/>
      <c r="IH9" s="1302"/>
      <c r="II9" s="1302"/>
      <c r="IJ9" s="1302"/>
      <c r="IK9" s="1302"/>
      <c r="IL9" s="1302"/>
      <c r="IM9" s="1302"/>
      <c r="IN9" s="1302"/>
      <c r="IO9" s="1302"/>
      <c r="IP9" s="1302"/>
      <c r="IQ9" s="1302"/>
      <c r="IR9" s="1302"/>
      <c r="IS9" s="1302"/>
      <c r="IT9" s="1302"/>
      <c r="IU9" s="1302"/>
      <c r="IV9" s="1302"/>
    </row>
    <row r="10" spans="1:256" x14ac:dyDescent="0.25">
      <c r="A10" s="1262">
        <v>10</v>
      </c>
      <c r="B10" s="1293" t="str">
        <f>HYPERLINK("#MS_01001",'MS Parts'!B5)</f>
        <v>Firewall Main Plate</v>
      </c>
      <c r="C10" s="1273">
        <f>'MS Parts'!N2</f>
        <v>17.810189504</v>
      </c>
      <c r="D10" s="1298">
        <f>'MS Parts'!N3</f>
        <v>1</v>
      </c>
      <c r="E10" s="1273">
        <f t="shared" ref="E10:E16" si="0">C10*D10</f>
        <v>17.810189504</v>
      </c>
      <c r="F10" s="1255"/>
      <c r="G10" s="1255"/>
      <c r="H10" s="1255"/>
      <c r="I10" s="1255"/>
      <c r="J10" s="1255"/>
      <c r="K10" s="1255"/>
      <c r="L10" s="1255"/>
      <c r="M10" s="1255"/>
      <c r="N10" s="1255"/>
      <c r="O10" s="1254"/>
      <c r="P10" s="1302"/>
      <c r="Q10" s="1302"/>
      <c r="R10" s="1302"/>
      <c r="S10" s="1302"/>
      <c r="T10" s="1302"/>
      <c r="U10" s="1302"/>
      <c r="V10" s="1302"/>
      <c r="W10" s="1302"/>
      <c r="X10" s="1302"/>
      <c r="Y10" s="1302"/>
      <c r="Z10" s="1302"/>
      <c r="AA10" s="1302"/>
      <c r="AB10" s="1302"/>
      <c r="AC10" s="1302"/>
      <c r="AD10" s="1302"/>
      <c r="AE10" s="1302"/>
      <c r="AF10" s="1302"/>
      <c r="AG10" s="1302"/>
      <c r="AH10" s="1302"/>
      <c r="AI10" s="1302"/>
      <c r="AJ10" s="1302"/>
      <c r="AK10" s="1302"/>
      <c r="AL10" s="1302"/>
      <c r="AM10" s="1302"/>
      <c r="AN10" s="1302"/>
      <c r="AO10" s="1302"/>
      <c r="AP10" s="1302"/>
      <c r="AQ10" s="1302"/>
      <c r="AR10" s="1302"/>
      <c r="AS10" s="1302"/>
      <c r="AT10" s="1302"/>
      <c r="AU10" s="1302"/>
      <c r="AV10" s="1302"/>
      <c r="AW10" s="1302"/>
      <c r="AX10" s="1302"/>
      <c r="AY10" s="1302"/>
      <c r="AZ10" s="1302"/>
      <c r="BA10" s="1302"/>
      <c r="BB10" s="1302"/>
      <c r="BC10" s="1302"/>
      <c r="BD10" s="1302"/>
      <c r="BE10" s="1302"/>
      <c r="BF10" s="1302"/>
      <c r="BG10" s="1302"/>
      <c r="BH10" s="1302"/>
      <c r="BI10" s="1302"/>
      <c r="BJ10" s="1302"/>
      <c r="BK10" s="1302"/>
      <c r="BL10" s="1302"/>
      <c r="BM10" s="1302"/>
      <c r="BN10" s="1302"/>
      <c r="BO10" s="1302"/>
      <c r="BP10" s="1302"/>
      <c r="BQ10" s="1302"/>
      <c r="BR10" s="1302"/>
      <c r="BS10" s="1302"/>
      <c r="BT10" s="1302"/>
      <c r="BU10" s="1302"/>
      <c r="BV10" s="1302"/>
      <c r="BW10" s="1302"/>
      <c r="BX10" s="1302"/>
      <c r="BY10" s="1302"/>
      <c r="BZ10" s="1302"/>
      <c r="CA10" s="1302"/>
      <c r="CB10" s="1302"/>
      <c r="CC10" s="1302"/>
      <c r="CD10" s="1302"/>
      <c r="CE10" s="1302"/>
      <c r="CF10" s="1302"/>
      <c r="CG10" s="1302"/>
      <c r="CH10" s="1302"/>
      <c r="CI10" s="1302"/>
      <c r="CJ10" s="1302"/>
      <c r="CK10" s="1302"/>
      <c r="CL10" s="1302"/>
      <c r="CM10" s="1302"/>
      <c r="CN10" s="1302"/>
      <c r="CO10" s="1302"/>
      <c r="CP10" s="1302"/>
      <c r="CQ10" s="1302"/>
      <c r="CR10" s="1302"/>
      <c r="CS10" s="1302"/>
      <c r="CT10" s="1302"/>
      <c r="CU10" s="1302"/>
      <c r="CV10" s="1302"/>
      <c r="CW10" s="1302"/>
      <c r="CX10" s="1302"/>
      <c r="CY10" s="1302"/>
      <c r="CZ10" s="1302"/>
      <c r="DA10" s="1302"/>
      <c r="DB10" s="1302"/>
      <c r="DC10" s="1302"/>
      <c r="DD10" s="1302"/>
      <c r="DE10" s="1302"/>
      <c r="DF10" s="1302"/>
      <c r="DG10" s="1302"/>
      <c r="DH10" s="1302"/>
      <c r="DI10" s="1302"/>
      <c r="DJ10" s="1302"/>
      <c r="DK10" s="1302"/>
      <c r="DL10" s="1302"/>
      <c r="DM10" s="1302"/>
      <c r="DN10" s="1302"/>
      <c r="DO10" s="1302"/>
      <c r="DP10" s="1302"/>
      <c r="DQ10" s="1302"/>
      <c r="DR10" s="1302"/>
      <c r="DS10" s="1302"/>
      <c r="DT10" s="1302"/>
      <c r="DU10" s="1302"/>
      <c r="DV10" s="1302"/>
      <c r="DW10" s="1302"/>
      <c r="DX10" s="1302"/>
      <c r="DY10" s="1302"/>
      <c r="DZ10" s="1302"/>
      <c r="EA10" s="1302"/>
      <c r="EB10" s="1302"/>
      <c r="EC10" s="1302"/>
      <c r="ED10" s="1302"/>
      <c r="EE10" s="1302"/>
      <c r="EF10" s="1302"/>
      <c r="EG10" s="1302"/>
      <c r="EH10" s="1302"/>
      <c r="EI10" s="1302"/>
      <c r="EJ10" s="1302"/>
      <c r="EK10" s="1302"/>
      <c r="EL10" s="1302"/>
      <c r="EM10" s="1302"/>
      <c r="EN10" s="1302"/>
      <c r="EO10" s="1302"/>
      <c r="EP10" s="1302"/>
      <c r="EQ10" s="1302"/>
      <c r="ER10" s="1302"/>
      <c r="ES10" s="1302"/>
      <c r="ET10" s="1302"/>
      <c r="EU10" s="1302"/>
      <c r="EV10" s="1302"/>
      <c r="EW10" s="1302"/>
      <c r="EX10" s="1302"/>
      <c r="EY10" s="1302"/>
      <c r="EZ10" s="1302"/>
      <c r="FA10" s="1302"/>
      <c r="FB10" s="1302"/>
      <c r="FC10" s="1302"/>
      <c r="FD10" s="1302"/>
      <c r="FE10" s="1302"/>
      <c r="FF10" s="1302"/>
      <c r="FG10" s="1302"/>
      <c r="FH10" s="1302"/>
      <c r="FI10" s="1302"/>
      <c r="FJ10" s="1302"/>
      <c r="FK10" s="1302"/>
      <c r="FL10" s="1302"/>
      <c r="FM10" s="1302"/>
      <c r="FN10" s="1302"/>
      <c r="FO10" s="1302"/>
      <c r="FP10" s="1302"/>
      <c r="FQ10" s="1302"/>
      <c r="FR10" s="1302"/>
      <c r="FS10" s="1302"/>
      <c r="FT10" s="1302"/>
      <c r="FU10" s="1302"/>
      <c r="FV10" s="1302"/>
      <c r="FW10" s="1302"/>
      <c r="FX10" s="1302"/>
      <c r="FY10" s="1302"/>
      <c r="FZ10" s="1302"/>
      <c r="GA10" s="1302"/>
      <c r="GB10" s="1302"/>
      <c r="GC10" s="1302"/>
      <c r="GD10" s="1302"/>
      <c r="GE10" s="1302"/>
      <c r="GF10" s="1302"/>
      <c r="GG10" s="1302"/>
      <c r="GH10" s="1302"/>
      <c r="GI10" s="1302"/>
      <c r="GJ10" s="1302"/>
      <c r="GK10" s="1302"/>
      <c r="GL10" s="1302"/>
      <c r="GM10" s="1302"/>
      <c r="GN10" s="1302"/>
      <c r="GO10" s="1302"/>
      <c r="GP10" s="1302"/>
      <c r="GQ10" s="1302"/>
      <c r="GR10" s="1302"/>
      <c r="GS10" s="1302"/>
      <c r="GT10" s="1302"/>
      <c r="GU10" s="1302"/>
      <c r="GV10" s="1302"/>
      <c r="GW10" s="1302"/>
      <c r="GX10" s="1302"/>
      <c r="GY10" s="1302"/>
      <c r="GZ10" s="1302"/>
      <c r="HA10" s="1302"/>
      <c r="HB10" s="1302"/>
      <c r="HC10" s="1302"/>
      <c r="HD10" s="1302"/>
      <c r="HE10" s="1302"/>
      <c r="HF10" s="1302"/>
      <c r="HG10" s="1302"/>
      <c r="HH10" s="1302"/>
      <c r="HI10" s="1302"/>
      <c r="HJ10" s="1302"/>
      <c r="HK10" s="1302"/>
      <c r="HL10" s="1302"/>
      <c r="HM10" s="1302"/>
      <c r="HN10" s="1302"/>
      <c r="HO10" s="1302"/>
      <c r="HP10" s="1302"/>
      <c r="HQ10" s="1302"/>
      <c r="HR10" s="1302"/>
      <c r="HS10" s="1302"/>
      <c r="HT10" s="1302"/>
      <c r="HU10" s="1302"/>
      <c r="HV10" s="1302"/>
      <c r="HW10" s="1302"/>
      <c r="HX10" s="1302"/>
      <c r="HY10" s="1302"/>
      <c r="HZ10" s="1302"/>
      <c r="IA10" s="1302"/>
      <c r="IB10" s="1302"/>
      <c r="IC10" s="1302"/>
      <c r="ID10" s="1302"/>
      <c r="IE10" s="1302"/>
      <c r="IF10" s="1302"/>
      <c r="IG10" s="1302"/>
      <c r="IH10" s="1302"/>
      <c r="II10" s="1302"/>
      <c r="IJ10" s="1302"/>
      <c r="IK10" s="1302"/>
      <c r="IL10" s="1302"/>
      <c r="IM10" s="1302"/>
      <c r="IN10" s="1302"/>
      <c r="IO10" s="1302"/>
      <c r="IP10" s="1302"/>
      <c r="IQ10" s="1302"/>
      <c r="IR10" s="1302"/>
      <c r="IS10" s="1302"/>
      <c r="IT10" s="1302"/>
      <c r="IU10" s="1302"/>
      <c r="IV10" s="1302"/>
    </row>
    <row r="11" spans="1:256" x14ac:dyDescent="0.25">
      <c r="A11" s="1262">
        <v>20</v>
      </c>
      <c r="B11" s="1293" t="str">
        <f>HYPERLINK("#MS_01002",'MS Parts'!B33)</f>
        <v>Firewall Bottom Side Plate</v>
      </c>
      <c r="C11" s="1273">
        <f>'MS Parts'!N30</f>
        <v>5.092841452</v>
      </c>
      <c r="D11" s="1298">
        <f>'MS Parts'!N31</f>
        <v>2</v>
      </c>
      <c r="E11" s="1273">
        <f t="shared" si="0"/>
        <v>10.185682904</v>
      </c>
      <c r="F11" s="1260"/>
      <c r="G11" s="1260"/>
      <c r="H11" s="1260"/>
      <c r="I11" s="1260"/>
      <c r="J11" s="1260"/>
      <c r="K11" s="1260"/>
      <c r="L11" s="1260"/>
      <c r="M11" s="1260"/>
      <c r="N11" s="1260"/>
      <c r="O11" s="1254"/>
      <c r="P11" s="1302"/>
      <c r="Q11" s="1302"/>
      <c r="R11" s="1302"/>
      <c r="S11" s="1302"/>
      <c r="T11" s="1302"/>
      <c r="U11" s="1302"/>
      <c r="V11" s="1302"/>
      <c r="W11" s="1302"/>
      <c r="X11" s="1302"/>
      <c r="Y11" s="1302"/>
      <c r="Z11" s="1302"/>
      <c r="AA11" s="1302"/>
      <c r="AB11" s="1302"/>
      <c r="AC11" s="1302"/>
      <c r="AD11" s="1302"/>
      <c r="AE11" s="1302"/>
      <c r="AF11" s="1302"/>
      <c r="AG11" s="1302"/>
      <c r="AH11" s="1302"/>
      <c r="AI11" s="1302"/>
      <c r="AJ11" s="1302"/>
      <c r="AK11" s="1302"/>
      <c r="AL11" s="1302"/>
      <c r="AM11" s="1302"/>
      <c r="AN11" s="1302"/>
      <c r="AO11" s="1302"/>
      <c r="AP11" s="1302"/>
      <c r="AQ11" s="1302"/>
      <c r="AR11" s="1302"/>
      <c r="AS11" s="1302"/>
      <c r="AT11" s="1302"/>
      <c r="AU11" s="1302"/>
      <c r="AV11" s="1302"/>
      <c r="AW11" s="1302"/>
      <c r="AX11" s="1302"/>
      <c r="AY11" s="1302"/>
      <c r="AZ11" s="1302"/>
      <c r="BA11" s="1302"/>
      <c r="BB11" s="1302"/>
      <c r="BC11" s="1302"/>
      <c r="BD11" s="1302"/>
      <c r="BE11" s="1302"/>
      <c r="BF11" s="1302"/>
      <c r="BG11" s="1302"/>
      <c r="BH11" s="1302"/>
      <c r="BI11" s="1302"/>
      <c r="BJ11" s="1302"/>
      <c r="BK11" s="1302"/>
      <c r="BL11" s="1302"/>
      <c r="BM11" s="1302"/>
      <c r="BN11" s="1302"/>
      <c r="BO11" s="1302"/>
      <c r="BP11" s="1302"/>
      <c r="BQ11" s="1302"/>
      <c r="BR11" s="1302"/>
      <c r="BS11" s="1302"/>
      <c r="BT11" s="1302"/>
      <c r="BU11" s="1302"/>
      <c r="BV11" s="1302"/>
      <c r="BW11" s="1302"/>
      <c r="BX11" s="1302"/>
      <c r="BY11" s="1302"/>
      <c r="BZ11" s="1302"/>
      <c r="CA11" s="1302"/>
      <c r="CB11" s="1302"/>
      <c r="CC11" s="1302"/>
      <c r="CD11" s="1302"/>
      <c r="CE11" s="1302"/>
      <c r="CF11" s="1302"/>
      <c r="CG11" s="1302"/>
      <c r="CH11" s="1302"/>
      <c r="CI11" s="1302"/>
      <c r="CJ11" s="1302"/>
      <c r="CK11" s="1302"/>
      <c r="CL11" s="1302"/>
      <c r="CM11" s="1302"/>
      <c r="CN11" s="1302"/>
      <c r="CO11" s="1302"/>
      <c r="CP11" s="1302"/>
      <c r="CQ11" s="1302"/>
      <c r="CR11" s="1302"/>
      <c r="CS11" s="1302"/>
      <c r="CT11" s="1302"/>
      <c r="CU11" s="1302"/>
      <c r="CV11" s="1302"/>
      <c r="CW11" s="1302"/>
      <c r="CX11" s="1302"/>
      <c r="CY11" s="1302"/>
      <c r="CZ11" s="1302"/>
      <c r="DA11" s="1302"/>
      <c r="DB11" s="1302"/>
      <c r="DC11" s="1302"/>
      <c r="DD11" s="1302"/>
      <c r="DE11" s="1302"/>
      <c r="DF11" s="1302"/>
      <c r="DG11" s="1302"/>
      <c r="DH11" s="1302"/>
      <c r="DI11" s="1302"/>
      <c r="DJ11" s="1302"/>
      <c r="DK11" s="1302"/>
      <c r="DL11" s="1302"/>
      <c r="DM11" s="1302"/>
      <c r="DN11" s="1302"/>
      <c r="DO11" s="1302"/>
      <c r="DP11" s="1302"/>
      <c r="DQ11" s="1302"/>
      <c r="DR11" s="1302"/>
      <c r="DS11" s="1302"/>
      <c r="DT11" s="1302"/>
      <c r="DU11" s="1302"/>
      <c r="DV11" s="1302"/>
      <c r="DW11" s="1302"/>
      <c r="DX11" s="1302"/>
      <c r="DY11" s="1302"/>
      <c r="DZ11" s="1302"/>
      <c r="EA11" s="1302"/>
      <c r="EB11" s="1302"/>
      <c r="EC11" s="1302"/>
      <c r="ED11" s="1302"/>
      <c r="EE11" s="1302"/>
      <c r="EF11" s="1302"/>
      <c r="EG11" s="1302"/>
      <c r="EH11" s="1302"/>
      <c r="EI11" s="1302"/>
      <c r="EJ11" s="1302"/>
      <c r="EK11" s="1302"/>
      <c r="EL11" s="1302"/>
      <c r="EM11" s="1302"/>
      <c r="EN11" s="1302"/>
      <c r="EO11" s="1302"/>
      <c r="EP11" s="1302"/>
      <c r="EQ11" s="1302"/>
      <c r="ER11" s="1302"/>
      <c r="ES11" s="1302"/>
      <c r="ET11" s="1302"/>
      <c r="EU11" s="1302"/>
      <c r="EV11" s="1302"/>
      <c r="EW11" s="1302"/>
      <c r="EX11" s="1302"/>
      <c r="EY11" s="1302"/>
      <c r="EZ11" s="1302"/>
      <c r="FA11" s="1302"/>
      <c r="FB11" s="1302"/>
      <c r="FC11" s="1302"/>
      <c r="FD11" s="1302"/>
      <c r="FE11" s="1302"/>
      <c r="FF11" s="1302"/>
      <c r="FG11" s="1302"/>
      <c r="FH11" s="1302"/>
      <c r="FI11" s="1302"/>
      <c r="FJ11" s="1302"/>
      <c r="FK11" s="1302"/>
      <c r="FL11" s="1302"/>
      <c r="FM11" s="1302"/>
      <c r="FN11" s="1302"/>
      <c r="FO11" s="1302"/>
      <c r="FP11" s="1302"/>
      <c r="FQ11" s="1302"/>
      <c r="FR11" s="1302"/>
      <c r="FS11" s="1302"/>
      <c r="FT11" s="1302"/>
      <c r="FU11" s="1302"/>
      <c r="FV11" s="1302"/>
      <c r="FW11" s="1302"/>
      <c r="FX11" s="1302"/>
      <c r="FY11" s="1302"/>
      <c r="FZ11" s="1302"/>
      <c r="GA11" s="1302"/>
      <c r="GB11" s="1302"/>
      <c r="GC11" s="1302"/>
      <c r="GD11" s="1302"/>
      <c r="GE11" s="1302"/>
      <c r="GF11" s="1302"/>
      <c r="GG11" s="1302"/>
      <c r="GH11" s="1302"/>
      <c r="GI11" s="1302"/>
      <c r="GJ11" s="1302"/>
      <c r="GK11" s="1302"/>
      <c r="GL11" s="1302"/>
      <c r="GM11" s="1302"/>
      <c r="GN11" s="1302"/>
      <c r="GO11" s="1302"/>
      <c r="GP11" s="1302"/>
      <c r="GQ11" s="1302"/>
      <c r="GR11" s="1302"/>
      <c r="GS11" s="1302"/>
      <c r="GT11" s="1302"/>
      <c r="GU11" s="1302"/>
      <c r="GV11" s="1302"/>
      <c r="GW11" s="1302"/>
      <c r="GX11" s="1302"/>
      <c r="GY11" s="1302"/>
      <c r="GZ11" s="1302"/>
      <c r="HA11" s="1302"/>
      <c r="HB11" s="1302"/>
      <c r="HC11" s="1302"/>
      <c r="HD11" s="1302"/>
      <c r="HE11" s="1302"/>
      <c r="HF11" s="1302"/>
      <c r="HG11" s="1302"/>
      <c r="HH11" s="1302"/>
      <c r="HI11" s="1302"/>
      <c r="HJ11" s="1302"/>
      <c r="HK11" s="1302"/>
      <c r="HL11" s="1302"/>
      <c r="HM11" s="1302"/>
      <c r="HN11" s="1302"/>
      <c r="HO11" s="1302"/>
      <c r="HP11" s="1302"/>
      <c r="HQ11" s="1302"/>
      <c r="HR11" s="1302"/>
      <c r="HS11" s="1302"/>
      <c r="HT11" s="1302"/>
      <c r="HU11" s="1302"/>
      <c r="HV11" s="1302"/>
      <c r="HW11" s="1302"/>
      <c r="HX11" s="1302"/>
      <c r="HY11" s="1302"/>
      <c r="HZ11" s="1302"/>
      <c r="IA11" s="1302"/>
      <c r="IB11" s="1302"/>
      <c r="IC11" s="1302"/>
      <c r="ID11" s="1302"/>
      <c r="IE11" s="1302"/>
      <c r="IF11" s="1302"/>
      <c r="IG11" s="1302"/>
      <c r="IH11" s="1302"/>
      <c r="II11" s="1302"/>
      <c r="IJ11" s="1302"/>
      <c r="IK11" s="1302"/>
      <c r="IL11" s="1302"/>
      <c r="IM11" s="1302"/>
      <c r="IN11" s="1302"/>
      <c r="IO11" s="1302"/>
      <c r="IP11" s="1302"/>
      <c r="IQ11" s="1302"/>
      <c r="IR11" s="1302"/>
      <c r="IS11" s="1302"/>
      <c r="IT11" s="1302"/>
      <c r="IU11" s="1302"/>
      <c r="IV11" s="1302"/>
    </row>
    <row r="12" spans="1:256" x14ac:dyDescent="0.25">
      <c r="A12" s="1262">
        <v>30</v>
      </c>
      <c r="B12" s="1293" t="str">
        <f>HYPERLINK("#MS_01003",'MS Parts'!B58)</f>
        <v>Firewall Top Side Plate</v>
      </c>
      <c r="C12" s="1273">
        <f>'MS Parts'!N55</f>
        <v>5.8083013120000002</v>
      </c>
      <c r="D12" s="1298">
        <f>'MS Parts'!N56</f>
        <v>2</v>
      </c>
      <c r="E12" s="1273">
        <f t="shared" si="0"/>
        <v>11.616602624</v>
      </c>
      <c r="F12" s="1260"/>
      <c r="G12" s="1260"/>
      <c r="H12" s="1260"/>
      <c r="I12" s="1260"/>
      <c r="J12" s="1260"/>
      <c r="K12" s="1260"/>
      <c r="L12" s="1260"/>
      <c r="M12" s="1260"/>
      <c r="N12" s="1260"/>
      <c r="O12" s="1310"/>
      <c r="P12" s="1302"/>
      <c r="Q12" s="1302"/>
      <c r="R12" s="1302"/>
      <c r="S12" s="1302"/>
      <c r="T12" s="1302"/>
      <c r="U12" s="1302"/>
      <c r="V12" s="1302"/>
      <c r="W12" s="1302"/>
      <c r="X12" s="1302"/>
      <c r="Y12" s="1302"/>
      <c r="Z12" s="1302"/>
      <c r="AA12" s="1302"/>
      <c r="AB12" s="1302"/>
      <c r="AC12" s="1302"/>
      <c r="AD12" s="1302"/>
      <c r="AE12" s="1302"/>
      <c r="AF12" s="1302"/>
      <c r="AG12" s="1302"/>
      <c r="AH12" s="1302"/>
      <c r="AI12" s="1302"/>
      <c r="AJ12" s="1302"/>
      <c r="AK12" s="1302"/>
      <c r="AL12" s="1302"/>
      <c r="AM12" s="1302"/>
      <c r="AN12" s="1302"/>
      <c r="AO12" s="1302"/>
      <c r="AP12" s="1302"/>
      <c r="AQ12" s="1302"/>
      <c r="AR12" s="1302"/>
      <c r="AS12" s="1302"/>
      <c r="AT12" s="1302"/>
      <c r="AU12" s="1302"/>
      <c r="AV12" s="1302"/>
      <c r="AW12" s="1302"/>
      <c r="AX12" s="1302"/>
      <c r="AY12" s="1302"/>
      <c r="AZ12" s="1302"/>
      <c r="BA12" s="1302"/>
      <c r="BB12" s="1302"/>
      <c r="BC12" s="1302"/>
      <c r="BD12" s="1302"/>
      <c r="BE12" s="1302"/>
      <c r="BF12" s="1302"/>
      <c r="BG12" s="1302"/>
      <c r="BH12" s="1302"/>
      <c r="BI12" s="1302"/>
      <c r="BJ12" s="1302"/>
      <c r="BK12" s="1302"/>
      <c r="BL12" s="1302"/>
      <c r="BM12" s="1302"/>
      <c r="BN12" s="1302"/>
      <c r="BO12" s="1302"/>
      <c r="BP12" s="1302"/>
      <c r="BQ12" s="1302"/>
      <c r="BR12" s="1302"/>
      <c r="BS12" s="1302"/>
      <c r="BT12" s="1302"/>
      <c r="BU12" s="1302"/>
      <c r="BV12" s="1302"/>
      <c r="BW12" s="1302"/>
      <c r="BX12" s="1302"/>
      <c r="BY12" s="1302"/>
      <c r="BZ12" s="1302"/>
      <c r="CA12" s="1302"/>
      <c r="CB12" s="1302"/>
      <c r="CC12" s="1302"/>
      <c r="CD12" s="1302"/>
      <c r="CE12" s="1302"/>
      <c r="CF12" s="1302"/>
      <c r="CG12" s="1302"/>
      <c r="CH12" s="1302"/>
      <c r="CI12" s="1302"/>
      <c r="CJ12" s="1302"/>
      <c r="CK12" s="1302"/>
      <c r="CL12" s="1302"/>
      <c r="CM12" s="1302"/>
      <c r="CN12" s="1302"/>
      <c r="CO12" s="1302"/>
      <c r="CP12" s="1302"/>
      <c r="CQ12" s="1302"/>
      <c r="CR12" s="1302"/>
      <c r="CS12" s="1302"/>
      <c r="CT12" s="1302"/>
      <c r="CU12" s="1302"/>
      <c r="CV12" s="1302"/>
      <c r="CW12" s="1302"/>
      <c r="CX12" s="1302"/>
      <c r="CY12" s="1302"/>
      <c r="CZ12" s="1302"/>
      <c r="DA12" s="1302"/>
      <c r="DB12" s="1302"/>
      <c r="DC12" s="1302"/>
      <c r="DD12" s="1302"/>
      <c r="DE12" s="1302"/>
      <c r="DF12" s="1302"/>
      <c r="DG12" s="1302"/>
      <c r="DH12" s="1302"/>
      <c r="DI12" s="1302"/>
      <c r="DJ12" s="1302"/>
      <c r="DK12" s="1302"/>
      <c r="DL12" s="1302"/>
      <c r="DM12" s="1302"/>
      <c r="DN12" s="1302"/>
      <c r="DO12" s="1302"/>
      <c r="DP12" s="1302"/>
      <c r="DQ12" s="1302"/>
      <c r="DR12" s="1302"/>
      <c r="DS12" s="1302"/>
      <c r="DT12" s="1302"/>
      <c r="DU12" s="1302"/>
      <c r="DV12" s="1302"/>
      <c r="DW12" s="1302"/>
      <c r="DX12" s="1302"/>
      <c r="DY12" s="1302"/>
      <c r="DZ12" s="1302"/>
      <c r="EA12" s="1302"/>
      <c r="EB12" s="1302"/>
      <c r="EC12" s="1302"/>
      <c r="ED12" s="1302"/>
      <c r="EE12" s="1302"/>
      <c r="EF12" s="1302"/>
      <c r="EG12" s="1302"/>
      <c r="EH12" s="1302"/>
      <c r="EI12" s="1302"/>
      <c r="EJ12" s="1302"/>
      <c r="EK12" s="1302"/>
      <c r="EL12" s="1302"/>
      <c r="EM12" s="1302"/>
      <c r="EN12" s="1302"/>
      <c r="EO12" s="1302"/>
      <c r="EP12" s="1302"/>
      <c r="EQ12" s="1302"/>
      <c r="ER12" s="1302"/>
      <c r="ES12" s="1302"/>
      <c r="ET12" s="1302"/>
      <c r="EU12" s="1302"/>
      <c r="EV12" s="1302"/>
      <c r="EW12" s="1302"/>
      <c r="EX12" s="1302"/>
      <c r="EY12" s="1302"/>
      <c r="EZ12" s="1302"/>
      <c r="FA12" s="1302"/>
      <c r="FB12" s="1302"/>
      <c r="FC12" s="1302"/>
      <c r="FD12" s="1302"/>
      <c r="FE12" s="1302"/>
      <c r="FF12" s="1302"/>
      <c r="FG12" s="1302"/>
      <c r="FH12" s="1302"/>
      <c r="FI12" s="1302"/>
      <c r="FJ12" s="1302"/>
      <c r="FK12" s="1302"/>
      <c r="FL12" s="1302"/>
      <c r="FM12" s="1302"/>
      <c r="FN12" s="1302"/>
      <c r="FO12" s="1302"/>
      <c r="FP12" s="1302"/>
      <c r="FQ12" s="1302"/>
      <c r="FR12" s="1302"/>
      <c r="FS12" s="1302"/>
      <c r="FT12" s="1302"/>
      <c r="FU12" s="1302"/>
      <c r="FV12" s="1302"/>
      <c r="FW12" s="1302"/>
      <c r="FX12" s="1302"/>
      <c r="FY12" s="1302"/>
      <c r="FZ12" s="1302"/>
      <c r="GA12" s="1302"/>
      <c r="GB12" s="1302"/>
      <c r="GC12" s="1302"/>
      <c r="GD12" s="1302"/>
      <c r="GE12" s="1302"/>
      <c r="GF12" s="1302"/>
      <c r="GG12" s="1302"/>
      <c r="GH12" s="1302"/>
      <c r="GI12" s="1302"/>
      <c r="GJ12" s="1302"/>
      <c r="GK12" s="1302"/>
      <c r="GL12" s="1302"/>
      <c r="GM12" s="1302"/>
      <c r="GN12" s="1302"/>
      <c r="GO12" s="1302"/>
      <c r="GP12" s="1302"/>
      <c r="GQ12" s="1302"/>
      <c r="GR12" s="1302"/>
      <c r="GS12" s="1302"/>
      <c r="GT12" s="1302"/>
      <c r="GU12" s="1302"/>
      <c r="GV12" s="1302"/>
      <c r="GW12" s="1302"/>
      <c r="GX12" s="1302"/>
      <c r="GY12" s="1302"/>
      <c r="GZ12" s="1302"/>
      <c r="HA12" s="1302"/>
      <c r="HB12" s="1302"/>
      <c r="HC12" s="1302"/>
      <c r="HD12" s="1302"/>
      <c r="HE12" s="1302"/>
      <c r="HF12" s="1302"/>
      <c r="HG12" s="1302"/>
      <c r="HH12" s="1302"/>
      <c r="HI12" s="1302"/>
      <c r="HJ12" s="1302"/>
      <c r="HK12" s="1302"/>
      <c r="HL12" s="1302"/>
      <c r="HM12" s="1302"/>
      <c r="HN12" s="1302"/>
      <c r="HO12" s="1302"/>
      <c r="HP12" s="1302"/>
      <c r="HQ12" s="1302"/>
      <c r="HR12" s="1302"/>
      <c r="HS12" s="1302"/>
      <c r="HT12" s="1302"/>
      <c r="HU12" s="1302"/>
      <c r="HV12" s="1302"/>
      <c r="HW12" s="1302"/>
      <c r="HX12" s="1302"/>
      <c r="HY12" s="1302"/>
      <c r="HZ12" s="1302"/>
      <c r="IA12" s="1302"/>
      <c r="IB12" s="1302"/>
      <c r="IC12" s="1302"/>
      <c r="ID12" s="1302"/>
      <c r="IE12" s="1302"/>
      <c r="IF12" s="1302"/>
      <c r="IG12" s="1302"/>
      <c r="IH12" s="1302"/>
      <c r="II12" s="1302"/>
      <c r="IJ12" s="1302"/>
      <c r="IK12" s="1302"/>
      <c r="IL12" s="1302"/>
      <c r="IM12" s="1302"/>
      <c r="IN12" s="1302"/>
      <c r="IO12" s="1302"/>
      <c r="IP12" s="1302"/>
      <c r="IQ12" s="1302"/>
      <c r="IR12" s="1302"/>
      <c r="IS12" s="1302"/>
      <c r="IT12" s="1302"/>
      <c r="IU12" s="1302"/>
      <c r="IV12" s="1302"/>
    </row>
    <row r="13" spans="1:256" x14ac:dyDescent="0.25">
      <c r="A13" s="1262">
        <v>40</v>
      </c>
      <c r="B13" s="1293" t="str">
        <f>HYPERLINK("#MS_01004",'MS Parts'!B83)</f>
        <v>Firewall Hole Plate</v>
      </c>
      <c r="C13" s="1273">
        <f>'MS Parts'!N80</f>
        <v>3.5446966999999998</v>
      </c>
      <c r="D13" s="1298">
        <f>'MS Parts'!N81</f>
        <v>1</v>
      </c>
      <c r="E13" s="1273">
        <f t="shared" si="0"/>
        <v>3.5446966999999998</v>
      </c>
      <c r="F13" s="1260"/>
      <c r="G13" s="1260"/>
      <c r="H13" s="1260"/>
      <c r="I13" s="1260"/>
      <c r="J13" s="1260"/>
      <c r="K13" s="1260"/>
      <c r="L13" s="1260"/>
      <c r="M13" s="1260"/>
      <c r="N13" s="1260"/>
      <c r="O13" s="1310"/>
      <c r="P13" s="1302"/>
      <c r="Q13" s="1302"/>
      <c r="R13" s="1302"/>
      <c r="S13" s="1302"/>
      <c r="T13" s="1302"/>
      <c r="U13" s="1302"/>
      <c r="V13" s="1302"/>
      <c r="W13" s="1302"/>
      <c r="X13" s="1302"/>
      <c r="Y13" s="1302"/>
      <c r="Z13" s="1302"/>
      <c r="AA13" s="1302"/>
      <c r="AB13" s="1302"/>
      <c r="AC13" s="1302"/>
      <c r="AD13" s="1302"/>
      <c r="AE13" s="1302"/>
      <c r="AF13" s="1302"/>
      <c r="AG13" s="1302"/>
      <c r="AH13" s="1302"/>
      <c r="AI13" s="1302"/>
      <c r="AJ13" s="1302"/>
      <c r="AK13" s="1302"/>
      <c r="AL13" s="1302"/>
      <c r="AM13" s="1302"/>
      <c r="AN13" s="1302"/>
      <c r="AO13" s="1302"/>
      <c r="AP13" s="1302"/>
      <c r="AQ13" s="1302"/>
      <c r="AR13" s="1302"/>
      <c r="AS13" s="1302"/>
      <c r="AT13" s="1302"/>
      <c r="AU13" s="1302"/>
      <c r="AV13" s="1302"/>
      <c r="AW13" s="1302"/>
      <c r="AX13" s="1302"/>
      <c r="AY13" s="1302"/>
      <c r="AZ13" s="1302"/>
      <c r="BA13" s="1302"/>
      <c r="BB13" s="1302"/>
      <c r="BC13" s="1302"/>
      <c r="BD13" s="1302"/>
      <c r="BE13" s="1302"/>
      <c r="BF13" s="1302"/>
      <c r="BG13" s="1302"/>
      <c r="BH13" s="1302"/>
      <c r="BI13" s="1302"/>
      <c r="BJ13" s="1302"/>
      <c r="BK13" s="1302"/>
      <c r="BL13" s="1302"/>
      <c r="BM13" s="1302"/>
      <c r="BN13" s="1302"/>
      <c r="BO13" s="1302"/>
      <c r="BP13" s="1302"/>
      <c r="BQ13" s="1302"/>
      <c r="BR13" s="1302"/>
      <c r="BS13" s="1302"/>
      <c r="BT13" s="1302"/>
      <c r="BU13" s="1302"/>
      <c r="BV13" s="1302"/>
      <c r="BW13" s="1302"/>
      <c r="BX13" s="1302"/>
      <c r="BY13" s="1302"/>
      <c r="BZ13" s="1302"/>
      <c r="CA13" s="1302"/>
      <c r="CB13" s="1302"/>
      <c r="CC13" s="1302"/>
      <c r="CD13" s="1302"/>
      <c r="CE13" s="1302"/>
      <c r="CF13" s="1302"/>
      <c r="CG13" s="1302"/>
      <c r="CH13" s="1302"/>
      <c r="CI13" s="1302"/>
      <c r="CJ13" s="1302"/>
      <c r="CK13" s="1302"/>
      <c r="CL13" s="1302"/>
      <c r="CM13" s="1302"/>
      <c r="CN13" s="1302"/>
      <c r="CO13" s="1302"/>
      <c r="CP13" s="1302"/>
      <c r="CQ13" s="1302"/>
      <c r="CR13" s="1302"/>
      <c r="CS13" s="1302"/>
      <c r="CT13" s="1302"/>
      <c r="CU13" s="1302"/>
      <c r="CV13" s="1302"/>
      <c r="CW13" s="1302"/>
      <c r="CX13" s="1302"/>
      <c r="CY13" s="1302"/>
      <c r="CZ13" s="1302"/>
      <c r="DA13" s="1302"/>
      <c r="DB13" s="1302"/>
      <c r="DC13" s="1302"/>
      <c r="DD13" s="1302"/>
      <c r="DE13" s="1302"/>
      <c r="DF13" s="1302"/>
      <c r="DG13" s="1302"/>
      <c r="DH13" s="1302"/>
      <c r="DI13" s="1302"/>
      <c r="DJ13" s="1302"/>
      <c r="DK13" s="1302"/>
      <c r="DL13" s="1302"/>
      <c r="DM13" s="1302"/>
      <c r="DN13" s="1302"/>
      <c r="DO13" s="1302"/>
      <c r="DP13" s="1302"/>
      <c r="DQ13" s="1302"/>
      <c r="DR13" s="1302"/>
      <c r="DS13" s="1302"/>
      <c r="DT13" s="1302"/>
      <c r="DU13" s="1302"/>
      <c r="DV13" s="1302"/>
      <c r="DW13" s="1302"/>
      <c r="DX13" s="1302"/>
      <c r="DY13" s="1302"/>
      <c r="DZ13" s="1302"/>
      <c r="EA13" s="1302"/>
      <c r="EB13" s="1302"/>
      <c r="EC13" s="1302"/>
      <c r="ED13" s="1302"/>
      <c r="EE13" s="1302"/>
      <c r="EF13" s="1302"/>
      <c r="EG13" s="1302"/>
      <c r="EH13" s="1302"/>
      <c r="EI13" s="1302"/>
      <c r="EJ13" s="1302"/>
      <c r="EK13" s="1302"/>
      <c r="EL13" s="1302"/>
      <c r="EM13" s="1302"/>
      <c r="EN13" s="1302"/>
      <c r="EO13" s="1302"/>
      <c r="EP13" s="1302"/>
      <c r="EQ13" s="1302"/>
      <c r="ER13" s="1302"/>
      <c r="ES13" s="1302"/>
      <c r="ET13" s="1302"/>
      <c r="EU13" s="1302"/>
      <c r="EV13" s="1302"/>
      <c r="EW13" s="1302"/>
      <c r="EX13" s="1302"/>
      <c r="EY13" s="1302"/>
      <c r="EZ13" s="1302"/>
      <c r="FA13" s="1302"/>
      <c r="FB13" s="1302"/>
      <c r="FC13" s="1302"/>
      <c r="FD13" s="1302"/>
      <c r="FE13" s="1302"/>
      <c r="FF13" s="1302"/>
      <c r="FG13" s="1302"/>
      <c r="FH13" s="1302"/>
      <c r="FI13" s="1302"/>
      <c r="FJ13" s="1302"/>
      <c r="FK13" s="1302"/>
      <c r="FL13" s="1302"/>
      <c r="FM13" s="1302"/>
      <c r="FN13" s="1302"/>
      <c r="FO13" s="1302"/>
      <c r="FP13" s="1302"/>
      <c r="FQ13" s="1302"/>
      <c r="FR13" s="1302"/>
      <c r="FS13" s="1302"/>
      <c r="FT13" s="1302"/>
      <c r="FU13" s="1302"/>
      <c r="FV13" s="1302"/>
      <c r="FW13" s="1302"/>
      <c r="FX13" s="1302"/>
      <c r="FY13" s="1302"/>
      <c r="FZ13" s="1302"/>
      <c r="GA13" s="1302"/>
      <c r="GB13" s="1302"/>
      <c r="GC13" s="1302"/>
      <c r="GD13" s="1302"/>
      <c r="GE13" s="1302"/>
      <c r="GF13" s="1302"/>
      <c r="GG13" s="1302"/>
      <c r="GH13" s="1302"/>
      <c r="GI13" s="1302"/>
      <c r="GJ13" s="1302"/>
      <c r="GK13" s="1302"/>
      <c r="GL13" s="1302"/>
      <c r="GM13" s="1302"/>
      <c r="GN13" s="1302"/>
      <c r="GO13" s="1302"/>
      <c r="GP13" s="1302"/>
      <c r="GQ13" s="1302"/>
      <c r="GR13" s="1302"/>
      <c r="GS13" s="1302"/>
      <c r="GT13" s="1302"/>
      <c r="GU13" s="1302"/>
      <c r="GV13" s="1302"/>
      <c r="GW13" s="1302"/>
      <c r="GX13" s="1302"/>
      <c r="GY13" s="1302"/>
      <c r="GZ13" s="1302"/>
      <c r="HA13" s="1302"/>
      <c r="HB13" s="1302"/>
      <c r="HC13" s="1302"/>
      <c r="HD13" s="1302"/>
      <c r="HE13" s="1302"/>
      <c r="HF13" s="1302"/>
      <c r="HG13" s="1302"/>
      <c r="HH13" s="1302"/>
      <c r="HI13" s="1302"/>
      <c r="HJ13" s="1302"/>
      <c r="HK13" s="1302"/>
      <c r="HL13" s="1302"/>
      <c r="HM13" s="1302"/>
      <c r="HN13" s="1302"/>
      <c r="HO13" s="1302"/>
      <c r="HP13" s="1302"/>
      <c r="HQ13" s="1302"/>
      <c r="HR13" s="1302"/>
      <c r="HS13" s="1302"/>
      <c r="HT13" s="1302"/>
      <c r="HU13" s="1302"/>
      <c r="HV13" s="1302"/>
      <c r="HW13" s="1302"/>
      <c r="HX13" s="1302"/>
      <c r="HY13" s="1302"/>
      <c r="HZ13" s="1302"/>
      <c r="IA13" s="1302"/>
      <c r="IB13" s="1302"/>
      <c r="IC13" s="1302"/>
      <c r="ID13" s="1302"/>
      <c r="IE13" s="1302"/>
      <c r="IF13" s="1302"/>
      <c r="IG13" s="1302"/>
      <c r="IH13" s="1302"/>
      <c r="II13" s="1302"/>
      <c r="IJ13" s="1302"/>
      <c r="IK13" s="1302"/>
      <c r="IL13" s="1302"/>
      <c r="IM13" s="1302"/>
      <c r="IN13" s="1302"/>
      <c r="IO13" s="1302"/>
      <c r="IP13" s="1302"/>
      <c r="IQ13" s="1302"/>
      <c r="IR13" s="1302"/>
      <c r="IS13" s="1302"/>
      <c r="IT13" s="1302"/>
      <c r="IU13" s="1302"/>
      <c r="IV13" s="1302"/>
    </row>
    <row r="14" spans="1:256" x14ac:dyDescent="0.25">
      <c r="A14" s="1262">
        <v>50</v>
      </c>
      <c r="B14" s="1293" t="str">
        <f>HYPERLINK("#MS_01005",'MS Parts'!B107)</f>
        <v>Firewall Top Plate</v>
      </c>
      <c r="C14" s="1267">
        <f>'MS Parts'!N104</f>
        <v>8.1545504559999991</v>
      </c>
      <c r="D14" s="1298">
        <f>'MS Parts'!N105</f>
        <v>1</v>
      </c>
      <c r="E14" s="1273">
        <f t="shared" si="0"/>
        <v>8.1545504559999991</v>
      </c>
      <c r="F14" s="1260"/>
      <c r="G14" s="1260"/>
      <c r="H14" s="1260"/>
      <c r="I14" s="1260"/>
      <c r="J14" s="1260"/>
      <c r="K14" s="1260"/>
      <c r="L14" s="1260"/>
      <c r="M14" s="1260"/>
      <c r="N14" s="1260"/>
      <c r="O14" s="1271"/>
      <c r="P14" s="1302"/>
      <c r="Q14" s="1302"/>
      <c r="R14" s="1302"/>
      <c r="S14" s="1302"/>
      <c r="T14" s="1302"/>
      <c r="U14" s="1302"/>
      <c r="V14" s="1302"/>
      <c r="W14" s="1302"/>
      <c r="X14" s="1302"/>
      <c r="Y14" s="1302"/>
      <c r="Z14" s="1302"/>
      <c r="AA14" s="1302"/>
      <c r="AB14" s="1302"/>
      <c r="AC14" s="1302"/>
      <c r="AD14" s="1302"/>
      <c r="AE14" s="1302"/>
      <c r="AF14" s="1302"/>
      <c r="AG14" s="1302"/>
      <c r="AH14" s="1302"/>
      <c r="AI14" s="1302"/>
      <c r="AJ14" s="1302"/>
      <c r="AK14" s="1302"/>
      <c r="AL14" s="1302"/>
      <c r="AM14" s="1302"/>
      <c r="AN14" s="1302"/>
      <c r="AO14" s="1302"/>
      <c r="AP14" s="1302"/>
      <c r="AQ14" s="1302"/>
      <c r="AR14" s="1302"/>
      <c r="AS14" s="1302"/>
      <c r="AT14" s="1302"/>
      <c r="AU14" s="1302"/>
      <c r="AV14" s="1302"/>
      <c r="AW14" s="1302"/>
      <c r="AX14" s="1302"/>
      <c r="AY14" s="1302"/>
      <c r="AZ14" s="1302"/>
      <c r="BA14" s="1302"/>
      <c r="BB14" s="1302"/>
      <c r="BC14" s="1302"/>
      <c r="BD14" s="1302"/>
      <c r="BE14" s="1302"/>
      <c r="BF14" s="1302"/>
      <c r="BG14" s="1302"/>
      <c r="BH14" s="1302"/>
      <c r="BI14" s="1302"/>
      <c r="BJ14" s="1302"/>
      <c r="BK14" s="1302"/>
      <c r="BL14" s="1302"/>
      <c r="BM14" s="1302"/>
      <c r="BN14" s="1302"/>
      <c r="BO14" s="1302"/>
      <c r="BP14" s="1302"/>
      <c r="BQ14" s="1302"/>
      <c r="BR14" s="1302"/>
      <c r="BS14" s="1302"/>
      <c r="BT14" s="1302"/>
      <c r="BU14" s="1302"/>
      <c r="BV14" s="1302"/>
      <c r="BW14" s="1302"/>
      <c r="BX14" s="1302"/>
      <c r="BY14" s="1302"/>
      <c r="BZ14" s="1302"/>
      <c r="CA14" s="1302"/>
      <c r="CB14" s="1302"/>
      <c r="CC14" s="1302"/>
      <c r="CD14" s="1302"/>
      <c r="CE14" s="1302"/>
      <c r="CF14" s="1302"/>
      <c r="CG14" s="1302"/>
      <c r="CH14" s="1302"/>
      <c r="CI14" s="1302"/>
      <c r="CJ14" s="1302"/>
      <c r="CK14" s="1302"/>
      <c r="CL14" s="1302"/>
      <c r="CM14" s="1302"/>
      <c r="CN14" s="1302"/>
      <c r="CO14" s="1302"/>
      <c r="CP14" s="1302"/>
      <c r="CQ14" s="1302"/>
      <c r="CR14" s="1302"/>
      <c r="CS14" s="1302"/>
      <c r="CT14" s="1302"/>
      <c r="CU14" s="1302"/>
      <c r="CV14" s="1302"/>
      <c r="CW14" s="1302"/>
      <c r="CX14" s="1302"/>
      <c r="CY14" s="1302"/>
      <c r="CZ14" s="1302"/>
      <c r="DA14" s="1302"/>
      <c r="DB14" s="1302"/>
      <c r="DC14" s="1302"/>
      <c r="DD14" s="1302"/>
      <c r="DE14" s="1302"/>
      <c r="DF14" s="1302"/>
      <c r="DG14" s="1302"/>
      <c r="DH14" s="1302"/>
      <c r="DI14" s="1302"/>
      <c r="DJ14" s="1302"/>
      <c r="DK14" s="1302"/>
      <c r="DL14" s="1302"/>
      <c r="DM14" s="1302"/>
      <c r="DN14" s="1302"/>
      <c r="DO14" s="1302"/>
      <c r="DP14" s="1302"/>
      <c r="DQ14" s="1302"/>
      <c r="DR14" s="1302"/>
      <c r="DS14" s="1302"/>
      <c r="DT14" s="1302"/>
      <c r="DU14" s="1302"/>
      <c r="DV14" s="1302"/>
      <c r="DW14" s="1302"/>
      <c r="DX14" s="1302"/>
      <c r="DY14" s="1302"/>
      <c r="DZ14" s="1302"/>
      <c r="EA14" s="1302"/>
      <c r="EB14" s="1302"/>
      <c r="EC14" s="1302"/>
      <c r="ED14" s="1302"/>
      <c r="EE14" s="1302"/>
      <c r="EF14" s="1302"/>
      <c r="EG14" s="1302"/>
      <c r="EH14" s="1302"/>
      <c r="EI14" s="1302"/>
      <c r="EJ14" s="1302"/>
      <c r="EK14" s="1302"/>
      <c r="EL14" s="1302"/>
      <c r="EM14" s="1302"/>
      <c r="EN14" s="1302"/>
      <c r="EO14" s="1302"/>
      <c r="EP14" s="1302"/>
      <c r="EQ14" s="1302"/>
      <c r="ER14" s="1302"/>
      <c r="ES14" s="1302"/>
      <c r="ET14" s="1302"/>
      <c r="EU14" s="1302"/>
      <c r="EV14" s="1302"/>
      <c r="EW14" s="1302"/>
      <c r="EX14" s="1302"/>
      <c r="EY14" s="1302"/>
      <c r="EZ14" s="1302"/>
      <c r="FA14" s="1302"/>
      <c r="FB14" s="1302"/>
      <c r="FC14" s="1302"/>
      <c r="FD14" s="1302"/>
      <c r="FE14" s="1302"/>
      <c r="FF14" s="1302"/>
      <c r="FG14" s="1302"/>
      <c r="FH14" s="1302"/>
      <c r="FI14" s="1302"/>
      <c r="FJ14" s="1302"/>
      <c r="FK14" s="1302"/>
      <c r="FL14" s="1302"/>
      <c r="FM14" s="1302"/>
      <c r="FN14" s="1302"/>
      <c r="FO14" s="1302"/>
      <c r="FP14" s="1302"/>
      <c r="FQ14" s="1302"/>
      <c r="FR14" s="1302"/>
      <c r="FS14" s="1302"/>
      <c r="FT14" s="1302"/>
      <c r="FU14" s="1302"/>
      <c r="FV14" s="1302"/>
      <c r="FW14" s="1302"/>
      <c r="FX14" s="1302"/>
      <c r="FY14" s="1302"/>
      <c r="FZ14" s="1302"/>
      <c r="GA14" s="1302"/>
      <c r="GB14" s="1302"/>
      <c r="GC14" s="1302"/>
      <c r="GD14" s="1302"/>
      <c r="GE14" s="1302"/>
      <c r="GF14" s="1302"/>
      <c r="GG14" s="1302"/>
      <c r="GH14" s="1302"/>
      <c r="GI14" s="1302"/>
      <c r="GJ14" s="1302"/>
      <c r="GK14" s="1302"/>
      <c r="GL14" s="1302"/>
      <c r="GM14" s="1302"/>
      <c r="GN14" s="1302"/>
      <c r="GO14" s="1302"/>
      <c r="GP14" s="1302"/>
      <c r="GQ14" s="1302"/>
      <c r="GR14" s="1302"/>
      <c r="GS14" s="1302"/>
      <c r="GT14" s="1302"/>
      <c r="GU14" s="1302"/>
      <c r="GV14" s="1302"/>
      <c r="GW14" s="1302"/>
      <c r="GX14" s="1302"/>
      <c r="GY14" s="1302"/>
      <c r="GZ14" s="1302"/>
      <c r="HA14" s="1302"/>
      <c r="HB14" s="1302"/>
      <c r="HC14" s="1302"/>
      <c r="HD14" s="1302"/>
      <c r="HE14" s="1302"/>
      <c r="HF14" s="1302"/>
      <c r="HG14" s="1302"/>
      <c r="HH14" s="1302"/>
      <c r="HI14" s="1302"/>
      <c r="HJ14" s="1302"/>
      <c r="HK14" s="1302"/>
      <c r="HL14" s="1302"/>
      <c r="HM14" s="1302"/>
      <c r="HN14" s="1302"/>
      <c r="HO14" s="1302"/>
      <c r="HP14" s="1302"/>
      <c r="HQ14" s="1302"/>
      <c r="HR14" s="1302"/>
      <c r="HS14" s="1302"/>
      <c r="HT14" s="1302"/>
      <c r="HU14" s="1302"/>
      <c r="HV14" s="1302"/>
      <c r="HW14" s="1302"/>
      <c r="HX14" s="1302"/>
      <c r="HY14" s="1302"/>
      <c r="HZ14" s="1302"/>
      <c r="IA14" s="1302"/>
      <c r="IB14" s="1302"/>
      <c r="IC14" s="1302"/>
      <c r="ID14" s="1302"/>
      <c r="IE14" s="1302"/>
      <c r="IF14" s="1302"/>
      <c r="IG14" s="1302"/>
      <c r="IH14" s="1302"/>
      <c r="II14" s="1302"/>
      <c r="IJ14" s="1302"/>
      <c r="IK14" s="1302"/>
      <c r="IL14" s="1302"/>
      <c r="IM14" s="1302"/>
      <c r="IN14" s="1302"/>
      <c r="IO14" s="1302"/>
      <c r="IP14" s="1302"/>
      <c r="IQ14" s="1302"/>
      <c r="IR14" s="1302"/>
      <c r="IS14" s="1302"/>
      <c r="IT14" s="1302"/>
      <c r="IU14" s="1302"/>
      <c r="IV14" s="1302"/>
    </row>
    <row r="15" spans="1:256" x14ac:dyDescent="0.25">
      <c r="A15" s="1262">
        <v>60</v>
      </c>
      <c r="B15" s="1293" t="str">
        <f>HYPERLINK("#MS_01006",'MS Parts'!B133)</f>
        <v>Firewall Head Side Plate</v>
      </c>
      <c r="C15" s="1267">
        <f>'MS Parts'!N130</f>
        <v>10.863555840000002</v>
      </c>
      <c r="D15" s="1298">
        <f>'MS Parts'!N131</f>
        <v>1</v>
      </c>
      <c r="E15" s="1273">
        <f t="shared" si="0"/>
        <v>10.863555840000002</v>
      </c>
      <c r="F15" s="1255"/>
      <c r="G15" s="1255"/>
      <c r="H15" s="1255"/>
      <c r="I15" s="1255"/>
      <c r="J15" s="1255"/>
      <c r="K15" s="1255"/>
      <c r="L15" s="1255"/>
      <c r="M15" s="1255"/>
      <c r="N15" s="1255"/>
      <c r="O15" s="1254"/>
      <c r="P15" s="1302"/>
      <c r="Q15" s="1302"/>
      <c r="R15" s="1302"/>
      <c r="S15" s="1302"/>
      <c r="T15" s="1302"/>
      <c r="U15" s="1302"/>
      <c r="V15" s="1302"/>
      <c r="W15" s="1302"/>
      <c r="X15" s="1302"/>
      <c r="Y15" s="1302"/>
      <c r="Z15" s="1302"/>
      <c r="AA15" s="1302"/>
      <c r="AB15" s="1302"/>
      <c r="AC15" s="1302"/>
      <c r="AD15" s="1302"/>
      <c r="AE15" s="1302"/>
      <c r="AF15" s="1302"/>
      <c r="AG15" s="1302"/>
      <c r="AH15" s="1302"/>
      <c r="AI15" s="1302"/>
      <c r="AJ15" s="1302"/>
      <c r="AK15" s="1302"/>
      <c r="AL15" s="1302"/>
      <c r="AM15" s="1302"/>
      <c r="AN15" s="1302"/>
      <c r="AO15" s="1302"/>
      <c r="AP15" s="1302"/>
      <c r="AQ15" s="1302"/>
      <c r="AR15" s="1302"/>
      <c r="AS15" s="1302"/>
      <c r="AT15" s="1302"/>
      <c r="AU15" s="1302"/>
      <c r="AV15" s="1302"/>
      <c r="AW15" s="1302"/>
      <c r="AX15" s="1302"/>
      <c r="AY15" s="1302"/>
      <c r="AZ15" s="1302"/>
      <c r="BA15" s="1302"/>
      <c r="BB15" s="1302"/>
      <c r="BC15" s="1302"/>
      <c r="BD15" s="1302"/>
      <c r="BE15" s="1302"/>
      <c r="BF15" s="1302"/>
      <c r="BG15" s="1302"/>
      <c r="BH15" s="1302"/>
      <c r="BI15" s="1302"/>
      <c r="BJ15" s="1302"/>
      <c r="BK15" s="1302"/>
      <c r="BL15" s="1302"/>
      <c r="BM15" s="1302"/>
      <c r="BN15" s="1302"/>
      <c r="BO15" s="1302"/>
      <c r="BP15" s="1302"/>
      <c r="BQ15" s="1302"/>
      <c r="BR15" s="1302"/>
      <c r="BS15" s="1302"/>
      <c r="BT15" s="1302"/>
      <c r="BU15" s="1302"/>
      <c r="BV15" s="1302"/>
      <c r="BW15" s="1302"/>
      <c r="BX15" s="1302"/>
      <c r="BY15" s="1302"/>
      <c r="BZ15" s="1302"/>
      <c r="CA15" s="1302"/>
      <c r="CB15" s="1302"/>
      <c r="CC15" s="1302"/>
      <c r="CD15" s="1302"/>
      <c r="CE15" s="1302"/>
      <c r="CF15" s="1302"/>
      <c r="CG15" s="1302"/>
      <c r="CH15" s="1302"/>
      <c r="CI15" s="1302"/>
      <c r="CJ15" s="1302"/>
      <c r="CK15" s="1302"/>
      <c r="CL15" s="1302"/>
      <c r="CM15" s="1302"/>
      <c r="CN15" s="1302"/>
      <c r="CO15" s="1302"/>
      <c r="CP15" s="1302"/>
      <c r="CQ15" s="1302"/>
      <c r="CR15" s="1302"/>
      <c r="CS15" s="1302"/>
      <c r="CT15" s="1302"/>
      <c r="CU15" s="1302"/>
      <c r="CV15" s="1302"/>
      <c r="CW15" s="1302"/>
      <c r="CX15" s="1302"/>
      <c r="CY15" s="1302"/>
      <c r="CZ15" s="1302"/>
      <c r="DA15" s="1302"/>
      <c r="DB15" s="1302"/>
      <c r="DC15" s="1302"/>
      <c r="DD15" s="1302"/>
      <c r="DE15" s="1302"/>
      <c r="DF15" s="1302"/>
      <c r="DG15" s="1302"/>
      <c r="DH15" s="1302"/>
      <c r="DI15" s="1302"/>
      <c r="DJ15" s="1302"/>
      <c r="DK15" s="1302"/>
      <c r="DL15" s="1302"/>
      <c r="DM15" s="1302"/>
      <c r="DN15" s="1302"/>
      <c r="DO15" s="1302"/>
      <c r="DP15" s="1302"/>
      <c r="DQ15" s="1302"/>
      <c r="DR15" s="1302"/>
      <c r="DS15" s="1302"/>
      <c r="DT15" s="1302"/>
      <c r="DU15" s="1302"/>
      <c r="DV15" s="1302"/>
      <c r="DW15" s="1302"/>
      <c r="DX15" s="1302"/>
      <c r="DY15" s="1302"/>
      <c r="DZ15" s="1302"/>
      <c r="EA15" s="1302"/>
      <c r="EB15" s="1302"/>
      <c r="EC15" s="1302"/>
      <c r="ED15" s="1302"/>
      <c r="EE15" s="1302"/>
      <c r="EF15" s="1302"/>
      <c r="EG15" s="1302"/>
      <c r="EH15" s="1302"/>
      <c r="EI15" s="1302"/>
      <c r="EJ15" s="1302"/>
      <c r="EK15" s="1302"/>
      <c r="EL15" s="1302"/>
      <c r="EM15" s="1302"/>
      <c r="EN15" s="1302"/>
      <c r="EO15" s="1302"/>
      <c r="EP15" s="1302"/>
      <c r="EQ15" s="1302"/>
      <c r="ER15" s="1302"/>
      <c r="ES15" s="1302"/>
      <c r="ET15" s="1302"/>
      <c r="EU15" s="1302"/>
      <c r="EV15" s="1302"/>
      <c r="EW15" s="1302"/>
      <c r="EX15" s="1302"/>
      <c r="EY15" s="1302"/>
      <c r="EZ15" s="1302"/>
      <c r="FA15" s="1302"/>
      <c r="FB15" s="1302"/>
      <c r="FC15" s="1302"/>
      <c r="FD15" s="1302"/>
      <c r="FE15" s="1302"/>
      <c r="FF15" s="1302"/>
      <c r="FG15" s="1302"/>
      <c r="FH15" s="1302"/>
      <c r="FI15" s="1302"/>
      <c r="FJ15" s="1302"/>
      <c r="FK15" s="1302"/>
      <c r="FL15" s="1302"/>
      <c r="FM15" s="1302"/>
      <c r="FN15" s="1302"/>
      <c r="FO15" s="1302"/>
      <c r="FP15" s="1302"/>
      <c r="FQ15" s="1302"/>
      <c r="FR15" s="1302"/>
      <c r="FS15" s="1302"/>
      <c r="FT15" s="1302"/>
      <c r="FU15" s="1302"/>
      <c r="FV15" s="1302"/>
      <c r="FW15" s="1302"/>
      <c r="FX15" s="1302"/>
      <c r="FY15" s="1302"/>
      <c r="FZ15" s="1302"/>
      <c r="GA15" s="1302"/>
      <c r="GB15" s="1302"/>
      <c r="GC15" s="1302"/>
      <c r="GD15" s="1302"/>
      <c r="GE15" s="1302"/>
      <c r="GF15" s="1302"/>
      <c r="GG15" s="1302"/>
      <c r="GH15" s="1302"/>
      <c r="GI15" s="1302"/>
      <c r="GJ15" s="1302"/>
      <c r="GK15" s="1302"/>
      <c r="GL15" s="1302"/>
      <c r="GM15" s="1302"/>
      <c r="GN15" s="1302"/>
      <c r="GO15" s="1302"/>
      <c r="GP15" s="1302"/>
      <c r="GQ15" s="1302"/>
      <c r="GR15" s="1302"/>
      <c r="GS15" s="1302"/>
      <c r="GT15" s="1302"/>
      <c r="GU15" s="1302"/>
      <c r="GV15" s="1302"/>
      <c r="GW15" s="1302"/>
      <c r="GX15" s="1302"/>
      <c r="GY15" s="1302"/>
      <c r="GZ15" s="1302"/>
      <c r="HA15" s="1302"/>
      <c r="HB15" s="1302"/>
      <c r="HC15" s="1302"/>
      <c r="HD15" s="1302"/>
      <c r="HE15" s="1302"/>
      <c r="HF15" s="1302"/>
      <c r="HG15" s="1302"/>
      <c r="HH15" s="1302"/>
      <c r="HI15" s="1302"/>
      <c r="HJ15" s="1302"/>
      <c r="HK15" s="1302"/>
      <c r="HL15" s="1302"/>
      <c r="HM15" s="1302"/>
      <c r="HN15" s="1302"/>
      <c r="HO15" s="1302"/>
      <c r="HP15" s="1302"/>
      <c r="HQ15" s="1302"/>
      <c r="HR15" s="1302"/>
      <c r="HS15" s="1302"/>
      <c r="HT15" s="1302"/>
      <c r="HU15" s="1302"/>
      <c r="HV15" s="1302"/>
      <c r="HW15" s="1302"/>
      <c r="HX15" s="1302"/>
      <c r="HY15" s="1302"/>
      <c r="HZ15" s="1302"/>
      <c r="IA15" s="1302"/>
      <c r="IB15" s="1302"/>
      <c r="IC15" s="1302"/>
      <c r="ID15" s="1302"/>
      <c r="IE15" s="1302"/>
      <c r="IF15" s="1302"/>
      <c r="IG15" s="1302"/>
      <c r="IH15" s="1302"/>
      <c r="II15" s="1302"/>
      <c r="IJ15" s="1302"/>
      <c r="IK15" s="1302"/>
      <c r="IL15" s="1302"/>
      <c r="IM15" s="1302"/>
      <c r="IN15" s="1302"/>
      <c r="IO15" s="1302"/>
      <c r="IP15" s="1302"/>
      <c r="IQ15" s="1302"/>
      <c r="IR15" s="1302"/>
      <c r="IS15" s="1302"/>
      <c r="IT15" s="1302"/>
      <c r="IU15" s="1302"/>
      <c r="IV15" s="1302"/>
    </row>
    <row r="16" spans="1:256" x14ac:dyDescent="0.25">
      <c r="A16" s="1262">
        <v>70</v>
      </c>
      <c r="B16" s="1293" t="str">
        <f>HYPERLINK("#MS_01007",'MS Parts'!B158)</f>
        <v>Firewall Tab</v>
      </c>
      <c r="C16" s="1267">
        <f>'MS Parts'!N155</f>
        <v>0.55291324000000008</v>
      </c>
      <c r="D16" s="1298">
        <f>'MS Parts'!N156</f>
        <v>26</v>
      </c>
      <c r="E16" s="1273">
        <f t="shared" si="0"/>
        <v>14.375744240000003</v>
      </c>
      <c r="F16" s="1255"/>
      <c r="G16" s="1255"/>
      <c r="H16" s="1255"/>
      <c r="I16" s="1255"/>
      <c r="J16" s="1255"/>
      <c r="K16" s="1255"/>
      <c r="L16" s="1255"/>
      <c r="M16" s="1255"/>
      <c r="N16" s="1255"/>
      <c r="O16" s="1254"/>
      <c r="P16" s="1302"/>
      <c r="Q16" s="1302"/>
      <c r="R16" s="1302"/>
      <c r="S16" s="1302"/>
      <c r="T16" s="1302"/>
      <c r="U16" s="1302"/>
      <c r="V16" s="1302"/>
      <c r="W16" s="1302"/>
      <c r="X16" s="1302"/>
      <c r="Y16" s="1302"/>
      <c r="Z16" s="1302"/>
      <c r="AA16" s="1302"/>
      <c r="AB16" s="1302"/>
      <c r="AC16" s="1302"/>
      <c r="AD16" s="1302"/>
      <c r="AE16" s="1302"/>
      <c r="AF16" s="1302"/>
      <c r="AG16" s="1302"/>
      <c r="AH16" s="1302"/>
      <c r="AI16" s="1302"/>
      <c r="AJ16" s="1302"/>
      <c r="AK16" s="1302"/>
      <c r="AL16" s="1302"/>
      <c r="AM16" s="1302"/>
      <c r="AN16" s="1302"/>
      <c r="AO16" s="1302"/>
      <c r="AP16" s="1302"/>
      <c r="AQ16" s="1302"/>
      <c r="AR16" s="1302"/>
      <c r="AS16" s="1302"/>
      <c r="AT16" s="1302"/>
      <c r="AU16" s="1302"/>
      <c r="AV16" s="1302"/>
      <c r="AW16" s="1302"/>
      <c r="AX16" s="1302"/>
      <c r="AY16" s="1302"/>
      <c r="AZ16" s="1302"/>
      <c r="BA16" s="1302"/>
      <c r="BB16" s="1302"/>
      <c r="BC16" s="1302"/>
      <c r="BD16" s="1302"/>
      <c r="BE16" s="1302"/>
      <c r="BF16" s="1302"/>
      <c r="BG16" s="1302"/>
      <c r="BH16" s="1302"/>
      <c r="BI16" s="1302"/>
      <c r="BJ16" s="1302"/>
      <c r="BK16" s="1302"/>
      <c r="BL16" s="1302"/>
      <c r="BM16" s="1302"/>
      <c r="BN16" s="1302"/>
      <c r="BO16" s="1302"/>
      <c r="BP16" s="1302"/>
      <c r="BQ16" s="1302"/>
      <c r="BR16" s="1302"/>
      <c r="BS16" s="1302"/>
      <c r="BT16" s="1302"/>
      <c r="BU16" s="1302"/>
      <c r="BV16" s="1302"/>
      <c r="BW16" s="1302"/>
      <c r="BX16" s="1302"/>
      <c r="BY16" s="1302"/>
      <c r="BZ16" s="1302"/>
      <c r="CA16" s="1302"/>
      <c r="CB16" s="1302"/>
      <c r="CC16" s="1302"/>
      <c r="CD16" s="1302"/>
      <c r="CE16" s="1302"/>
      <c r="CF16" s="1302"/>
      <c r="CG16" s="1302"/>
      <c r="CH16" s="1302"/>
      <c r="CI16" s="1302"/>
      <c r="CJ16" s="1302"/>
      <c r="CK16" s="1302"/>
      <c r="CL16" s="1302"/>
      <c r="CM16" s="1302"/>
      <c r="CN16" s="1302"/>
      <c r="CO16" s="1302"/>
      <c r="CP16" s="1302"/>
      <c r="CQ16" s="1302"/>
      <c r="CR16" s="1302"/>
      <c r="CS16" s="1302"/>
      <c r="CT16" s="1302"/>
      <c r="CU16" s="1302"/>
      <c r="CV16" s="1302"/>
      <c r="CW16" s="1302"/>
      <c r="CX16" s="1302"/>
      <c r="CY16" s="1302"/>
      <c r="CZ16" s="1302"/>
      <c r="DA16" s="1302"/>
      <c r="DB16" s="1302"/>
      <c r="DC16" s="1302"/>
      <c r="DD16" s="1302"/>
      <c r="DE16" s="1302"/>
      <c r="DF16" s="1302"/>
      <c r="DG16" s="1302"/>
      <c r="DH16" s="1302"/>
      <c r="DI16" s="1302"/>
      <c r="DJ16" s="1302"/>
      <c r="DK16" s="1302"/>
      <c r="DL16" s="1302"/>
      <c r="DM16" s="1302"/>
      <c r="DN16" s="1302"/>
      <c r="DO16" s="1302"/>
      <c r="DP16" s="1302"/>
      <c r="DQ16" s="1302"/>
      <c r="DR16" s="1302"/>
      <c r="DS16" s="1302"/>
      <c r="DT16" s="1302"/>
      <c r="DU16" s="1302"/>
      <c r="DV16" s="1302"/>
      <c r="DW16" s="1302"/>
      <c r="DX16" s="1302"/>
      <c r="DY16" s="1302"/>
      <c r="DZ16" s="1302"/>
      <c r="EA16" s="1302"/>
      <c r="EB16" s="1302"/>
      <c r="EC16" s="1302"/>
      <c r="ED16" s="1302"/>
      <c r="EE16" s="1302"/>
      <c r="EF16" s="1302"/>
      <c r="EG16" s="1302"/>
      <c r="EH16" s="1302"/>
      <c r="EI16" s="1302"/>
      <c r="EJ16" s="1302"/>
      <c r="EK16" s="1302"/>
      <c r="EL16" s="1302"/>
      <c r="EM16" s="1302"/>
      <c r="EN16" s="1302"/>
      <c r="EO16" s="1302"/>
      <c r="EP16" s="1302"/>
      <c r="EQ16" s="1302"/>
      <c r="ER16" s="1302"/>
      <c r="ES16" s="1302"/>
      <c r="ET16" s="1302"/>
      <c r="EU16" s="1302"/>
      <c r="EV16" s="1302"/>
      <c r="EW16" s="1302"/>
      <c r="EX16" s="1302"/>
      <c r="EY16" s="1302"/>
      <c r="EZ16" s="1302"/>
      <c r="FA16" s="1302"/>
      <c r="FB16" s="1302"/>
      <c r="FC16" s="1302"/>
      <c r="FD16" s="1302"/>
      <c r="FE16" s="1302"/>
      <c r="FF16" s="1302"/>
      <c r="FG16" s="1302"/>
      <c r="FH16" s="1302"/>
      <c r="FI16" s="1302"/>
      <c r="FJ16" s="1302"/>
      <c r="FK16" s="1302"/>
      <c r="FL16" s="1302"/>
      <c r="FM16" s="1302"/>
      <c r="FN16" s="1302"/>
      <c r="FO16" s="1302"/>
      <c r="FP16" s="1302"/>
      <c r="FQ16" s="1302"/>
      <c r="FR16" s="1302"/>
      <c r="FS16" s="1302"/>
      <c r="FT16" s="1302"/>
      <c r="FU16" s="1302"/>
      <c r="FV16" s="1302"/>
      <c r="FW16" s="1302"/>
      <c r="FX16" s="1302"/>
      <c r="FY16" s="1302"/>
      <c r="FZ16" s="1302"/>
      <c r="GA16" s="1302"/>
      <c r="GB16" s="1302"/>
      <c r="GC16" s="1302"/>
      <c r="GD16" s="1302"/>
      <c r="GE16" s="1302"/>
      <c r="GF16" s="1302"/>
      <c r="GG16" s="1302"/>
      <c r="GH16" s="1302"/>
      <c r="GI16" s="1302"/>
      <c r="GJ16" s="1302"/>
      <c r="GK16" s="1302"/>
      <c r="GL16" s="1302"/>
      <c r="GM16" s="1302"/>
      <c r="GN16" s="1302"/>
      <c r="GO16" s="1302"/>
      <c r="GP16" s="1302"/>
      <c r="GQ16" s="1302"/>
      <c r="GR16" s="1302"/>
      <c r="GS16" s="1302"/>
      <c r="GT16" s="1302"/>
      <c r="GU16" s="1302"/>
      <c r="GV16" s="1302"/>
      <c r="GW16" s="1302"/>
      <c r="GX16" s="1302"/>
      <c r="GY16" s="1302"/>
      <c r="GZ16" s="1302"/>
      <c r="HA16" s="1302"/>
      <c r="HB16" s="1302"/>
      <c r="HC16" s="1302"/>
      <c r="HD16" s="1302"/>
      <c r="HE16" s="1302"/>
      <c r="HF16" s="1302"/>
      <c r="HG16" s="1302"/>
      <c r="HH16" s="1302"/>
      <c r="HI16" s="1302"/>
      <c r="HJ16" s="1302"/>
      <c r="HK16" s="1302"/>
      <c r="HL16" s="1302"/>
      <c r="HM16" s="1302"/>
      <c r="HN16" s="1302"/>
      <c r="HO16" s="1302"/>
      <c r="HP16" s="1302"/>
      <c r="HQ16" s="1302"/>
      <c r="HR16" s="1302"/>
      <c r="HS16" s="1302"/>
      <c r="HT16" s="1302"/>
      <c r="HU16" s="1302"/>
      <c r="HV16" s="1302"/>
      <c r="HW16" s="1302"/>
      <c r="HX16" s="1302"/>
      <c r="HY16" s="1302"/>
      <c r="HZ16" s="1302"/>
      <c r="IA16" s="1302"/>
      <c r="IB16" s="1302"/>
      <c r="IC16" s="1302"/>
      <c r="ID16" s="1302"/>
      <c r="IE16" s="1302"/>
      <c r="IF16" s="1302"/>
      <c r="IG16" s="1302"/>
      <c r="IH16" s="1302"/>
      <c r="II16" s="1302"/>
      <c r="IJ16" s="1302"/>
      <c r="IK16" s="1302"/>
      <c r="IL16" s="1302"/>
      <c r="IM16" s="1302"/>
      <c r="IN16" s="1302"/>
      <c r="IO16" s="1302"/>
      <c r="IP16" s="1302"/>
      <c r="IQ16" s="1302"/>
      <c r="IR16" s="1302"/>
      <c r="IS16" s="1302"/>
      <c r="IT16" s="1302"/>
      <c r="IU16" s="1302"/>
      <c r="IV16" s="1302"/>
    </row>
    <row r="17" spans="1:256" x14ac:dyDescent="0.25">
      <c r="A17" s="1264"/>
      <c r="B17" s="1255"/>
      <c r="C17" s="1255"/>
      <c r="D17" s="1258" t="s">
        <v>58</v>
      </c>
      <c r="E17" s="1257">
        <f>SUM(E10:E16)</f>
        <v>76.551022268000011</v>
      </c>
      <c r="F17" s="1260"/>
      <c r="G17" s="1260"/>
      <c r="H17" s="1260"/>
      <c r="I17" s="1260"/>
      <c r="J17" s="1260"/>
      <c r="K17" s="1260"/>
      <c r="L17" s="1260"/>
      <c r="M17" s="1260"/>
      <c r="N17" s="1260"/>
      <c r="O17" s="1254"/>
      <c r="P17" s="1302"/>
      <c r="Q17" s="1302"/>
      <c r="R17" s="1302"/>
      <c r="S17" s="1302"/>
      <c r="T17" s="1302"/>
      <c r="U17" s="1302"/>
      <c r="V17" s="1302"/>
      <c r="W17" s="1302"/>
      <c r="X17" s="1302"/>
      <c r="Y17" s="1302"/>
      <c r="Z17" s="1302"/>
      <c r="AA17" s="1302"/>
      <c r="AB17" s="1302"/>
      <c r="AC17" s="1302"/>
      <c r="AD17" s="1302"/>
      <c r="AE17" s="1302"/>
      <c r="AF17" s="1302"/>
      <c r="AG17" s="1302"/>
      <c r="AH17" s="1302"/>
      <c r="AI17" s="1302"/>
      <c r="AJ17" s="1302"/>
      <c r="AK17" s="1302"/>
      <c r="AL17" s="1302"/>
      <c r="AM17" s="1302"/>
      <c r="AN17" s="1302"/>
      <c r="AO17" s="1302"/>
      <c r="AP17" s="1302"/>
      <c r="AQ17" s="1302"/>
      <c r="AR17" s="1302"/>
      <c r="AS17" s="1302"/>
      <c r="AT17" s="1302"/>
      <c r="AU17" s="1302"/>
      <c r="AV17" s="1302"/>
      <c r="AW17" s="1302"/>
      <c r="AX17" s="1302"/>
      <c r="AY17" s="1302"/>
      <c r="AZ17" s="1302"/>
      <c r="BA17" s="1302"/>
      <c r="BB17" s="1302"/>
      <c r="BC17" s="1302"/>
      <c r="BD17" s="1302"/>
      <c r="BE17" s="1302"/>
      <c r="BF17" s="1302"/>
      <c r="BG17" s="1302"/>
      <c r="BH17" s="1302"/>
      <c r="BI17" s="1302"/>
      <c r="BJ17" s="1302"/>
      <c r="BK17" s="1302"/>
      <c r="BL17" s="1302"/>
      <c r="BM17" s="1302"/>
      <c r="BN17" s="1302"/>
      <c r="BO17" s="1302"/>
      <c r="BP17" s="1302"/>
      <c r="BQ17" s="1302"/>
      <c r="BR17" s="1302"/>
      <c r="BS17" s="1302"/>
      <c r="BT17" s="1302"/>
      <c r="BU17" s="1302"/>
      <c r="BV17" s="1302"/>
      <c r="BW17" s="1302"/>
      <c r="BX17" s="1302"/>
      <c r="BY17" s="1302"/>
      <c r="BZ17" s="1302"/>
      <c r="CA17" s="1302"/>
      <c r="CB17" s="1302"/>
      <c r="CC17" s="1302"/>
      <c r="CD17" s="1302"/>
      <c r="CE17" s="1302"/>
      <c r="CF17" s="1302"/>
      <c r="CG17" s="1302"/>
      <c r="CH17" s="1302"/>
      <c r="CI17" s="1302"/>
      <c r="CJ17" s="1302"/>
      <c r="CK17" s="1302"/>
      <c r="CL17" s="1302"/>
      <c r="CM17" s="1302"/>
      <c r="CN17" s="1302"/>
      <c r="CO17" s="1302"/>
      <c r="CP17" s="1302"/>
      <c r="CQ17" s="1302"/>
      <c r="CR17" s="1302"/>
      <c r="CS17" s="1302"/>
      <c r="CT17" s="1302"/>
      <c r="CU17" s="1302"/>
      <c r="CV17" s="1302"/>
      <c r="CW17" s="1302"/>
      <c r="CX17" s="1302"/>
      <c r="CY17" s="1302"/>
      <c r="CZ17" s="1302"/>
      <c r="DA17" s="1302"/>
      <c r="DB17" s="1302"/>
      <c r="DC17" s="1302"/>
      <c r="DD17" s="1302"/>
      <c r="DE17" s="1302"/>
      <c r="DF17" s="1302"/>
      <c r="DG17" s="1302"/>
      <c r="DH17" s="1302"/>
      <c r="DI17" s="1302"/>
      <c r="DJ17" s="1302"/>
      <c r="DK17" s="1302"/>
      <c r="DL17" s="1302"/>
      <c r="DM17" s="1302"/>
      <c r="DN17" s="1302"/>
      <c r="DO17" s="1302"/>
      <c r="DP17" s="1302"/>
      <c r="DQ17" s="1302"/>
      <c r="DR17" s="1302"/>
      <c r="DS17" s="1302"/>
      <c r="DT17" s="1302"/>
      <c r="DU17" s="1302"/>
      <c r="DV17" s="1302"/>
      <c r="DW17" s="1302"/>
      <c r="DX17" s="1302"/>
      <c r="DY17" s="1302"/>
      <c r="DZ17" s="1302"/>
      <c r="EA17" s="1302"/>
      <c r="EB17" s="1302"/>
      <c r="EC17" s="1302"/>
      <c r="ED17" s="1302"/>
      <c r="EE17" s="1302"/>
      <c r="EF17" s="1302"/>
      <c r="EG17" s="1302"/>
      <c r="EH17" s="1302"/>
      <c r="EI17" s="1302"/>
      <c r="EJ17" s="1302"/>
      <c r="EK17" s="1302"/>
      <c r="EL17" s="1302"/>
      <c r="EM17" s="1302"/>
      <c r="EN17" s="1302"/>
      <c r="EO17" s="1302"/>
      <c r="EP17" s="1302"/>
      <c r="EQ17" s="1302"/>
      <c r="ER17" s="1302"/>
      <c r="ES17" s="1302"/>
      <c r="ET17" s="1302"/>
      <c r="EU17" s="1302"/>
      <c r="EV17" s="1302"/>
      <c r="EW17" s="1302"/>
      <c r="EX17" s="1302"/>
      <c r="EY17" s="1302"/>
      <c r="EZ17" s="1302"/>
      <c r="FA17" s="1302"/>
      <c r="FB17" s="1302"/>
      <c r="FC17" s="1302"/>
      <c r="FD17" s="1302"/>
      <c r="FE17" s="1302"/>
      <c r="FF17" s="1302"/>
      <c r="FG17" s="1302"/>
      <c r="FH17" s="1302"/>
      <c r="FI17" s="1302"/>
      <c r="FJ17" s="1302"/>
      <c r="FK17" s="1302"/>
      <c r="FL17" s="1302"/>
      <c r="FM17" s="1302"/>
      <c r="FN17" s="1302"/>
      <c r="FO17" s="1302"/>
      <c r="FP17" s="1302"/>
      <c r="FQ17" s="1302"/>
      <c r="FR17" s="1302"/>
      <c r="FS17" s="1302"/>
      <c r="FT17" s="1302"/>
      <c r="FU17" s="1302"/>
      <c r="FV17" s="1302"/>
      <c r="FW17" s="1302"/>
      <c r="FX17" s="1302"/>
      <c r="FY17" s="1302"/>
      <c r="FZ17" s="1302"/>
      <c r="GA17" s="1302"/>
      <c r="GB17" s="1302"/>
      <c r="GC17" s="1302"/>
      <c r="GD17" s="1302"/>
      <c r="GE17" s="1302"/>
      <c r="GF17" s="1302"/>
      <c r="GG17" s="1302"/>
      <c r="GH17" s="1302"/>
      <c r="GI17" s="1302"/>
      <c r="GJ17" s="1302"/>
      <c r="GK17" s="1302"/>
      <c r="GL17" s="1302"/>
      <c r="GM17" s="1302"/>
      <c r="GN17" s="1302"/>
      <c r="GO17" s="1302"/>
      <c r="GP17" s="1302"/>
      <c r="GQ17" s="1302"/>
      <c r="GR17" s="1302"/>
      <c r="GS17" s="1302"/>
      <c r="GT17" s="1302"/>
      <c r="GU17" s="1302"/>
      <c r="GV17" s="1302"/>
      <c r="GW17" s="1302"/>
      <c r="GX17" s="1302"/>
      <c r="GY17" s="1302"/>
      <c r="GZ17" s="1302"/>
      <c r="HA17" s="1302"/>
      <c r="HB17" s="1302"/>
      <c r="HC17" s="1302"/>
      <c r="HD17" s="1302"/>
      <c r="HE17" s="1302"/>
      <c r="HF17" s="1302"/>
      <c r="HG17" s="1302"/>
      <c r="HH17" s="1302"/>
      <c r="HI17" s="1302"/>
      <c r="HJ17" s="1302"/>
      <c r="HK17" s="1302"/>
      <c r="HL17" s="1302"/>
      <c r="HM17" s="1302"/>
      <c r="HN17" s="1302"/>
      <c r="HO17" s="1302"/>
      <c r="HP17" s="1302"/>
      <c r="HQ17" s="1302"/>
      <c r="HR17" s="1302"/>
      <c r="HS17" s="1302"/>
      <c r="HT17" s="1302"/>
      <c r="HU17" s="1302"/>
      <c r="HV17" s="1302"/>
      <c r="HW17" s="1302"/>
      <c r="HX17" s="1302"/>
      <c r="HY17" s="1302"/>
      <c r="HZ17" s="1302"/>
      <c r="IA17" s="1302"/>
      <c r="IB17" s="1302"/>
      <c r="IC17" s="1302"/>
      <c r="ID17" s="1302"/>
      <c r="IE17" s="1302"/>
      <c r="IF17" s="1302"/>
      <c r="IG17" s="1302"/>
      <c r="IH17" s="1302"/>
      <c r="II17" s="1302"/>
      <c r="IJ17" s="1302"/>
      <c r="IK17" s="1302"/>
      <c r="IL17" s="1302"/>
      <c r="IM17" s="1302"/>
      <c r="IN17" s="1302"/>
      <c r="IO17" s="1302"/>
      <c r="IP17" s="1302"/>
      <c r="IQ17" s="1302"/>
      <c r="IR17" s="1302"/>
      <c r="IS17" s="1302"/>
      <c r="IT17" s="1302"/>
      <c r="IU17" s="1302"/>
      <c r="IV17" s="1302"/>
    </row>
    <row r="18" spans="1:256" x14ac:dyDescent="0.25">
      <c r="A18" s="1264"/>
      <c r="B18" s="1255"/>
      <c r="C18" s="1255"/>
      <c r="D18" s="1255"/>
      <c r="E18" s="1255"/>
      <c r="F18" s="1255"/>
      <c r="G18" s="1255"/>
      <c r="H18" s="1255"/>
      <c r="I18" s="1255"/>
      <c r="J18" s="1255"/>
      <c r="K18" s="1255"/>
      <c r="L18" s="1255"/>
      <c r="M18" s="1255"/>
      <c r="N18" s="1255"/>
      <c r="O18" s="1254"/>
      <c r="P18" s="1302"/>
      <c r="Q18" s="1302"/>
      <c r="R18" s="1302"/>
      <c r="S18" s="1302"/>
      <c r="T18" s="1302"/>
      <c r="U18" s="1302"/>
      <c r="V18" s="1302"/>
      <c r="W18" s="1302"/>
      <c r="X18" s="1302"/>
      <c r="Y18" s="1302"/>
      <c r="Z18" s="1302"/>
      <c r="AA18" s="1302"/>
      <c r="AB18" s="1302"/>
      <c r="AC18" s="1302"/>
      <c r="AD18" s="1302"/>
      <c r="AE18" s="1302"/>
      <c r="AF18" s="1302"/>
      <c r="AG18" s="1302"/>
      <c r="AH18" s="1302"/>
      <c r="AI18" s="1302"/>
      <c r="AJ18" s="1302"/>
      <c r="AK18" s="1302"/>
      <c r="AL18" s="1302"/>
      <c r="AM18" s="1302"/>
      <c r="AN18" s="1302"/>
      <c r="AO18" s="1302"/>
      <c r="AP18" s="1302"/>
      <c r="AQ18" s="1302"/>
      <c r="AR18" s="1302"/>
      <c r="AS18" s="1302"/>
      <c r="AT18" s="1302"/>
      <c r="AU18" s="1302"/>
      <c r="AV18" s="1302"/>
      <c r="AW18" s="1302"/>
      <c r="AX18" s="1302"/>
      <c r="AY18" s="1302"/>
      <c r="AZ18" s="1302"/>
      <c r="BA18" s="1302"/>
      <c r="BB18" s="1302"/>
      <c r="BC18" s="1302"/>
      <c r="BD18" s="1302"/>
      <c r="BE18" s="1302"/>
      <c r="BF18" s="1302"/>
      <c r="BG18" s="1302"/>
      <c r="BH18" s="1302"/>
      <c r="BI18" s="1302"/>
      <c r="BJ18" s="1302"/>
      <c r="BK18" s="1302"/>
      <c r="BL18" s="1302"/>
      <c r="BM18" s="1302"/>
      <c r="BN18" s="1302"/>
      <c r="BO18" s="1302"/>
      <c r="BP18" s="1302"/>
      <c r="BQ18" s="1302"/>
      <c r="BR18" s="1302"/>
      <c r="BS18" s="1302"/>
      <c r="BT18" s="1302"/>
      <c r="BU18" s="1302"/>
      <c r="BV18" s="1302"/>
      <c r="BW18" s="1302"/>
      <c r="BX18" s="1302"/>
      <c r="BY18" s="1302"/>
      <c r="BZ18" s="1302"/>
      <c r="CA18" s="1302"/>
      <c r="CB18" s="1302"/>
      <c r="CC18" s="1302"/>
      <c r="CD18" s="1302"/>
      <c r="CE18" s="1302"/>
      <c r="CF18" s="1302"/>
      <c r="CG18" s="1302"/>
      <c r="CH18" s="1302"/>
      <c r="CI18" s="1302"/>
      <c r="CJ18" s="1302"/>
      <c r="CK18" s="1302"/>
      <c r="CL18" s="1302"/>
      <c r="CM18" s="1302"/>
      <c r="CN18" s="1302"/>
      <c r="CO18" s="1302"/>
      <c r="CP18" s="1302"/>
      <c r="CQ18" s="1302"/>
      <c r="CR18" s="1302"/>
      <c r="CS18" s="1302"/>
      <c r="CT18" s="1302"/>
      <c r="CU18" s="1302"/>
      <c r="CV18" s="1302"/>
      <c r="CW18" s="1302"/>
      <c r="CX18" s="1302"/>
      <c r="CY18" s="1302"/>
      <c r="CZ18" s="1302"/>
      <c r="DA18" s="1302"/>
      <c r="DB18" s="1302"/>
      <c r="DC18" s="1302"/>
      <c r="DD18" s="1302"/>
      <c r="DE18" s="1302"/>
      <c r="DF18" s="1302"/>
      <c r="DG18" s="1302"/>
      <c r="DH18" s="1302"/>
      <c r="DI18" s="1302"/>
      <c r="DJ18" s="1302"/>
      <c r="DK18" s="1302"/>
      <c r="DL18" s="1302"/>
      <c r="DM18" s="1302"/>
      <c r="DN18" s="1302"/>
      <c r="DO18" s="1302"/>
      <c r="DP18" s="1302"/>
      <c r="DQ18" s="1302"/>
      <c r="DR18" s="1302"/>
      <c r="DS18" s="1302"/>
      <c r="DT18" s="1302"/>
      <c r="DU18" s="1302"/>
      <c r="DV18" s="1302"/>
      <c r="DW18" s="1302"/>
      <c r="DX18" s="1302"/>
      <c r="DY18" s="1302"/>
      <c r="DZ18" s="1302"/>
      <c r="EA18" s="1302"/>
      <c r="EB18" s="1302"/>
      <c r="EC18" s="1302"/>
      <c r="ED18" s="1302"/>
      <c r="EE18" s="1302"/>
      <c r="EF18" s="1302"/>
      <c r="EG18" s="1302"/>
      <c r="EH18" s="1302"/>
      <c r="EI18" s="1302"/>
      <c r="EJ18" s="1302"/>
      <c r="EK18" s="1302"/>
      <c r="EL18" s="1302"/>
      <c r="EM18" s="1302"/>
      <c r="EN18" s="1302"/>
      <c r="EO18" s="1302"/>
      <c r="EP18" s="1302"/>
      <c r="EQ18" s="1302"/>
      <c r="ER18" s="1302"/>
      <c r="ES18" s="1302"/>
      <c r="ET18" s="1302"/>
      <c r="EU18" s="1302"/>
      <c r="EV18" s="1302"/>
      <c r="EW18" s="1302"/>
      <c r="EX18" s="1302"/>
      <c r="EY18" s="1302"/>
      <c r="EZ18" s="1302"/>
      <c r="FA18" s="1302"/>
      <c r="FB18" s="1302"/>
      <c r="FC18" s="1302"/>
      <c r="FD18" s="1302"/>
      <c r="FE18" s="1302"/>
      <c r="FF18" s="1302"/>
      <c r="FG18" s="1302"/>
      <c r="FH18" s="1302"/>
      <c r="FI18" s="1302"/>
      <c r="FJ18" s="1302"/>
      <c r="FK18" s="1302"/>
      <c r="FL18" s="1302"/>
      <c r="FM18" s="1302"/>
      <c r="FN18" s="1302"/>
      <c r="FO18" s="1302"/>
      <c r="FP18" s="1302"/>
      <c r="FQ18" s="1302"/>
      <c r="FR18" s="1302"/>
      <c r="FS18" s="1302"/>
      <c r="FT18" s="1302"/>
      <c r="FU18" s="1302"/>
      <c r="FV18" s="1302"/>
      <c r="FW18" s="1302"/>
      <c r="FX18" s="1302"/>
      <c r="FY18" s="1302"/>
      <c r="FZ18" s="1302"/>
      <c r="GA18" s="1302"/>
      <c r="GB18" s="1302"/>
      <c r="GC18" s="1302"/>
      <c r="GD18" s="1302"/>
      <c r="GE18" s="1302"/>
      <c r="GF18" s="1302"/>
      <c r="GG18" s="1302"/>
      <c r="GH18" s="1302"/>
      <c r="GI18" s="1302"/>
      <c r="GJ18" s="1302"/>
      <c r="GK18" s="1302"/>
      <c r="GL18" s="1302"/>
      <c r="GM18" s="1302"/>
      <c r="GN18" s="1302"/>
      <c r="GO18" s="1302"/>
      <c r="GP18" s="1302"/>
      <c r="GQ18" s="1302"/>
      <c r="GR18" s="1302"/>
      <c r="GS18" s="1302"/>
      <c r="GT18" s="1302"/>
      <c r="GU18" s="1302"/>
      <c r="GV18" s="1302"/>
      <c r="GW18" s="1302"/>
      <c r="GX18" s="1302"/>
      <c r="GY18" s="1302"/>
      <c r="GZ18" s="1302"/>
      <c r="HA18" s="1302"/>
      <c r="HB18" s="1302"/>
      <c r="HC18" s="1302"/>
      <c r="HD18" s="1302"/>
      <c r="HE18" s="1302"/>
      <c r="HF18" s="1302"/>
      <c r="HG18" s="1302"/>
      <c r="HH18" s="1302"/>
      <c r="HI18" s="1302"/>
      <c r="HJ18" s="1302"/>
      <c r="HK18" s="1302"/>
      <c r="HL18" s="1302"/>
      <c r="HM18" s="1302"/>
      <c r="HN18" s="1302"/>
      <c r="HO18" s="1302"/>
      <c r="HP18" s="1302"/>
      <c r="HQ18" s="1302"/>
      <c r="HR18" s="1302"/>
      <c r="HS18" s="1302"/>
      <c r="HT18" s="1302"/>
      <c r="HU18" s="1302"/>
      <c r="HV18" s="1302"/>
      <c r="HW18" s="1302"/>
      <c r="HX18" s="1302"/>
      <c r="HY18" s="1302"/>
      <c r="HZ18" s="1302"/>
      <c r="IA18" s="1302"/>
      <c r="IB18" s="1302"/>
      <c r="IC18" s="1302"/>
      <c r="ID18" s="1302"/>
      <c r="IE18" s="1302"/>
      <c r="IF18" s="1302"/>
      <c r="IG18" s="1302"/>
      <c r="IH18" s="1302"/>
      <c r="II18" s="1302"/>
      <c r="IJ18" s="1302"/>
      <c r="IK18" s="1302"/>
      <c r="IL18" s="1302"/>
      <c r="IM18" s="1302"/>
      <c r="IN18" s="1302"/>
      <c r="IO18" s="1302"/>
      <c r="IP18" s="1302"/>
      <c r="IQ18" s="1302"/>
      <c r="IR18" s="1302"/>
      <c r="IS18" s="1302"/>
      <c r="IT18" s="1302"/>
      <c r="IU18" s="1302"/>
      <c r="IV18" s="1302"/>
    </row>
    <row r="19" spans="1:256" x14ac:dyDescent="0.25">
      <c r="A19" s="1263" t="s">
        <v>67</v>
      </c>
      <c r="B19" s="1263" t="s">
        <v>112</v>
      </c>
      <c r="C19" s="1263" t="s">
        <v>66</v>
      </c>
      <c r="D19" s="1263" t="s">
        <v>65</v>
      </c>
      <c r="E19" s="1263" t="s">
        <v>81</v>
      </c>
      <c r="F19" s="1263" t="s">
        <v>80</v>
      </c>
      <c r="G19" s="1263" t="s">
        <v>79</v>
      </c>
      <c r="H19" s="1263" t="s">
        <v>78</v>
      </c>
      <c r="I19" s="1263" t="s">
        <v>111</v>
      </c>
      <c r="J19" s="1263" t="s">
        <v>110</v>
      </c>
      <c r="K19" s="1263" t="s">
        <v>109</v>
      </c>
      <c r="L19" s="1263" t="s">
        <v>108</v>
      </c>
      <c r="M19" s="1263" t="s">
        <v>40</v>
      </c>
      <c r="N19" s="1263" t="s">
        <v>58</v>
      </c>
      <c r="O19" s="1254"/>
      <c r="P19" s="1302"/>
      <c r="Q19" s="1302"/>
      <c r="R19" s="1302"/>
      <c r="S19" s="1302"/>
      <c r="T19" s="1302"/>
      <c r="U19" s="1302"/>
      <c r="V19" s="1302"/>
      <c r="W19" s="1302"/>
      <c r="X19" s="1302"/>
      <c r="Y19" s="1302"/>
      <c r="Z19" s="1302"/>
      <c r="AA19" s="1302"/>
      <c r="AB19" s="1302"/>
      <c r="AC19" s="1302"/>
      <c r="AD19" s="1302"/>
      <c r="AE19" s="1302"/>
      <c r="AF19" s="1302"/>
      <c r="AG19" s="1302"/>
      <c r="AH19" s="1302"/>
      <c r="AI19" s="1302"/>
      <c r="AJ19" s="1302"/>
      <c r="AK19" s="1302"/>
      <c r="AL19" s="1302"/>
      <c r="AM19" s="1302"/>
      <c r="AN19" s="1302"/>
      <c r="AO19" s="1302"/>
      <c r="AP19" s="1302"/>
      <c r="AQ19" s="1302"/>
      <c r="AR19" s="1302"/>
      <c r="AS19" s="1302"/>
      <c r="AT19" s="1302"/>
      <c r="AU19" s="1302"/>
      <c r="AV19" s="1302"/>
      <c r="AW19" s="1302"/>
      <c r="AX19" s="1302"/>
      <c r="AY19" s="1302"/>
      <c r="AZ19" s="1302"/>
      <c r="BA19" s="1302"/>
      <c r="BB19" s="1302"/>
      <c r="BC19" s="1302"/>
      <c r="BD19" s="1302"/>
      <c r="BE19" s="1302"/>
      <c r="BF19" s="1302"/>
      <c r="BG19" s="1302"/>
      <c r="BH19" s="1302"/>
      <c r="BI19" s="1302"/>
      <c r="BJ19" s="1302"/>
      <c r="BK19" s="1302"/>
      <c r="BL19" s="1302"/>
      <c r="BM19" s="1302"/>
      <c r="BN19" s="1302"/>
      <c r="BO19" s="1302"/>
      <c r="BP19" s="1302"/>
      <c r="BQ19" s="1302"/>
      <c r="BR19" s="1302"/>
      <c r="BS19" s="1302"/>
      <c r="BT19" s="1302"/>
      <c r="BU19" s="1302"/>
      <c r="BV19" s="1302"/>
      <c r="BW19" s="1302"/>
      <c r="BX19" s="1302"/>
      <c r="BY19" s="1302"/>
      <c r="BZ19" s="1302"/>
      <c r="CA19" s="1302"/>
      <c r="CB19" s="1302"/>
      <c r="CC19" s="1302"/>
      <c r="CD19" s="1302"/>
      <c r="CE19" s="1302"/>
      <c r="CF19" s="1302"/>
      <c r="CG19" s="1302"/>
      <c r="CH19" s="1302"/>
      <c r="CI19" s="1302"/>
      <c r="CJ19" s="1302"/>
      <c r="CK19" s="1302"/>
      <c r="CL19" s="1302"/>
      <c r="CM19" s="1302"/>
      <c r="CN19" s="1302"/>
      <c r="CO19" s="1302"/>
      <c r="CP19" s="1302"/>
      <c r="CQ19" s="1302"/>
      <c r="CR19" s="1302"/>
      <c r="CS19" s="1302"/>
      <c r="CT19" s="1302"/>
      <c r="CU19" s="1302"/>
      <c r="CV19" s="1302"/>
      <c r="CW19" s="1302"/>
      <c r="CX19" s="1302"/>
      <c r="CY19" s="1302"/>
      <c r="CZ19" s="1302"/>
      <c r="DA19" s="1302"/>
      <c r="DB19" s="1302"/>
      <c r="DC19" s="1302"/>
      <c r="DD19" s="1302"/>
      <c r="DE19" s="1302"/>
      <c r="DF19" s="1302"/>
      <c r="DG19" s="1302"/>
      <c r="DH19" s="1302"/>
      <c r="DI19" s="1302"/>
      <c r="DJ19" s="1302"/>
      <c r="DK19" s="1302"/>
      <c r="DL19" s="1302"/>
      <c r="DM19" s="1302"/>
      <c r="DN19" s="1302"/>
      <c r="DO19" s="1302"/>
      <c r="DP19" s="1302"/>
      <c r="DQ19" s="1302"/>
      <c r="DR19" s="1302"/>
      <c r="DS19" s="1302"/>
      <c r="DT19" s="1302"/>
      <c r="DU19" s="1302"/>
      <c r="DV19" s="1302"/>
      <c r="DW19" s="1302"/>
      <c r="DX19" s="1302"/>
      <c r="DY19" s="1302"/>
      <c r="DZ19" s="1302"/>
      <c r="EA19" s="1302"/>
      <c r="EB19" s="1302"/>
      <c r="EC19" s="1302"/>
      <c r="ED19" s="1302"/>
      <c r="EE19" s="1302"/>
      <c r="EF19" s="1302"/>
      <c r="EG19" s="1302"/>
      <c r="EH19" s="1302"/>
      <c r="EI19" s="1302"/>
      <c r="EJ19" s="1302"/>
      <c r="EK19" s="1302"/>
      <c r="EL19" s="1302"/>
      <c r="EM19" s="1302"/>
      <c r="EN19" s="1302"/>
      <c r="EO19" s="1302"/>
      <c r="EP19" s="1302"/>
      <c r="EQ19" s="1302"/>
      <c r="ER19" s="1302"/>
      <c r="ES19" s="1302"/>
      <c r="ET19" s="1302"/>
      <c r="EU19" s="1302"/>
      <c r="EV19" s="1302"/>
      <c r="EW19" s="1302"/>
      <c r="EX19" s="1302"/>
      <c r="EY19" s="1302"/>
      <c r="EZ19" s="1302"/>
      <c r="FA19" s="1302"/>
      <c r="FB19" s="1302"/>
      <c r="FC19" s="1302"/>
      <c r="FD19" s="1302"/>
      <c r="FE19" s="1302"/>
      <c r="FF19" s="1302"/>
      <c r="FG19" s="1302"/>
      <c r="FH19" s="1302"/>
      <c r="FI19" s="1302"/>
      <c r="FJ19" s="1302"/>
      <c r="FK19" s="1302"/>
      <c r="FL19" s="1302"/>
      <c r="FM19" s="1302"/>
      <c r="FN19" s="1302"/>
      <c r="FO19" s="1302"/>
      <c r="FP19" s="1302"/>
      <c r="FQ19" s="1302"/>
      <c r="FR19" s="1302"/>
      <c r="FS19" s="1302"/>
      <c r="FT19" s="1302"/>
      <c r="FU19" s="1302"/>
      <c r="FV19" s="1302"/>
      <c r="FW19" s="1302"/>
      <c r="FX19" s="1302"/>
      <c r="FY19" s="1302"/>
      <c r="FZ19" s="1302"/>
      <c r="GA19" s="1302"/>
      <c r="GB19" s="1302"/>
      <c r="GC19" s="1302"/>
      <c r="GD19" s="1302"/>
      <c r="GE19" s="1302"/>
      <c r="GF19" s="1302"/>
      <c r="GG19" s="1302"/>
      <c r="GH19" s="1302"/>
      <c r="GI19" s="1302"/>
      <c r="GJ19" s="1302"/>
      <c r="GK19" s="1302"/>
      <c r="GL19" s="1302"/>
      <c r="GM19" s="1302"/>
      <c r="GN19" s="1302"/>
      <c r="GO19" s="1302"/>
      <c r="GP19" s="1302"/>
      <c r="GQ19" s="1302"/>
      <c r="GR19" s="1302"/>
      <c r="GS19" s="1302"/>
      <c r="GT19" s="1302"/>
      <c r="GU19" s="1302"/>
      <c r="GV19" s="1302"/>
      <c r="GW19" s="1302"/>
      <c r="GX19" s="1302"/>
      <c r="GY19" s="1302"/>
      <c r="GZ19" s="1302"/>
      <c r="HA19" s="1302"/>
      <c r="HB19" s="1302"/>
      <c r="HC19" s="1302"/>
      <c r="HD19" s="1302"/>
      <c r="HE19" s="1302"/>
      <c r="HF19" s="1302"/>
      <c r="HG19" s="1302"/>
      <c r="HH19" s="1302"/>
      <c r="HI19" s="1302"/>
      <c r="HJ19" s="1302"/>
      <c r="HK19" s="1302"/>
      <c r="HL19" s="1302"/>
      <c r="HM19" s="1302"/>
      <c r="HN19" s="1302"/>
      <c r="HO19" s="1302"/>
      <c r="HP19" s="1302"/>
      <c r="HQ19" s="1302"/>
      <c r="HR19" s="1302"/>
      <c r="HS19" s="1302"/>
      <c r="HT19" s="1302"/>
      <c r="HU19" s="1302"/>
      <c r="HV19" s="1302"/>
      <c r="HW19" s="1302"/>
      <c r="HX19" s="1302"/>
      <c r="HY19" s="1302"/>
      <c r="HZ19" s="1302"/>
      <c r="IA19" s="1302"/>
      <c r="IB19" s="1302"/>
      <c r="IC19" s="1302"/>
      <c r="ID19" s="1302"/>
      <c r="IE19" s="1302"/>
      <c r="IF19" s="1302"/>
      <c r="IG19" s="1302"/>
      <c r="IH19" s="1302"/>
      <c r="II19" s="1302"/>
      <c r="IJ19" s="1302"/>
      <c r="IK19" s="1302"/>
      <c r="IL19" s="1302"/>
      <c r="IM19" s="1302"/>
      <c r="IN19" s="1302"/>
      <c r="IO19" s="1302"/>
      <c r="IP19" s="1302"/>
      <c r="IQ19" s="1302"/>
      <c r="IR19" s="1302"/>
      <c r="IS19" s="1302"/>
      <c r="IT19" s="1302"/>
      <c r="IU19" s="1302"/>
      <c r="IV19" s="1302"/>
    </row>
    <row r="20" spans="1:256" x14ac:dyDescent="0.25">
      <c r="A20" s="1262">
        <v>10</v>
      </c>
      <c r="B20" s="1262" t="s">
        <v>250</v>
      </c>
      <c r="C20" s="1262" t="s">
        <v>2206</v>
      </c>
      <c r="D20" s="1273">
        <v>10</v>
      </c>
      <c r="E20" s="1262">
        <v>0.01</v>
      </c>
      <c r="F20" s="1262" t="s">
        <v>241</v>
      </c>
      <c r="G20" s="1262"/>
      <c r="H20" s="1289"/>
      <c r="I20" s="1291"/>
      <c r="J20" s="1290"/>
      <c r="K20" s="1289"/>
      <c r="L20" s="1289"/>
      <c r="M20" s="1288">
        <v>1</v>
      </c>
      <c r="N20" s="1273">
        <f>M20*D20*E20</f>
        <v>0.1</v>
      </c>
      <c r="O20" s="1254"/>
      <c r="P20" s="1302"/>
      <c r="Q20" s="1302"/>
      <c r="R20" s="1302"/>
      <c r="S20" s="1302"/>
      <c r="T20" s="1302"/>
      <c r="U20" s="1302"/>
      <c r="V20" s="1302"/>
      <c r="W20" s="1302"/>
      <c r="X20" s="1302"/>
      <c r="Y20" s="1302"/>
      <c r="Z20" s="1302"/>
      <c r="AA20" s="1302"/>
      <c r="AB20" s="1302"/>
      <c r="AC20" s="1302"/>
      <c r="AD20" s="1302"/>
      <c r="AE20" s="1302"/>
      <c r="AF20" s="1302"/>
      <c r="AG20" s="1302"/>
      <c r="AH20" s="1302"/>
      <c r="AI20" s="1302"/>
      <c r="AJ20" s="1302"/>
      <c r="AK20" s="1302"/>
      <c r="AL20" s="1302"/>
      <c r="AM20" s="1302"/>
      <c r="AN20" s="1302"/>
      <c r="AO20" s="1302"/>
      <c r="AP20" s="1302"/>
      <c r="AQ20" s="1302"/>
      <c r="AR20" s="1302"/>
      <c r="AS20" s="1302"/>
      <c r="AT20" s="1302"/>
      <c r="AU20" s="1302"/>
      <c r="AV20" s="1302"/>
      <c r="AW20" s="1302"/>
      <c r="AX20" s="1302"/>
      <c r="AY20" s="1302"/>
      <c r="AZ20" s="1302"/>
      <c r="BA20" s="1302"/>
      <c r="BB20" s="1302"/>
      <c r="BC20" s="1302"/>
      <c r="BD20" s="1302"/>
      <c r="BE20" s="1302"/>
      <c r="BF20" s="1302"/>
      <c r="BG20" s="1302"/>
      <c r="BH20" s="1302"/>
      <c r="BI20" s="1302"/>
      <c r="BJ20" s="1302"/>
      <c r="BK20" s="1302"/>
      <c r="BL20" s="1302"/>
      <c r="BM20" s="1302"/>
      <c r="BN20" s="1302"/>
      <c r="BO20" s="1302"/>
      <c r="BP20" s="1302"/>
      <c r="BQ20" s="1302"/>
      <c r="BR20" s="1302"/>
      <c r="BS20" s="1302"/>
      <c r="BT20" s="1302"/>
      <c r="BU20" s="1302"/>
      <c r="BV20" s="1302"/>
      <c r="BW20" s="1302"/>
      <c r="BX20" s="1302"/>
      <c r="BY20" s="1302"/>
      <c r="BZ20" s="1302"/>
      <c r="CA20" s="1302"/>
      <c r="CB20" s="1302"/>
      <c r="CC20" s="1302"/>
      <c r="CD20" s="1302"/>
      <c r="CE20" s="1302"/>
      <c r="CF20" s="1302"/>
      <c r="CG20" s="1302"/>
      <c r="CH20" s="1302"/>
      <c r="CI20" s="1302"/>
      <c r="CJ20" s="1302"/>
      <c r="CK20" s="1302"/>
      <c r="CL20" s="1302"/>
      <c r="CM20" s="1302"/>
      <c r="CN20" s="1302"/>
      <c r="CO20" s="1302"/>
      <c r="CP20" s="1302"/>
      <c r="CQ20" s="1302"/>
      <c r="CR20" s="1302"/>
      <c r="CS20" s="1302"/>
      <c r="CT20" s="1302"/>
      <c r="CU20" s="1302"/>
      <c r="CV20" s="1302"/>
      <c r="CW20" s="1302"/>
      <c r="CX20" s="1302"/>
      <c r="CY20" s="1302"/>
      <c r="CZ20" s="1302"/>
      <c r="DA20" s="1302"/>
      <c r="DB20" s="1302"/>
      <c r="DC20" s="1302"/>
      <c r="DD20" s="1302"/>
      <c r="DE20" s="1302"/>
      <c r="DF20" s="1302"/>
      <c r="DG20" s="1302"/>
      <c r="DH20" s="1302"/>
      <c r="DI20" s="1302"/>
      <c r="DJ20" s="1302"/>
      <c r="DK20" s="1302"/>
      <c r="DL20" s="1302"/>
      <c r="DM20" s="1302"/>
      <c r="DN20" s="1302"/>
      <c r="DO20" s="1302"/>
      <c r="DP20" s="1302"/>
      <c r="DQ20" s="1302"/>
      <c r="DR20" s="1302"/>
      <c r="DS20" s="1302"/>
      <c r="DT20" s="1302"/>
      <c r="DU20" s="1302"/>
      <c r="DV20" s="1302"/>
      <c r="DW20" s="1302"/>
      <c r="DX20" s="1302"/>
      <c r="DY20" s="1302"/>
      <c r="DZ20" s="1302"/>
      <c r="EA20" s="1302"/>
      <c r="EB20" s="1302"/>
      <c r="EC20" s="1302"/>
      <c r="ED20" s="1302"/>
      <c r="EE20" s="1302"/>
      <c r="EF20" s="1302"/>
      <c r="EG20" s="1302"/>
      <c r="EH20" s="1302"/>
      <c r="EI20" s="1302"/>
      <c r="EJ20" s="1302"/>
      <c r="EK20" s="1302"/>
      <c r="EL20" s="1302"/>
      <c r="EM20" s="1302"/>
      <c r="EN20" s="1302"/>
      <c r="EO20" s="1302"/>
      <c r="EP20" s="1302"/>
      <c r="EQ20" s="1302"/>
      <c r="ER20" s="1302"/>
      <c r="ES20" s="1302"/>
      <c r="ET20" s="1302"/>
      <c r="EU20" s="1302"/>
      <c r="EV20" s="1302"/>
      <c r="EW20" s="1302"/>
      <c r="EX20" s="1302"/>
      <c r="EY20" s="1302"/>
      <c r="EZ20" s="1302"/>
      <c r="FA20" s="1302"/>
      <c r="FB20" s="1302"/>
      <c r="FC20" s="1302"/>
      <c r="FD20" s="1302"/>
      <c r="FE20" s="1302"/>
      <c r="FF20" s="1302"/>
      <c r="FG20" s="1302"/>
      <c r="FH20" s="1302"/>
      <c r="FI20" s="1302"/>
      <c r="FJ20" s="1302"/>
      <c r="FK20" s="1302"/>
      <c r="FL20" s="1302"/>
      <c r="FM20" s="1302"/>
      <c r="FN20" s="1302"/>
      <c r="FO20" s="1302"/>
      <c r="FP20" s="1302"/>
      <c r="FQ20" s="1302"/>
      <c r="FR20" s="1302"/>
      <c r="FS20" s="1302"/>
      <c r="FT20" s="1302"/>
      <c r="FU20" s="1302"/>
      <c r="FV20" s="1302"/>
      <c r="FW20" s="1302"/>
      <c r="FX20" s="1302"/>
      <c r="FY20" s="1302"/>
      <c r="FZ20" s="1302"/>
      <c r="GA20" s="1302"/>
      <c r="GB20" s="1302"/>
      <c r="GC20" s="1302"/>
      <c r="GD20" s="1302"/>
      <c r="GE20" s="1302"/>
      <c r="GF20" s="1302"/>
      <c r="GG20" s="1302"/>
      <c r="GH20" s="1302"/>
      <c r="GI20" s="1302"/>
      <c r="GJ20" s="1302"/>
      <c r="GK20" s="1302"/>
      <c r="GL20" s="1302"/>
      <c r="GM20" s="1302"/>
      <c r="GN20" s="1302"/>
      <c r="GO20" s="1302"/>
      <c r="GP20" s="1302"/>
      <c r="GQ20" s="1302"/>
      <c r="GR20" s="1302"/>
      <c r="GS20" s="1302"/>
      <c r="GT20" s="1302"/>
      <c r="GU20" s="1302"/>
      <c r="GV20" s="1302"/>
      <c r="GW20" s="1302"/>
      <c r="GX20" s="1302"/>
      <c r="GY20" s="1302"/>
      <c r="GZ20" s="1302"/>
      <c r="HA20" s="1302"/>
      <c r="HB20" s="1302"/>
      <c r="HC20" s="1302"/>
      <c r="HD20" s="1302"/>
      <c r="HE20" s="1302"/>
      <c r="HF20" s="1302"/>
      <c r="HG20" s="1302"/>
      <c r="HH20" s="1302"/>
      <c r="HI20" s="1302"/>
      <c r="HJ20" s="1302"/>
      <c r="HK20" s="1302"/>
      <c r="HL20" s="1302"/>
      <c r="HM20" s="1302"/>
      <c r="HN20" s="1302"/>
      <c r="HO20" s="1302"/>
      <c r="HP20" s="1302"/>
      <c r="HQ20" s="1302"/>
      <c r="HR20" s="1302"/>
      <c r="HS20" s="1302"/>
      <c r="HT20" s="1302"/>
      <c r="HU20" s="1302"/>
      <c r="HV20" s="1302"/>
      <c r="HW20" s="1302"/>
      <c r="HX20" s="1302"/>
      <c r="HY20" s="1302"/>
      <c r="HZ20" s="1302"/>
      <c r="IA20" s="1302"/>
      <c r="IB20" s="1302"/>
      <c r="IC20" s="1302"/>
      <c r="ID20" s="1302"/>
      <c r="IE20" s="1302"/>
      <c r="IF20" s="1302"/>
      <c r="IG20" s="1302"/>
      <c r="IH20" s="1302"/>
      <c r="II20" s="1302"/>
      <c r="IJ20" s="1302"/>
      <c r="IK20" s="1302"/>
      <c r="IL20" s="1302"/>
      <c r="IM20" s="1302"/>
      <c r="IN20" s="1302"/>
      <c r="IO20" s="1302"/>
      <c r="IP20" s="1302"/>
      <c r="IQ20" s="1302"/>
      <c r="IR20" s="1302"/>
      <c r="IS20" s="1302"/>
      <c r="IT20" s="1302"/>
      <c r="IU20" s="1302"/>
      <c r="IV20" s="1302"/>
    </row>
    <row r="21" spans="1:256" ht="16.5" customHeight="1" x14ac:dyDescent="0.25">
      <c r="A21" s="1262">
        <v>20</v>
      </c>
      <c r="B21" s="1262" t="s">
        <v>961</v>
      </c>
      <c r="C21" s="1287" t="s">
        <v>2252</v>
      </c>
      <c r="D21" s="1261">
        <v>0</v>
      </c>
      <c r="E21" s="1280"/>
      <c r="F21" s="1262"/>
      <c r="G21" s="1262"/>
      <c r="H21" s="1278"/>
      <c r="I21" s="1276"/>
      <c r="J21" s="1279"/>
      <c r="K21" s="1278"/>
      <c r="L21" s="1277"/>
      <c r="M21" s="1276"/>
      <c r="N21" s="1261">
        <f>M21*D21*E21</f>
        <v>0</v>
      </c>
      <c r="O21" s="1254"/>
      <c r="P21" s="1302"/>
      <c r="Q21" s="1302"/>
      <c r="R21" s="1302"/>
      <c r="S21" s="1302"/>
      <c r="T21" s="1302"/>
      <c r="U21" s="1302"/>
      <c r="V21" s="1302"/>
      <c r="W21" s="1302"/>
      <c r="X21" s="1302"/>
      <c r="Y21" s="1302"/>
      <c r="Z21" s="1302"/>
      <c r="AA21" s="1302"/>
      <c r="AB21" s="1302"/>
      <c r="AC21" s="1302"/>
      <c r="AD21" s="1302"/>
      <c r="AE21" s="1302"/>
      <c r="AF21" s="1302"/>
      <c r="AG21" s="1302"/>
      <c r="AH21" s="1302"/>
      <c r="AI21" s="1302"/>
      <c r="AJ21" s="1302"/>
      <c r="AK21" s="1302"/>
      <c r="AL21" s="1302"/>
      <c r="AM21" s="1302"/>
      <c r="AN21" s="1302"/>
      <c r="AO21" s="1302"/>
      <c r="AP21" s="1302"/>
      <c r="AQ21" s="1302"/>
      <c r="AR21" s="1302"/>
      <c r="AS21" s="1302"/>
      <c r="AT21" s="1302"/>
      <c r="AU21" s="1302"/>
      <c r="AV21" s="1302"/>
      <c r="AW21" s="1302"/>
      <c r="AX21" s="1302"/>
      <c r="AY21" s="1302"/>
      <c r="AZ21" s="1302"/>
      <c r="BA21" s="1302"/>
      <c r="BB21" s="1302"/>
      <c r="BC21" s="1302"/>
      <c r="BD21" s="1302"/>
      <c r="BE21" s="1302"/>
      <c r="BF21" s="1302"/>
      <c r="BG21" s="1302"/>
      <c r="BH21" s="1302"/>
      <c r="BI21" s="1302"/>
      <c r="BJ21" s="1302"/>
      <c r="BK21" s="1302"/>
      <c r="BL21" s="1302"/>
      <c r="BM21" s="1302"/>
      <c r="BN21" s="1302"/>
      <c r="BO21" s="1302"/>
      <c r="BP21" s="1302"/>
      <c r="BQ21" s="1302"/>
      <c r="BR21" s="1302"/>
      <c r="BS21" s="1302"/>
      <c r="BT21" s="1302"/>
      <c r="BU21" s="1302"/>
      <c r="BV21" s="1302"/>
      <c r="BW21" s="1302"/>
      <c r="BX21" s="1302"/>
      <c r="BY21" s="1302"/>
      <c r="BZ21" s="1302"/>
      <c r="CA21" s="1302"/>
      <c r="CB21" s="1302"/>
      <c r="CC21" s="1302"/>
      <c r="CD21" s="1302"/>
      <c r="CE21" s="1302"/>
      <c r="CF21" s="1302"/>
      <c r="CG21" s="1302"/>
      <c r="CH21" s="1302"/>
      <c r="CI21" s="1302"/>
      <c r="CJ21" s="1302"/>
      <c r="CK21" s="1302"/>
      <c r="CL21" s="1302"/>
      <c r="CM21" s="1302"/>
      <c r="CN21" s="1302"/>
      <c r="CO21" s="1302"/>
      <c r="CP21" s="1302"/>
      <c r="CQ21" s="1302"/>
      <c r="CR21" s="1302"/>
      <c r="CS21" s="1302"/>
      <c r="CT21" s="1302"/>
      <c r="CU21" s="1302"/>
      <c r="CV21" s="1302"/>
      <c r="CW21" s="1302"/>
      <c r="CX21" s="1302"/>
      <c r="CY21" s="1302"/>
      <c r="CZ21" s="1302"/>
      <c r="DA21" s="1302"/>
      <c r="DB21" s="1302"/>
      <c r="DC21" s="1302"/>
      <c r="DD21" s="1302"/>
      <c r="DE21" s="1302"/>
      <c r="DF21" s="1302"/>
      <c r="DG21" s="1302"/>
      <c r="DH21" s="1302"/>
      <c r="DI21" s="1302"/>
      <c r="DJ21" s="1302"/>
      <c r="DK21" s="1302"/>
      <c r="DL21" s="1302"/>
      <c r="DM21" s="1302"/>
      <c r="DN21" s="1302"/>
      <c r="DO21" s="1302"/>
      <c r="DP21" s="1302"/>
      <c r="DQ21" s="1302"/>
      <c r="DR21" s="1302"/>
      <c r="DS21" s="1302"/>
      <c r="DT21" s="1302"/>
      <c r="DU21" s="1302"/>
      <c r="DV21" s="1302"/>
      <c r="DW21" s="1302"/>
      <c r="DX21" s="1302"/>
      <c r="DY21" s="1302"/>
      <c r="DZ21" s="1302"/>
      <c r="EA21" s="1302"/>
      <c r="EB21" s="1302"/>
      <c r="EC21" s="1302"/>
      <c r="ED21" s="1302"/>
      <c r="EE21" s="1302"/>
      <c r="EF21" s="1302"/>
      <c r="EG21" s="1302"/>
      <c r="EH21" s="1302"/>
      <c r="EI21" s="1302"/>
      <c r="EJ21" s="1302"/>
      <c r="EK21" s="1302"/>
      <c r="EL21" s="1302"/>
      <c r="EM21" s="1302"/>
      <c r="EN21" s="1302"/>
      <c r="EO21" s="1302"/>
      <c r="EP21" s="1302"/>
      <c r="EQ21" s="1302"/>
      <c r="ER21" s="1302"/>
      <c r="ES21" s="1302"/>
      <c r="ET21" s="1302"/>
      <c r="EU21" s="1302"/>
      <c r="EV21" s="1302"/>
      <c r="EW21" s="1302"/>
      <c r="EX21" s="1302"/>
      <c r="EY21" s="1302"/>
      <c r="EZ21" s="1302"/>
      <c r="FA21" s="1302"/>
      <c r="FB21" s="1302"/>
      <c r="FC21" s="1302"/>
      <c r="FD21" s="1302"/>
      <c r="FE21" s="1302"/>
      <c r="FF21" s="1302"/>
      <c r="FG21" s="1302"/>
      <c r="FH21" s="1302"/>
      <c r="FI21" s="1302"/>
      <c r="FJ21" s="1302"/>
      <c r="FK21" s="1302"/>
      <c r="FL21" s="1302"/>
      <c r="FM21" s="1302"/>
      <c r="FN21" s="1302"/>
      <c r="FO21" s="1302"/>
      <c r="FP21" s="1302"/>
      <c r="FQ21" s="1302"/>
      <c r="FR21" s="1302"/>
      <c r="FS21" s="1302"/>
      <c r="FT21" s="1302"/>
      <c r="FU21" s="1302"/>
      <c r="FV21" s="1302"/>
      <c r="FW21" s="1302"/>
      <c r="FX21" s="1302"/>
      <c r="FY21" s="1302"/>
      <c r="FZ21" s="1302"/>
      <c r="GA21" s="1302"/>
      <c r="GB21" s="1302"/>
      <c r="GC21" s="1302"/>
      <c r="GD21" s="1302"/>
      <c r="GE21" s="1302"/>
      <c r="GF21" s="1302"/>
      <c r="GG21" s="1302"/>
      <c r="GH21" s="1302"/>
      <c r="GI21" s="1302"/>
      <c r="GJ21" s="1302"/>
      <c r="GK21" s="1302"/>
      <c r="GL21" s="1302"/>
      <c r="GM21" s="1302"/>
      <c r="GN21" s="1302"/>
      <c r="GO21" s="1302"/>
      <c r="GP21" s="1302"/>
      <c r="GQ21" s="1302"/>
      <c r="GR21" s="1302"/>
      <c r="GS21" s="1302"/>
      <c r="GT21" s="1302"/>
      <c r="GU21" s="1302"/>
      <c r="GV21" s="1302"/>
      <c r="GW21" s="1302"/>
      <c r="GX21" s="1302"/>
      <c r="GY21" s="1302"/>
      <c r="GZ21" s="1302"/>
      <c r="HA21" s="1302"/>
      <c r="HB21" s="1302"/>
      <c r="HC21" s="1302"/>
      <c r="HD21" s="1302"/>
      <c r="HE21" s="1302"/>
      <c r="HF21" s="1302"/>
      <c r="HG21" s="1302"/>
      <c r="HH21" s="1302"/>
      <c r="HI21" s="1302"/>
      <c r="HJ21" s="1302"/>
      <c r="HK21" s="1302"/>
      <c r="HL21" s="1302"/>
      <c r="HM21" s="1302"/>
      <c r="HN21" s="1302"/>
      <c r="HO21" s="1302"/>
      <c r="HP21" s="1302"/>
      <c r="HQ21" s="1302"/>
      <c r="HR21" s="1302"/>
      <c r="HS21" s="1302"/>
      <c r="HT21" s="1302"/>
      <c r="HU21" s="1302"/>
      <c r="HV21" s="1302"/>
      <c r="HW21" s="1302"/>
      <c r="HX21" s="1302"/>
      <c r="HY21" s="1302"/>
      <c r="HZ21" s="1302"/>
      <c r="IA21" s="1302"/>
      <c r="IB21" s="1302"/>
      <c r="IC21" s="1302"/>
      <c r="ID21" s="1302"/>
      <c r="IE21" s="1302"/>
      <c r="IF21" s="1302"/>
      <c r="IG21" s="1302"/>
      <c r="IH21" s="1302"/>
      <c r="II21" s="1302"/>
      <c r="IJ21" s="1302"/>
      <c r="IK21" s="1302"/>
      <c r="IL21" s="1302"/>
      <c r="IM21" s="1302"/>
      <c r="IN21" s="1302"/>
      <c r="IO21" s="1302"/>
      <c r="IP21" s="1302"/>
      <c r="IQ21" s="1302"/>
      <c r="IR21" s="1302"/>
      <c r="IS21" s="1302"/>
      <c r="IT21" s="1302"/>
      <c r="IU21" s="1302"/>
      <c r="IV21" s="1302"/>
    </row>
    <row r="22" spans="1:256" x14ac:dyDescent="0.25">
      <c r="A22" s="1259"/>
      <c r="B22" s="1256"/>
      <c r="C22" s="1256"/>
      <c r="D22" s="1256"/>
      <c r="E22" s="1256"/>
      <c r="F22" s="1256"/>
      <c r="G22" s="1256"/>
      <c r="H22" s="1256"/>
      <c r="I22" s="1256"/>
      <c r="J22" s="1256"/>
      <c r="K22" s="1256"/>
      <c r="L22" s="1256"/>
      <c r="M22" s="1263" t="s">
        <v>58</v>
      </c>
      <c r="N22" s="1257">
        <f>SUM(N20:N21)</f>
        <v>0.1</v>
      </c>
      <c r="O22" s="1254"/>
      <c r="P22" s="1302"/>
      <c r="Q22" s="1302"/>
      <c r="R22" s="1302"/>
      <c r="S22" s="1302"/>
      <c r="T22" s="1302"/>
      <c r="U22" s="1302"/>
      <c r="V22" s="1302"/>
      <c r="W22" s="1302"/>
      <c r="X22" s="1302"/>
      <c r="Y22" s="1302"/>
      <c r="Z22" s="1302"/>
      <c r="AA22" s="1302"/>
      <c r="AB22" s="1302"/>
      <c r="AC22" s="1302"/>
      <c r="AD22" s="1302"/>
      <c r="AE22" s="1302"/>
      <c r="AF22" s="1302"/>
      <c r="AG22" s="1302"/>
      <c r="AH22" s="1302"/>
      <c r="AI22" s="1302"/>
      <c r="AJ22" s="1302"/>
      <c r="AK22" s="1302"/>
      <c r="AL22" s="1302"/>
      <c r="AM22" s="1302"/>
      <c r="AN22" s="1302"/>
      <c r="AO22" s="1302"/>
      <c r="AP22" s="1302"/>
      <c r="AQ22" s="1302"/>
      <c r="AR22" s="1302"/>
      <c r="AS22" s="1302"/>
      <c r="AT22" s="1302"/>
      <c r="AU22" s="1302"/>
      <c r="AV22" s="1302"/>
      <c r="AW22" s="1302"/>
      <c r="AX22" s="1302"/>
      <c r="AY22" s="1302"/>
      <c r="AZ22" s="1302"/>
      <c r="BA22" s="1302"/>
      <c r="BB22" s="1302"/>
      <c r="BC22" s="1302"/>
      <c r="BD22" s="1302"/>
      <c r="BE22" s="1302"/>
      <c r="BF22" s="1302"/>
      <c r="BG22" s="1302"/>
      <c r="BH22" s="1302"/>
      <c r="BI22" s="1302"/>
      <c r="BJ22" s="1302"/>
      <c r="BK22" s="1302"/>
      <c r="BL22" s="1302"/>
      <c r="BM22" s="1302"/>
      <c r="BN22" s="1302"/>
      <c r="BO22" s="1302"/>
      <c r="BP22" s="1302"/>
      <c r="BQ22" s="1302"/>
      <c r="BR22" s="1302"/>
      <c r="BS22" s="1302"/>
      <c r="BT22" s="1302"/>
      <c r="BU22" s="1302"/>
      <c r="BV22" s="1302"/>
      <c r="BW22" s="1302"/>
      <c r="BX22" s="1302"/>
      <c r="BY22" s="1302"/>
      <c r="BZ22" s="1302"/>
      <c r="CA22" s="1302"/>
      <c r="CB22" s="1302"/>
      <c r="CC22" s="1302"/>
      <c r="CD22" s="1302"/>
      <c r="CE22" s="1302"/>
      <c r="CF22" s="1302"/>
      <c r="CG22" s="1302"/>
      <c r="CH22" s="1302"/>
      <c r="CI22" s="1302"/>
      <c r="CJ22" s="1302"/>
      <c r="CK22" s="1302"/>
      <c r="CL22" s="1302"/>
      <c r="CM22" s="1302"/>
      <c r="CN22" s="1302"/>
      <c r="CO22" s="1302"/>
      <c r="CP22" s="1302"/>
      <c r="CQ22" s="1302"/>
      <c r="CR22" s="1302"/>
      <c r="CS22" s="1302"/>
      <c r="CT22" s="1302"/>
      <c r="CU22" s="1302"/>
      <c r="CV22" s="1302"/>
      <c r="CW22" s="1302"/>
      <c r="CX22" s="1302"/>
      <c r="CY22" s="1302"/>
      <c r="CZ22" s="1302"/>
      <c r="DA22" s="1302"/>
      <c r="DB22" s="1302"/>
      <c r="DC22" s="1302"/>
      <c r="DD22" s="1302"/>
      <c r="DE22" s="1302"/>
      <c r="DF22" s="1302"/>
      <c r="DG22" s="1302"/>
      <c r="DH22" s="1302"/>
      <c r="DI22" s="1302"/>
      <c r="DJ22" s="1302"/>
      <c r="DK22" s="1302"/>
      <c r="DL22" s="1302"/>
      <c r="DM22" s="1302"/>
      <c r="DN22" s="1302"/>
      <c r="DO22" s="1302"/>
      <c r="DP22" s="1302"/>
      <c r="DQ22" s="1302"/>
      <c r="DR22" s="1302"/>
      <c r="DS22" s="1302"/>
      <c r="DT22" s="1302"/>
      <c r="DU22" s="1302"/>
      <c r="DV22" s="1302"/>
      <c r="DW22" s="1302"/>
      <c r="DX22" s="1302"/>
      <c r="DY22" s="1302"/>
      <c r="DZ22" s="1302"/>
      <c r="EA22" s="1302"/>
      <c r="EB22" s="1302"/>
      <c r="EC22" s="1302"/>
      <c r="ED22" s="1302"/>
      <c r="EE22" s="1302"/>
      <c r="EF22" s="1302"/>
      <c r="EG22" s="1302"/>
      <c r="EH22" s="1302"/>
      <c r="EI22" s="1302"/>
      <c r="EJ22" s="1302"/>
      <c r="EK22" s="1302"/>
      <c r="EL22" s="1302"/>
      <c r="EM22" s="1302"/>
      <c r="EN22" s="1302"/>
      <c r="EO22" s="1302"/>
      <c r="EP22" s="1302"/>
      <c r="EQ22" s="1302"/>
      <c r="ER22" s="1302"/>
      <c r="ES22" s="1302"/>
      <c r="ET22" s="1302"/>
      <c r="EU22" s="1302"/>
      <c r="EV22" s="1302"/>
      <c r="EW22" s="1302"/>
      <c r="EX22" s="1302"/>
      <c r="EY22" s="1302"/>
      <c r="EZ22" s="1302"/>
      <c r="FA22" s="1302"/>
      <c r="FB22" s="1302"/>
      <c r="FC22" s="1302"/>
      <c r="FD22" s="1302"/>
      <c r="FE22" s="1302"/>
      <c r="FF22" s="1302"/>
      <c r="FG22" s="1302"/>
      <c r="FH22" s="1302"/>
      <c r="FI22" s="1302"/>
      <c r="FJ22" s="1302"/>
      <c r="FK22" s="1302"/>
      <c r="FL22" s="1302"/>
      <c r="FM22" s="1302"/>
      <c r="FN22" s="1302"/>
      <c r="FO22" s="1302"/>
      <c r="FP22" s="1302"/>
      <c r="FQ22" s="1302"/>
      <c r="FR22" s="1302"/>
      <c r="FS22" s="1302"/>
      <c r="FT22" s="1302"/>
      <c r="FU22" s="1302"/>
      <c r="FV22" s="1302"/>
      <c r="FW22" s="1302"/>
      <c r="FX22" s="1302"/>
      <c r="FY22" s="1302"/>
      <c r="FZ22" s="1302"/>
      <c r="GA22" s="1302"/>
      <c r="GB22" s="1302"/>
      <c r="GC22" s="1302"/>
      <c r="GD22" s="1302"/>
      <c r="GE22" s="1302"/>
      <c r="GF22" s="1302"/>
      <c r="GG22" s="1302"/>
      <c r="GH22" s="1302"/>
      <c r="GI22" s="1302"/>
      <c r="GJ22" s="1302"/>
      <c r="GK22" s="1302"/>
      <c r="GL22" s="1302"/>
      <c r="GM22" s="1302"/>
      <c r="GN22" s="1302"/>
      <c r="GO22" s="1302"/>
      <c r="GP22" s="1302"/>
      <c r="GQ22" s="1302"/>
      <c r="GR22" s="1302"/>
      <c r="GS22" s="1302"/>
      <c r="GT22" s="1302"/>
      <c r="GU22" s="1302"/>
      <c r="GV22" s="1302"/>
      <c r="GW22" s="1302"/>
      <c r="GX22" s="1302"/>
      <c r="GY22" s="1302"/>
      <c r="GZ22" s="1302"/>
      <c r="HA22" s="1302"/>
      <c r="HB22" s="1302"/>
      <c r="HC22" s="1302"/>
      <c r="HD22" s="1302"/>
      <c r="HE22" s="1302"/>
      <c r="HF22" s="1302"/>
      <c r="HG22" s="1302"/>
      <c r="HH22" s="1302"/>
      <c r="HI22" s="1302"/>
      <c r="HJ22" s="1302"/>
      <c r="HK22" s="1302"/>
      <c r="HL22" s="1302"/>
      <c r="HM22" s="1302"/>
      <c r="HN22" s="1302"/>
      <c r="HO22" s="1302"/>
      <c r="HP22" s="1302"/>
      <c r="HQ22" s="1302"/>
      <c r="HR22" s="1302"/>
      <c r="HS22" s="1302"/>
      <c r="HT22" s="1302"/>
      <c r="HU22" s="1302"/>
      <c r="HV22" s="1302"/>
      <c r="HW22" s="1302"/>
      <c r="HX22" s="1302"/>
      <c r="HY22" s="1302"/>
      <c r="HZ22" s="1302"/>
      <c r="IA22" s="1302"/>
      <c r="IB22" s="1302"/>
      <c r="IC22" s="1302"/>
      <c r="ID22" s="1302"/>
      <c r="IE22" s="1302"/>
      <c r="IF22" s="1302"/>
      <c r="IG22" s="1302"/>
      <c r="IH22" s="1302"/>
      <c r="II22" s="1302"/>
      <c r="IJ22" s="1302"/>
      <c r="IK22" s="1302"/>
      <c r="IL22" s="1302"/>
      <c r="IM22" s="1302"/>
      <c r="IN22" s="1302"/>
      <c r="IO22" s="1302"/>
      <c r="IP22" s="1302"/>
      <c r="IQ22" s="1302"/>
      <c r="IR22" s="1302"/>
      <c r="IS22" s="1302"/>
      <c r="IT22" s="1302"/>
      <c r="IU22" s="1302"/>
      <c r="IV22" s="1302"/>
    </row>
    <row r="23" spans="1:256" x14ac:dyDescent="0.25">
      <c r="A23" s="1264"/>
      <c r="B23" s="1255"/>
      <c r="C23" s="1255"/>
      <c r="D23" s="1255"/>
      <c r="E23" s="1255"/>
      <c r="F23" s="1255"/>
      <c r="G23" s="1255"/>
      <c r="H23" s="1255"/>
      <c r="I23" s="1255"/>
      <c r="J23" s="1255"/>
      <c r="K23" s="1255"/>
      <c r="L23" s="1255"/>
      <c r="M23" s="1255"/>
      <c r="N23" s="1255"/>
      <c r="O23" s="1254"/>
      <c r="P23" s="1302"/>
      <c r="Q23" s="1302"/>
      <c r="R23" s="1302"/>
      <c r="S23" s="1302"/>
      <c r="T23" s="1302"/>
      <c r="U23" s="1302"/>
      <c r="V23" s="1302"/>
      <c r="W23" s="1302"/>
      <c r="X23" s="1302"/>
      <c r="Y23" s="1302"/>
      <c r="Z23" s="1302"/>
      <c r="AA23" s="1302"/>
      <c r="AB23" s="1302"/>
      <c r="AC23" s="1302"/>
      <c r="AD23" s="1302"/>
      <c r="AE23" s="1302"/>
      <c r="AF23" s="1302"/>
      <c r="AG23" s="1302"/>
      <c r="AH23" s="1302"/>
      <c r="AI23" s="1302"/>
      <c r="AJ23" s="1302"/>
      <c r="AK23" s="1302"/>
      <c r="AL23" s="1302"/>
      <c r="AM23" s="1302"/>
      <c r="AN23" s="1302"/>
      <c r="AO23" s="1302"/>
      <c r="AP23" s="1302"/>
      <c r="AQ23" s="1302"/>
      <c r="AR23" s="1302"/>
      <c r="AS23" s="1302"/>
      <c r="AT23" s="1302"/>
      <c r="AU23" s="1302"/>
      <c r="AV23" s="1302"/>
      <c r="AW23" s="1302"/>
      <c r="AX23" s="1302"/>
      <c r="AY23" s="1302"/>
      <c r="AZ23" s="1302"/>
      <c r="BA23" s="1302"/>
      <c r="BB23" s="1302"/>
      <c r="BC23" s="1302"/>
      <c r="BD23" s="1302"/>
      <c r="BE23" s="1302"/>
      <c r="BF23" s="1302"/>
      <c r="BG23" s="1302"/>
      <c r="BH23" s="1302"/>
      <c r="BI23" s="1302"/>
      <c r="BJ23" s="1302"/>
      <c r="BK23" s="1302"/>
      <c r="BL23" s="1302"/>
      <c r="BM23" s="1302"/>
      <c r="BN23" s="1302"/>
      <c r="BO23" s="1302"/>
      <c r="BP23" s="1302"/>
      <c r="BQ23" s="1302"/>
      <c r="BR23" s="1302"/>
      <c r="BS23" s="1302"/>
      <c r="BT23" s="1302"/>
      <c r="BU23" s="1302"/>
      <c r="BV23" s="1302"/>
      <c r="BW23" s="1302"/>
      <c r="BX23" s="1302"/>
      <c r="BY23" s="1302"/>
      <c r="BZ23" s="1302"/>
      <c r="CA23" s="1302"/>
      <c r="CB23" s="1302"/>
      <c r="CC23" s="1302"/>
      <c r="CD23" s="1302"/>
      <c r="CE23" s="1302"/>
      <c r="CF23" s="1302"/>
      <c r="CG23" s="1302"/>
      <c r="CH23" s="1302"/>
      <c r="CI23" s="1302"/>
      <c r="CJ23" s="1302"/>
      <c r="CK23" s="1302"/>
      <c r="CL23" s="1302"/>
      <c r="CM23" s="1302"/>
      <c r="CN23" s="1302"/>
      <c r="CO23" s="1302"/>
      <c r="CP23" s="1302"/>
      <c r="CQ23" s="1302"/>
      <c r="CR23" s="1302"/>
      <c r="CS23" s="1302"/>
      <c r="CT23" s="1302"/>
      <c r="CU23" s="1302"/>
      <c r="CV23" s="1302"/>
      <c r="CW23" s="1302"/>
      <c r="CX23" s="1302"/>
      <c r="CY23" s="1302"/>
      <c r="CZ23" s="1302"/>
      <c r="DA23" s="1302"/>
      <c r="DB23" s="1302"/>
      <c r="DC23" s="1302"/>
      <c r="DD23" s="1302"/>
      <c r="DE23" s="1302"/>
      <c r="DF23" s="1302"/>
      <c r="DG23" s="1302"/>
      <c r="DH23" s="1302"/>
      <c r="DI23" s="1302"/>
      <c r="DJ23" s="1302"/>
      <c r="DK23" s="1302"/>
      <c r="DL23" s="1302"/>
      <c r="DM23" s="1302"/>
      <c r="DN23" s="1302"/>
      <c r="DO23" s="1302"/>
      <c r="DP23" s="1302"/>
      <c r="DQ23" s="1302"/>
      <c r="DR23" s="1302"/>
      <c r="DS23" s="1302"/>
      <c r="DT23" s="1302"/>
      <c r="DU23" s="1302"/>
      <c r="DV23" s="1302"/>
      <c r="DW23" s="1302"/>
      <c r="DX23" s="1302"/>
      <c r="DY23" s="1302"/>
      <c r="DZ23" s="1302"/>
      <c r="EA23" s="1302"/>
      <c r="EB23" s="1302"/>
      <c r="EC23" s="1302"/>
      <c r="ED23" s="1302"/>
      <c r="EE23" s="1302"/>
      <c r="EF23" s="1302"/>
      <c r="EG23" s="1302"/>
      <c r="EH23" s="1302"/>
      <c r="EI23" s="1302"/>
      <c r="EJ23" s="1302"/>
      <c r="EK23" s="1302"/>
      <c r="EL23" s="1302"/>
      <c r="EM23" s="1302"/>
      <c r="EN23" s="1302"/>
      <c r="EO23" s="1302"/>
      <c r="EP23" s="1302"/>
      <c r="EQ23" s="1302"/>
      <c r="ER23" s="1302"/>
      <c r="ES23" s="1302"/>
      <c r="ET23" s="1302"/>
      <c r="EU23" s="1302"/>
      <c r="EV23" s="1302"/>
      <c r="EW23" s="1302"/>
      <c r="EX23" s="1302"/>
      <c r="EY23" s="1302"/>
      <c r="EZ23" s="1302"/>
      <c r="FA23" s="1302"/>
      <c r="FB23" s="1302"/>
      <c r="FC23" s="1302"/>
      <c r="FD23" s="1302"/>
      <c r="FE23" s="1302"/>
      <c r="FF23" s="1302"/>
      <c r="FG23" s="1302"/>
      <c r="FH23" s="1302"/>
      <c r="FI23" s="1302"/>
      <c r="FJ23" s="1302"/>
      <c r="FK23" s="1302"/>
      <c r="FL23" s="1302"/>
      <c r="FM23" s="1302"/>
      <c r="FN23" s="1302"/>
      <c r="FO23" s="1302"/>
      <c r="FP23" s="1302"/>
      <c r="FQ23" s="1302"/>
      <c r="FR23" s="1302"/>
      <c r="FS23" s="1302"/>
      <c r="FT23" s="1302"/>
      <c r="FU23" s="1302"/>
      <c r="FV23" s="1302"/>
      <c r="FW23" s="1302"/>
      <c r="FX23" s="1302"/>
      <c r="FY23" s="1302"/>
      <c r="FZ23" s="1302"/>
      <c r="GA23" s="1302"/>
      <c r="GB23" s="1302"/>
      <c r="GC23" s="1302"/>
      <c r="GD23" s="1302"/>
      <c r="GE23" s="1302"/>
      <c r="GF23" s="1302"/>
      <c r="GG23" s="1302"/>
      <c r="GH23" s="1302"/>
      <c r="GI23" s="1302"/>
      <c r="GJ23" s="1302"/>
      <c r="GK23" s="1302"/>
      <c r="GL23" s="1302"/>
      <c r="GM23" s="1302"/>
      <c r="GN23" s="1302"/>
      <c r="GO23" s="1302"/>
      <c r="GP23" s="1302"/>
      <c r="GQ23" s="1302"/>
      <c r="GR23" s="1302"/>
      <c r="GS23" s="1302"/>
      <c r="GT23" s="1302"/>
      <c r="GU23" s="1302"/>
      <c r="GV23" s="1302"/>
      <c r="GW23" s="1302"/>
      <c r="GX23" s="1302"/>
      <c r="GY23" s="1302"/>
      <c r="GZ23" s="1302"/>
      <c r="HA23" s="1302"/>
      <c r="HB23" s="1302"/>
      <c r="HC23" s="1302"/>
      <c r="HD23" s="1302"/>
      <c r="HE23" s="1302"/>
      <c r="HF23" s="1302"/>
      <c r="HG23" s="1302"/>
      <c r="HH23" s="1302"/>
      <c r="HI23" s="1302"/>
      <c r="HJ23" s="1302"/>
      <c r="HK23" s="1302"/>
      <c r="HL23" s="1302"/>
      <c r="HM23" s="1302"/>
      <c r="HN23" s="1302"/>
      <c r="HO23" s="1302"/>
      <c r="HP23" s="1302"/>
      <c r="HQ23" s="1302"/>
      <c r="HR23" s="1302"/>
      <c r="HS23" s="1302"/>
      <c r="HT23" s="1302"/>
      <c r="HU23" s="1302"/>
      <c r="HV23" s="1302"/>
      <c r="HW23" s="1302"/>
      <c r="HX23" s="1302"/>
      <c r="HY23" s="1302"/>
      <c r="HZ23" s="1302"/>
      <c r="IA23" s="1302"/>
      <c r="IB23" s="1302"/>
      <c r="IC23" s="1302"/>
      <c r="ID23" s="1302"/>
      <c r="IE23" s="1302"/>
      <c r="IF23" s="1302"/>
      <c r="IG23" s="1302"/>
      <c r="IH23" s="1302"/>
      <c r="II23" s="1302"/>
      <c r="IJ23" s="1302"/>
      <c r="IK23" s="1302"/>
      <c r="IL23" s="1302"/>
      <c r="IM23" s="1302"/>
      <c r="IN23" s="1302"/>
      <c r="IO23" s="1302"/>
      <c r="IP23" s="1302"/>
      <c r="IQ23" s="1302"/>
      <c r="IR23" s="1302"/>
      <c r="IS23" s="1302"/>
      <c r="IT23" s="1302"/>
      <c r="IU23" s="1302"/>
      <c r="IV23" s="1302"/>
    </row>
    <row r="24" spans="1:256" s="1308" customFormat="1" x14ac:dyDescent="0.25">
      <c r="A24" s="1263" t="s">
        <v>67</v>
      </c>
      <c r="B24" s="1263" t="s">
        <v>106</v>
      </c>
      <c r="C24" s="1263" t="s">
        <v>66</v>
      </c>
      <c r="D24" s="1263" t="s">
        <v>65</v>
      </c>
      <c r="E24" s="1263" t="s">
        <v>64</v>
      </c>
      <c r="F24" s="1263" t="s">
        <v>40</v>
      </c>
      <c r="G24" s="1263" t="s">
        <v>105</v>
      </c>
      <c r="H24" s="1263" t="s">
        <v>104</v>
      </c>
      <c r="I24" s="1263" t="s">
        <v>58</v>
      </c>
      <c r="J24" s="1256"/>
      <c r="K24" s="1256"/>
      <c r="L24" s="1256"/>
      <c r="M24" s="1256"/>
      <c r="N24" s="1256"/>
      <c r="O24" s="1269"/>
    </row>
    <row r="25" spans="1:256" x14ac:dyDescent="0.25">
      <c r="A25" s="1262">
        <v>10</v>
      </c>
      <c r="B25" s="1262" t="s">
        <v>103</v>
      </c>
      <c r="C25" s="1287" t="s">
        <v>2021</v>
      </c>
      <c r="D25" s="1273">
        <v>0.15</v>
      </c>
      <c r="E25" s="1262" t="s">
        <v>101</v>
      </c>
      <c r="F25" s="1270">
        <v>31.2</v>
      </c>
      <c r="G25" s="1270"/>
      <c r="H25" s="1270"/>
      <c r="I25" s="1273">
        <f t="shared" ref="I25:I37" si="1">IF(H25="",D25*F25,D25*F25*H25)</f>
        <v>4.68</v>
      </c>
      <c r="J25" s="1255"/>
      <c r="K25" s="1255"/>
      <c r="L25" s="1255"/>
      <c r="M25" s="1255"/>
      <c r="N25" s="1255"/>
      <c r="O25" s="1254"/>
      <c r="P25" s="1302"/>
      <c r="Q25" s="1302"/>
      <c r="R25" s="1302"/>
      <c r="S25" s="1302"/>
      <c r="T25" s="1302"/>
      <c r="U25" s="1302"/>
      <c r="V25" s="1302"/>
      <c r="W25" s="1302"/>
      <c r="X25" s="1302"/>
      <c r="Y25" s="1302"/>
      <c r="Z25" s="1302"/>
      <c r="AA25" s="1302"/>
      <c r="AB25" s="1302"/>
      <c r="AC25" s="1302"/>
      <c r="AD25" s="1302"/>
      <c r="AE25" s="1302"/>
      <c r="AF25" s="1302"/>
      <c r="AG25" s="1302"/>
      <c r="AH25" s="1302"/>
      <c r="AI25" s="1302"/>
      <c r="AJ25" s="1302"/>
      <c r="AK25" s="1302"/>
      <c r="AL25" s="1302"/>
      <c r="AM25" s="1302"/>
      <c r="AN25" s="1302"/>
      <c r="AO25" s="1302"/>
      <c r="AP25" s="1302"/>
      <c r="AQ25" s="1302"/>
      <c r="AR25" s="1302"/>
      <c r="AS25" s="1302"/>
      <c r="AT25" s="1302"/>
      <c r="AU25" s="1302"/>
      <c r="AV25" s="1302"/>
      <c r="AW25" s="1302"/>
      <c r="AX25" s="1302"/>
      <c r="AY25" s="1302"/>
      <c r="AZ25" s="1302"/>
      <c r="BA25" s="1302"/>
      <c r="BB25" s="1302"/>
      <c r="BC25" s="1302"/>
      <c r="BD25" s="1302"/>
      <c r="BE25" s="1302"/>
      <c r="BF25" s="1302"/>
      <c r="BG25" s="1302"/>
      <c r="BH25" s="1302"/>
      <c r="BI25" s="1302"/>
      <c r="BJ25" s="1302"/>
      <c r="BK25" s="1302"/>
      <c r="BL25" s="1302"/>
      <c r="BM25" s="1302"/>
      <c r="BN25" s="1302"/>
      <c r="BO25" s="1302"/>
      <c r="BP25" s="1302"/>
      <c r="BQ25" s="1302"/>
      <c r="BR25" s="1302"/>
      <c r="BS25" s="1302"/>
      <c r="BT25" s="1302"/>
      <c r="BU25" s="1302"/>
      <c r="BV25" s="1302"/>
      <c r="BW25" s="1302"/>
      <c r="BX25" s="1302"/>
      <c r="BY25" s="1302"/>
      <c r="BZ25" s="1302"/>
      <c r="CA25" s="1302"/>
      <c r="CB25" s="1302"/>
      <c r="CC25" s="1302"/>
      <c r="CD25" s="1302"/>
      <c r="CE25" s="1302"/>
      <c r="CF25" s="1302"/>
      <c r="CG25" s="1302"/>
      <c r="CH25" s="1302"/>
      <c r="CI25" s="1302"/>
      <c r="CJ25" s="1302"/>
      <c r="CK25" s="1302"/>
      <c r="CL25" s="1302"/>
      <c r="CM25" s="1302"/>
      <c r="CN25" s="1302"/>
      <c r="CO25" s="1302"/>
      <c r="CP25" s="1302"/>
      <c r="CQ25" s="1302"/>
      <c r="CR25" s="1302"/>
      <c r="CS25" s="1302"/>
      <c r="CT25" s="1302"/>
      <c r="CU25" s="1302"/>
      <c r="CV25" s="1302"/>
      <c r="CW25" s="1302"/>
      <c r="CX25" s="1302"/>
      <c r="CY25" s="1302"/>
      <c r="CZ25" s="1302"/>
      <c r="DA25" s="1302"/>
      <c r="DB25" s="1302"/>
      <c r="DC25" s="1302"/>
      <c r="DD25" s="1302"/>
      <c r="DE25" s="1302"/>
      <c r="DF25" s="1302"/>
      <c r="DG25" s="1302"/>
      <c r="DH25" s="1302"/>
      <c r="DI25" s="1302"/>
      <c r="DJ25" s="1302"/>
      <c r="DK25" s="1302"/>
      <c r="DL25" s="1302"/>
      <c r="DM25" s="1302"/>
      <c r="DN25" s="1302"/>
      <c r="DO25" s="1302"/>
      <c r="DP25" s="1302"/>
      <c r="DQ25" s="1302"/>
      <c r="DR25" s="1302"/>
      <c r="DS25" s="1302"/>
      <c r="DT25" s="1302"/>
      <c r="DU25" s="1302"/>
      <c r="DV25" s="1302"/>
      <c r="DW25" s="1302"/>
      <c r="DX25" s="1302"/>
      <c r="DY25" s="1302"/>
      <c r="DZ25" s="1302"/>
      <c r="EA25" s="1302"/>
      <c r="EB25" s="1302"/>
      <c r="EC25" s="1302"/>
      <c r="ED25" s="1302"/>
      <c r="EE25" s="1302"/>
      <c r="EF25" s="1302"/>
      <c r="EG25" s="1302"/>
      <c r="EH25" s="1302"/>
      <c r="EI25" s="1302"/>
      <c r="EJ25" s="1302"/>
      <c r="EK25" s="1302"/>
      <c r="EL25" s="1302"/>
      <c r="EM25" s="1302"/>
      <c r="EN25" s="1302"/>
      <c r="EO25" s="1302"/>
      <c r="EP25" s="1302"/>
      <c r="EQ25" s="1302"/>
      <c r="ER25" s="1302"/>
      <c r="ES25" s="1302"/>
      <c r="ET25" s="1302"/>
      <c r="EU25" s="1302"/>
      <c r="EV25" s="1302"/>
      <c r="EW25" s="1302"/>
      <c r="EX25" s="1302"/>
      <c r="EY25" s="1302"/>
      <c r="EZ25" s="1302"/>
      <c r="FA25" s="1302"/>
      <c r="FB25" s="1302"/>
      <c r="FC25" s="1302"/>
      <c r="FD25" s="1302"/>
      <c r="FE25" s="1302"/>
      <c r="FF25" s="1302"/>
      <c r="FG25" s="1302"/>
      <c r="FH25" s="1302"/>
      <c r="FI25" s="1302"/>
      <c r="FJ25" s="1302"/>
      <c r="FK25" s="1302"/>
      <c r="FL25" s="1302"/>
      <c r="FM25" s="1302"/>
      <c r="FN25" s="1302"/>
      <c r="FO25" s="1302"/>
      <c r="FP25" s="1302"/>
      <c r="FQ25" s="1302"/>
      <c r="FR25" s="1302"/>
      <c r="FS25" s="1302"/>
      <c r="FT25" s="1302"/>
      <c r="FU25" s="1302"/>
      <c r="FV25" s="1302"/>
      <c r="FW25" s="1302"/>
      <c r="FX25" s="1302"/>
      <c r="FY25" s="1302"/>
      <c r="FZ25" s="1302"/>
      <c r="GA25" s="1302"/>
      <c r="GB25" s="1302"/>
      <c r="GC25" s="1302"/>
      <c r="GD25" s="1302"/>
      <c r="GE25" s="1302"/>
      <c r="GF25" s="1302"/>
      <c r="GG25" s="1302"/>
      <c r="GH25" s="1302"/>
      <c r="GI25" s="1302"/>
      <c r="GJ25" s="1302"/>
      <c r="GK25" s="1302"/>
      <c r="GL25" s="1302"/>
      <c r="GM25" s="1302"/>
      <c r="GN25" s="1302"/>
      <c r="GO25" s="1302"/>
      <c r="GP25" s="1302"/>
      <c r="GQ25" s="1302"/>
      <c r="GR25" s="1302"/>
      <c r="GS25" s="1302"/>
      <c r="GT25" s="1302"/>
      <c r="GU25" s="1302"/>
      <c r="GV25" s="1302"/>
      <c r="GW25" s="1302"/>
      <c r="GX25" s="1302"/>
      <c r="GY25" s="1302"/>
      <c r="GZ25" s="1302"/>
      <c r="HA25" s="1302"/>
      <c r="HB25" s="1302"/>
      <c r="HC25" s="1302"/>
      <c r="HD25" s="1302"/>
      <c r="HE25" s="1302"/>
      <c r="HF25" s="1302"/>
      <c r="HG25" s="1302"/>
      <c r="HH25" s="1302"/>
      <c r="HI25" s="1302"/>
      <c r="HJ25" s="1302"/>
      <c r="HK25" s="1302"/>
      <c r="HL25" s="1302"/>
      <c r="HM25" s="1302"/>
      <c r="HN25" s="1302"/>
      <c r="HO25" s="1302"/>
      <c r="HP25" s="1302"/>
      <c r="HQ25" s="1302"/>
      <c r="HR25" s="1302"/>
      <c r="HS25" s="1302"/>
      <c r="HT25" s="1302"/>
      <c r="HU25" s="1302"/>
      <c r="HV25" s="1302"/>
      <c r="HW25" s="1302"/>
      <c r="HX25" s="1302"/>
      <c r="HY25" s="1302"/>
      <c r="HZ25" s="1302"/>
      <c r="IA25" s="1302"/>
      <c r="IB25" s="1302"/>
      <c r="IC25" s="1302"/>
      <c r="ID25" s="1302"/>
      <c r="IE25" s="1302"/>
      <c r="IF25" s="1302"/>
      <c r="IG25" s="1302"/>
      <c r="IH25" s="1302"/>
      <c r="II25" s="1302"/>
      <c r="IJ25" s="1302"/>
      <c r="IK25" s="1302"/>
      <c r="IL25" s="1302"/>
      <c r="IM25" s="1302"/>
      <c r="IN25" s="1302"/>
      <c r="IO25" s="1302"/>
      <c r="IP25" s="1302"/>
      <c r="IQ25" s="1302"/>
      <c r="IR25" s="1302"/>
      <c r="IS25" s="1302"/>
      <c r="IT25" s="1302"/>
      <c r="IU25" s="1302"/>
      <c r="IV25" s="1302"/>
    </row>
    <row r="26" spans="1:256" x14ac:dyDescent="0.25">
      <c r="A26" s="1262">
        <v>20</v>
      </c>
      <c r="B26" s="1274" t="s">
        <v>243</v>
      </c>
      <c r="C26" s="1287" t="s">
        <v>2204</v>
      </c>
      <c r="D26" s="1273">
        <v>5.25</v>
      </c>
      <c r="E26" s="1274" t="s">
        <v>241</v>
      </c>
      <c r="F26" s="1270">
        <v>5.0000000000000001E-3</v>
      </c>
      <c r="G26" s="1262"/>
      <c r="H26" s="1262"/>
      <c r="I26" s="1273">
        <f t="shared" si="1"/>
        <v>2.6249999999999999E-2</v>
      </c>
      <c r="J26" s="1255"/>
      <c r="K26" s="1255"/>
      <c r="L26" s="1255"/>
      <c r="M26" s="1255"/>
      <c r="N26" s="1255"/>
      <c r="O26" s="1254"/>
      <c r="P26" s="1302"/>
      <c r="Q26" s="1302"/>
      <c r="R26" s="1302"/>
      <c r="S26" s="1302"/>
      <c r="T26" s="1302"/>
      <c r="U26" s="1302"/>
      <c r="V26" s="1302"/>
      <c r="W26" s="1302"/>
      <c r="X26" s="1302"/>
      <c r="Y26" s="1302"/>
      <c r="Z26" s="1302"/>
      <c r="AA26" s="1302"/>
      <c r="AB26" s="1302"/>
      <c r="AC26" s="1302"/>
      <c r="AD26" s="1302"/>
      <c r="AE26" s="1302"/>
      <c r="AF26" s="1302"/>
      <c r="AG26" s="1302"/>
      <c r="AH26" s="1302"/>
      <c r="AI26" s="1302"/>
      <c r="AJ26" s="1302"/>
      <c r="AK26" s="1302"/>
      <c r="AL26" s="1302"/>
      <c r="AM26" s="1302"/>
      <c r="AN26" s="1302"/>
      <c r="AO26" s="1302"/>
      <c r="AP26" s="1302"/>
      <c r="AQ26" s="1302"/>
      <c r="AR26" s="1302"/>
      <c r="AS26" s="1302"/>
      <c r="AT26" s="1302"/>
      <c r="AU26" s="1302"/>
      <c r="AV26" s="1302"/>
      <c r="AW26" s="1302"/>
      <c r="AX26" s="1302"/>
      <c r="AY26" s="1302"/>
      <c r="AZ26" s="1302"/>
      <c r="BA26" s="1302"/>
      <c r="BB26" s="1302"/>
      <c r="BC26" s="1302"/>
      <c r="BD26" s="1302"/>
      <c r="BE26" s="1302"/>
      <c r="BF26" s="1302"/>
      <c r="BG26" s="1302"/>
      <c r="BH26" s="1302"/>
      <c r="BI26" s="1302"/>
      <c r="BJ26" s="1302"/>
      <c r="BK26" s="1302"/>
      <c r="BL26" s="1302"/>
      <c r="BM26" s="1302"/>
      <c r="BN26" s="1302"/>
      <c r="BO26" s="1302"/>
      <c r="BP26" s="1302"/>
      <c r="BQ26" s="1302"/>
      <c r="BR26" s="1302"/>
      <c r="BS26" s="1302"/>
      <c r="BT26" s="1302"/>
      <c r="BU26" s="1302"/>
      <c r="BV26" s="1302"/>
      <c r="BW26" s="1302"/>
      <c r="BX26" s="1302"/>
      <c r="BY26" s="1302"/>
      <c r="BZ26" s="1302"/>
      <c r="CA26" s="1302"/>
      <c r="CB26" s="1302"/>
      <c r="CC26" s="1302"/>
      <c r="CD26" s="1302"/>
      <c r="CE26" s="1302"/>
      <c r="CF26" s="1302"/>
      <c r="CG26" s="1302"/>
      <c r="CH26" s="1302"/>
      <c r="CI26" s="1302"/>
      <c r="CJ26" s="1302"/>
      <c r="CK26" s="1302"/>
      <c r="CL26" s="1302"/>
      <c r="CM26" s="1302"/>
      <c r="CN26" s="1302"/>
      <c r="CO26" s="1302"/>
      <c r="CP26" s="1302"/>
      <c r="CQ26" s="1302"/>
      <c r="CR26" s="1302"/>
      <c r="CS26" s="1302"/>
      <c r="CT26" s="1302"/>
      <c r="CU26" s="1302"/>
      <c r="CV26" s="1302"/>
      <c r="CW26" s="1302"/>
      <c r="CX26" s="1302"/>
      <c r="CY26" s="1302"/>
      <c r="CZ26" s="1302"/>
      <c r="DA26" s="1302"/>
      <c r="DB26" s="1302"/>
      <c r="DC26" s="1302"/>
      <c r="DD26" s="1302"/>
      <c r="DE26" s="1302"/>
      <c r="DF26" s="1302"/>
      <c r="DG26" s="1302"/>
      <c r="DH26" s="1302"/>
      <c r="DI26" s="1302"/>
      <c r="DJ26" s="1302"/>
      <c r="DK26" s="1302"/>
      <c r="DL26" s="1302"/>
      <c r="DM26" s="1302"/>
      <c r="DN26" s="1302"/>
      <c r="DO26" s="1302"/>
      <c r="DP26" s="1302"/>
      <c r="DQ26" s="1302"/>
      <c r="DR26" s="1302"/>
      <c r="DS26" s="1302"/>
      <c r="DT26" s="1302"/>
      <c r="DU26" s="1302"/>
      <c r="DV26" s="1302"/>
      <c r="DW26" s="1302"/>
      <c r="DX26" s="1302"/>
      <c r="DY26" s="1302"/>
      <c r="DZ26" s="1302"/>
      <c r="EA26" s="1302"/>
      <c r="EB26" s="1302"/>
      <c r="EC26" s="1302"/>
      <c r="ED26" s="1302"/>
      <c r="EE26" s="1302"/>
      <c r="EF26" s="1302"/>
      <c r="EG26" s="1302"/>
      <c r="EH26" s="1302"/>
      <c r="EI26" s="1302"/>
      <c r="EJ26" s="1302"/>
      <c r="EK26" s="1302"/>
      <c r="EL26" s="1302"/>
      <c r="EM26" s="1302"/>
      <c r="EN26" s="1302"/>
      <c r="EO26" s="1302"/>
      <c r="EP26" s="1302"/>
      <c r="EQ26" s="1302"/>
      <c r="ER26" s="1302"/>
      <c r="ES26" s="1302"/>
      <c r="ET26" s="1302"/>
      <c r="EU26" s="1302"/>
      <c r="EV26" s="1302"/>
      <c r="EW26" s="1302"/>
      <c r="EX26" s="1302"/>
      <c r="EY26" s="1302"/>
      <c r="EZ26" s="1302"/>
      <c r="FA26" s="1302"/>
      <c r="FB26" s="1302"/>
      <c r="FC26" s="1302"/>
      <c r="FD26" s="1302"/>
      <c r="FE26" s="1302"/>
      <c r="FF26" s="1302"/>
      <c r="FG26" s="1302"/>
      <c r="FH26" s="1302"/>
      <c r="FI26" s="1302"/>
      <c r="FJ26" s="1302"/>
      <c r="FK26" s="1302"/>
      <c r="FL26" s="1302"/>
      <c r="FM26" s="1302"/>
      <c r="FN26" s="1302"/>
      <c r="FO26" s="1302"/>
      <c r="FP26" s="1302"/>
      <c r="FQ26" s="1302"/>
      <c r="FR26" s="1302"/>
      <c r="FS26" s="1302"/>
      <c r="FT26" s="1302"/>
      <c r="FU26" s="1302"/>
      <c r="FV26" s="1302"/>
      <c r="FW26" s="1302"/>
      <c r="FX26" s="1302"/>
      <c r="FY26" s="1302"/>
      <c r="FZ26" s="1302"/>
      <c r="GA26" s="1302"/>
      <c r="GB26" s="1302"/>
      <c r="GC26" s="1302"/>
      <c r="GD26" s="1302"/>
      <c r="GE26" s="1302"/>
      <c r="GF26" s="1302"/>
      <c r="GG26" s="1302"/>
      <c r="GH26" s="1302"/>
      <c r="GI26" s="1302"/>
      <c r="GJ26" s="1302"/>
      <c r="GK26" s="1302"/>
      <c r="GL26" s="1302"/>
      <c r="GM26" s="1302"/>
      <c r="GN26" s="1302"/>
      <c r="GO26" s="1302"/>
      <c r="GP26" s="1302"/>
      <c r="GQ26" s="1302"/>
      <c r="GR26" s="1302"/>
      <c r="GS26" s="1302"/>
      <c r="GT26" s="1302"/>
      <c r="GU26" s="1302"/>
      <c r="GV26" s="1302"/>
      <c r="GW26" s="1302"/>
      <c r="GX26" s="1302"/>
      <c r="GY26" s="1302"/>
      <c r="GZ26" s="1302"/>
      <c r="HA26" s="1302"/>
      <c r="HB26" s="1302"/>
      <c r="HC26" s="1302"/>
      <c r="HD26" s="1302"/>
      <c r="HE26" s="1302"/>
      <c r="HF26" s="1302"/>
      <c r="HG26" s="1302"/>
      <c r="HH26" s="1302"/>
      <c r="HI26" s="1302"/>
      <c r="HJ26" s="1302"/>
      <c r="HK26" s="1302"/>
      <c r="HL26" s="1302"/>
      <c r="HM26" s="1302"/>
      <c r="HN26" s="1302"/>
      <c r="HO26" s="1302"/>
      <c r="HP26" s="1302"/>
      <c r="HQ26" s="1302"/>
      <c r="HR26" s="1302"/>
      <c r="HS26" s="1302"/>
      <c r="HT26" s="1302"/>
      <c r="HU26" s="1302"/>
      <c r="HV26" s="1302"/>
      <c r="HW26" s="1302"/>
      <c r="HX26" s="1302"/>
      <c r="HY26" s="1302"/>
      <c r="HZ26" s="1302"/>
      <c r="IA26" s="1302"/>
      <c r="IB26" s="1302"/>
      <c r="IC26" s="1302"/>
      <c r="ID26" s="1302"/>
      <c r="IE26" s="1302"/>
      <c r="IF26" s="1302"/>
      <c r="IG26" s="1302"/>
      <c r="IH26" s="1302"/>
      <c r="II26" s="1302"/>
      <c r="IJ26" s="1302"/>
      <c r="IK26" s="1302"/>
      <c r="IL26" s="1302"/>
      <c r="IM26" s="1302"/>
      <c r="IN26" s="1302"/>
      <c r="IO26" s="1302"/>
      <c r="IP26" s="1302"/>
      <c r="IQ26" s="1302"/>
      <c r="IR26" s="1302"/>
      <c r="IS26" s="1302"/>
      <c r="IT26" s="1302"/>
      <c r="IU26" s="1302"/>
      <c r="IV26" s="1302"/>
    </row>
    <row r="27" spans="1:256" x14ac:dyDescent="0.25">
      <c r="A27" s="1262">
        <v>30</v>
      </c>
      <c r="B27" s="1309" t="s">
        <v>100</v>
      </c>
      <c r="C27" s="1287" t="s">
        <v>2263</v>
      </c>
      <c r="D27" s="1273">
        <v>0.56000000000000005</v>
      </c>
      <c r="E27" s="1262" t="s">
        <v>64</v>
      </c>
      <c r="F27" s="1270">
        <v>1</v>
      </c>
      <c r="G27" s="1262" t="s">
        <v>2261</v>
      </c>
      <c r="H27" s="1262">
        <v>1.25</v>
      </c>
      <c r="I27" s="1273">
        <f t="shared" si="1"/>
        <v>0.70000000000000007</v>
      </c>
      <c r="J27" s="1255"/>
      <c r="K27" s="1255"/>
      <c r="L27" s="1255"/>
      <c r="M27" s="1255"/>
      <c r="N27" s="1255"/>
      <c r="O27" s="1254"/>
      <c r="P27" s="1302"/>
      <c r="Q27" s="1302"/>
      <c r="R27" s="1302"/>
      <c r="S27" s="1302"/>
      <c r="T27" s="1302"/>
      <c r="U27" s="1302"/>
      <c r="V27" s="1302"/>
      <c r="W27" s="1302"/>
      <c r="X27" s="1302"/>
      <c r="Y27" s="1302"/>
      <c r="Z27" s="1302"/>
      <c r="AA27" s="1302"/>
      <c r="AB27" s="1302"/>
      <c r="AC27" s="1302"/>
      <c r="AD27" s="1302"/>
      <c r="AE27" s="1302"/>
      <c r="AF27" s="1302"/>
      <c r="AG27" s="1302"/>
      <c r="AH27" s="1302"/>
      <c r="AI27" s="1302"/>
      <c r="AJ27" s="1302"/>
      <c r="AK27" s="1302"/>
      <c r="AL27" s="1302"/>
      <c r="AM27" s="1302"/>
      <c r="AN27" s="1302"/>
      <c r="AO27" s="1302"/>
      <c r="AP27" s="1302"/>
      <c r="AQ27" s="1302"/>
      <c r="AR27" s="1302"/>
      <c r="AS27" s="1302"/>
      <c r="AT27" s="1302"/>
      <c r="AU27" s="1302"/>
      <c r="AV27" s="1302"/>
      <c r="AW27" s="1302"/>
      <c r="AX27" s="1302"/>
      <c r="AY27" s="1302"/>
      <c r="AZ27" s="1302"/>
      <c r="BA27" s="1302"/>
      <c r="BB27" s="1302"/>
      <c r="BC27" s="1302"/>
      <c r="BD27" s="1302"/>
      <c r="BE27" s="1302"/>
      <c r="BF27" s="1302"/>
      <c r="BG27" s="1302"/>
      <c r="BH27" s="1302"/>
      <c r="BI27" s="1302"/>
      <c r="BJ27" s="1302"/>
      <c r="BK27" s="1302"/>
      <c r="BL27" s="1302"/>
      <c r="BM27" s="1302"/>
      <c r="BN27" s="1302"/>
      <c r="BO27" s="1302"/>
      <c r="BP27" s="1302"/>
      <c r="BQ27" s="1302"/>
      <c r="BR27" s="1302"/>
      <c r="BS27" s="1302"/>
      <c r="BT27" s="1302"/>
      <c r="BU27" s="1302"/>
      <c r="BV27" s="1302"/>
      <c r="BW27" s="1302"/>
      <c r="BX27" s="1302"/>
      <c r="BY27" s="1302"/>
      <c r="BZ27" s="1302"/>
      <c r="CA27" s="1302"/>
      <c r="CB27" s="1302"/>
      <c r="CC27" s="1302"/>
      <c r="CD27" s="1302"/>
      <c r="CE27" s="1302"/>
      <c r="CF27" s="1302"/>
      <c r="CG27" s="1302"/>
      <c r="CH27" s="1302"/>
      <c r="CI27" s="1302"/>
      <c r="CJ27" s="1302"/>
      <c r="CK27" s="1302"/>
      <c r="CL27" s="1302"/>
      <c r="CM27" s="1302"/>
      <c r="CN27" s="1302"/>
      <c r="CO27" s="1302"/>
      <c r="CP27" s="1302"/>
      <c r="CQ27" s="1302"/>
      <c r="CR27" s="1302"/>
      <c r="CS27" s="1302"/>
      <c r="CT27" s="1302"/>
      <c r="CU27" s="1302"/>
      <c r="CV27" s="1302"/>
      <c r="CW27" s="1302"/>
      <c r="CX27" s="1302"/>
      <c r="CY27" s="1302"/>
      <c r="CZ27" s="1302"/>
      <c r="DA27" s="1302"/>
      <c r="DB27" s="1302"/>
      <c r="DC27" s="1302"/>
      <c r="DD27" s="1302"/>
      <c r="DE27" s="1302"/>
      <c r="DF27" s="1302"/>
      <c r="DG27" s="1302"/>
      <c r="DH27" s="1302"/>
      <c r="DI27" s="1302"/>
      <c r="DJ27" s="1302"/>
      <c r="DK27" s="1302"/>
      <c r="DL27" s="1302"/>
      <c r="DM27" s="1302"/>
      <c r="DN27" s="1302"/>
      <c r="DO27" s="1302"/>
      <c r="DP27" s="1302"/>
      <c r="DQ27" s="1302"/>
      <c r="DR27" s="1302"/>
      <c r="DS27" s="1302"/>
      <c r="DT27" s="1302"/>
      <c r="DU27" s="1302"/>
      <c r="DV27" s="1302"/>
      <c r="DW27" s="1302"/>
      <c r="DX27" s="1302"/>
      <c r="DY27" s="1302"/>
      <c r="DZ27" s="1302"/>
      <c r="EA27" s="1302"/>
      <c r="EB27" s="1302"/>
      <c r="EC27" s="1302"/>
      <c r="ED27" s="1302"/>
      <c r="EE27" s="1302"/>
      <c r="EF27" s="1302"/>
      <c r="EG27" s="1302"/>
      <c r="EH27" s="1302"/>
      <c r="EI27" s="1302"/>
      <c r="EJ27" s="1302"/>
      <c r="EK27" s="1302"/>
      <c r="EL27" s="1302"/>
      <c r="EM27" s="1302"/>
      <c r="EN27" s="1302"/>
      <c r="EO27" s="1302"/>
      <c r="EP27" s="1302"/>
      <c r="EQ27" s="1302"/>
      <c r="ER27" s="1302"/>
      <c r="ES27" s="1302"/>
      <c r="ET27" s="1302"/>
      <c r="EU27" s="1302"/>
      <c r="EV27" s="1302"/>
      <c r="EW27" s="1302"/>
      <c r="EX27" s="1302"/>
      <c r="EY27" s="1302"/>
      <c r="EZ27" s="1302"/>
      <c r="FA27" s="1302"/>
      <c r="FB27" s="1302"/>
      <c r="FC27" s="1302"/>
      <c r="FD27" s="1302"/>
      <c r="FE27" s="1302"/>
      <c r="FF27" s="1302"/>
      <c r="FG27" s="1302"/>
      <c r="FH27" s="1302"/>
      <c r="FI27" s="1302"/>
      <c r="FJ27" s="1302"/>
      <c r="FK27" s="1302"/>
      <c r="FL27" s="1302"/>
      <c r="FM27" s="1302"/>
      <c r="FN27" s="1302"/>
      <c r="FO27" s="1302"/>
      <c r="FP27" s="1302"/>
      <c r="FQ27" s="1302"/>
      <c r="FR27" s="1302"/>
      <c r="FS27" s="1302"/>
      <c r="FT27" s="1302"/>
      <c r="FU27" s="1302"/>
      <c r="FV27" s="1302"/>
      <c r="FW27" s="1302"/>
      <c r="FX27" s="1302"/>
      <c r="FY27" s="1302"/>
      <c r="FZ27" s="1302"/>
      <c r="GA27" s="1302"/>
      <c r="GB27" s="1302"/>
      <c r="GC27" s="1302"/>
      <c r="GD27" s="1302"/>
      <c r="GE27" s="1302"/>
      <c r="GF27" s="1302"/>
      <c r="GG27" s="1302"/>
      <c r="GH27" s="1302"/>
      <c r="GI27" s="1302"/>
      <c r="GJ27" s="1302"/>
      <c r="GK27" s="1302"/>
      <c r="GL27" s="1302"/>
      <c r="GM27" s="1302"/>
      <c r="GN27" s="1302"/>
      <c r="GO27" s="1302"/>
      <c r="GP27" s="1302"/>
      <c r="GQ27" s="1302"/>
      <c r="GR27" s="1302"/>
      <c r="GS27" s="1302"/>
      <c r="GT27" s="1302"/>
      <c r="GU27" s="1302"/>
      <c r="GV27" s="1302"/>
      <c r="GW27" s="1302"/>
      <c r="GX27" s="1302"/>
      <c r="GY27" s="1302"/>
      <c r="GZ27" s="1302"/>
      <c r="HA27" s="1302"/>
      <c r="HB27" s="1302"/>
      <c r="HC27" s="1302"/>
      <c r="HD27" s="1302"/>
      <c r="HE27" s="1302"/>
      <c r="HF27" s="1302"/>
      <c r="HG27" s="1302"/>
      <c r="HH27" s="1302"/>
      <c r="HI27" s="1302"/>
      <c r="HJ27" s="1302"/>
      <c r="HK27" s="1302"/>
      <c r="HL27" s="1302"/>
      <c r="HM27" s="1302"/>
      <c r="HN27" s="1302"/>
      <c r="HO27" s="1302"/>
      <c r="HP27" s="1302"/>
      <c r="HQ27" s="1302"/>
      <c r="HR27" s="1302"/>
      <c r="HS27" s="1302"/>
      <c r="HT27" s="1302"/>
      <c r="HU27" s="1302"/>
      <c r="HV27" s="1302"/>
      <c r="HW27" s="1302"/>
      <c r="HX27" s="1302"/>
      <c r="HY27" s="1302"/>
      <c r="HZ27" s="1302"/>
      <c r="IA27" s="1302"/>
      <c r="IB27" s="1302"/>
      <c r="IC27" s="1302"/>
      <c r="ID27" s="1302"/>
      <c r="IE27" s="1302"/>
      <c r="IF27" s="1302"/>
      <c r="IG27" s="1302"/>
      <c r="IH27" s="1302"/>
      <c r="II27" s="1302"/>
      <c r="IJ27" s="1302"/>
      <c r="IK27" s="1302"/>
      <c r="IL27" s="1302"/>
      <c r="IM27" s="1302"/>
      <c r="IN27" s="1302"/>
      <c r="IO27" s="1302"/>
      <c r="IP27" s="1302"/>
      <c r="IQ27" s="1302"/>
      <c r="IR27" s="1302"/>
      <c r="IS27" s="1302"/>
      <c r="IT27" s="1302"/>
      <c r="IU27" s="1302"/>
      <c r="IV27" s="1302"/>
    </row>
    <row r="28" spans="1:256" x14ac:dyDescent="0.25">
      <c r="A28" s="1262">
        <v>40</v>
      </c>
      <c r="B28" s="1274" t="s">
        <v>1403</v>
      </c>
      <c r="C28" s="1287" t="s">
        <v>2262</v>
      </c>
      <c r="D28" s="1273">
        <v>0.25</v>
      </c>
      <c r="E28" s="1274" t="s">
        <v>64</v>
      </c>
      <c r="F28" s="1270">
        <v>4</v>
      </c>
      <c r="G28" s="1262" t="s">
        <v>2261</v>
      </c>
      <c r="H28" s="1262">
        <v>1.25</v>
      </c>
      <c r="I28" s="1273">
        <f t="shared" si="1"/>
        <v>1.25</v>
      </c>
      <c r="J28" s="1255"/>
      <c r="K28" s="1255"/>
      <c r="L28" s="1255"/>
      <c r="M28" s="1255"/>
      <c r="N28" s="1255"/>
      <c r="O28" s="1254"/>
      <c r="P28" s="1302"/>
      <c r="Q28" s="1302"/>
      <c r="R28" s="1302"/>
      <c r="S28" s="1302"/>
      <c r="T28" s="1302"/>
      <c r="U28" s="1302"/>
      <c r="V28" s="1302"/>
      <c r="W28" s="1302"/>
      <c r="X28" s="1302"/>
      <c r="Y28" s="1302"/>
      <c r="Z28" s="1302"/>
      <c r="AA28" s="1302"/>
      <c r="AB28" s="1302"/>
      <c r="AC28" s="1302"/>
      <c r="AD28" s="1302"/>
      <c r="AE28" s="1302"/>
      <c r="AF28" s="1302"/>
      <c r="AG28" s="1302"/>
      <c r="AH28" s="1302"/>
      <c r="AI28" s="1302"/>
      <c r="AJ28" s="1302"/>
      <c r="AK28" s="1302"/>
      <c r="AL28" s="1302"/>
      <c r="AM28" s="1302"/>
      <c r="AN28" s="1302"/>
      <c r="AO28" s="1302"/>
      <c r="AP28" s="1302"/>
      <c r="AQ28" s="1302"/>
      <c r="AR28" s="1302"/>
      <c r="AS28" s="1302"/>
      <c r="AT28" s="1302"/>
      <c r="AU28" s="1302"/>
      <c r="AV28" s="1302"/>
      <c r="AW28" s="1302"/>
      <c r="AX28" s="1302"/>
      <c r="AY28" s="1302"/>
      <c r="AZ28" s="1302"/>
      <c r="BA28" s="1302"/>
      <c r="BB28" s="1302"/>
      <c r="BC28" s="1302"/>
      <c r="BD28" s="1302"/>
      <c r="BE28" s="1302"/>
      <c r="BF28" s="1302"/>
      <c r="BG28" s="1302"/>
      <c r="BH28" s="1302"/>
      <c r="BI28" s="1302"/>
      <c r="BJ28" s="1302"/>
      <c r="BK28" s="1302"/>
      <c r="BL28" s="1302"/>
      <c r="BM28" s="1302"/>
      <c r="BN28" s="1302"/>
      <c r="BO28" s="1302"/>
      <c r="BP28" s="1302"/>
      <c r="BQ28" s="1302"/>
      <c r="BR28" s="1302"/>
      <c r="BS28" s="1302"/>
      <c r="BT28" s="1302"/>
      <c r="BU28" s="1302"/>
      <c r="BV28" s="1302"/>
      <c r="BW28" s="1302"/>
      <c r="BX28" s="1302"/>
      <c r="BY28" s="1302"/>
      <c r="BZ28" s="1302"/>
      <c r="CA28" s="1302"/>
      <c r="CB28" s="1302"/>
      <c r="CC28" s="1302"/>
      <c r="CD28" s="1302"/>
      <c r="CE28" s="1302"/>
      <c r="CF28" s="1302"/>
      <c r="CG28" s="1302"/>
      <c r="CH28" s="1302"/>
      <c r="CI28" s="1302"/>
      <c r="CJ28" s="1302"/>
      <c r="CK28" s="1302"/>
      <c r="CL28" s="1302"/>
      <c r="CM28" s="1302"/>
      <c r="CN28" s="1302"/>
      <c r="CO28" s="1302"/>
      <c r="CP28" s="1302"/>
      <c r="CQ28" s="1302"/>
      <c r="CR28" s="1302"/>
      <c r="CS28" s="1302"/>
      <c r="CT28" s="1302"/>
      <c r="CU28" s="1302"/>
      <c r="CV28" s="1302"/>
      <c r="CW28" s="1302"/>
      <c r="CX28" s="1302"/>
      <c r="CY28" s="1302"/>
      <c r="CZ28" s="1302"/>
      <c r="DA28" s="1302"/>
      <c r="DB28" s="1302"/>
      <c r="DC28" s="1302"/>
      <c r="DD28" s="1302"/>
      <c r="DE28" s="1302"/>
      <c r="DF28" s="1302"/>
      <c r="DG28" s="1302"/>
      <c r="DH28" s="1302"/>
      <c r="DI28" s="1302"/>
      <c r="DJ28" s="1302"/>
      <c r="DK28" s="1302"/>
      <c r="DL28" s="1302"/>
      <c r="DM28" s="1302"/>
      <c r="DN28" s="1302"/>
      <c r="DO28" s="1302"/>
      <c r="DP28" s="1302"/>
      <c r="DQ28" s="1302"/>
      <c r="DR28" s="1302"/>
      <c r="DS28" s="1302"/>
      <c r="DT28" s="1302"/>
      <c r="DU28" s="1302"/>
      <c r="DV28" s="1302"/>
      <c r="DW28" s="1302"/>
      <c r="DX28" s="1302"/>
      <c r="DY28" s="1302"/>
      <c r="DZ28" s="1302"/>
      <c r="EA28" s="1302"/>
      <c r="EB28" s="1302"/>
      <c r="EC28" s="1302"/>
      <c r="ED28" s="1302"/>
      <c r="EE28" s="1302"/>
      <c r="EF28" s="1302"/>
      <c r="EG28" s="1302"/>
      <c r="EH28" s="1302"/>
      <c r="EI28" s="1302"/>
      <c r="EJ28" s="1302"/>
      <c r="EK28" s="1302"/>
      <c r="EL28" s="1302"/>
      <c r="EM28" s="1302"/>
      <c r="EN28" s="1302"/>
      <c r="EO28" s="1302"/>
      <c r="EP28" s="1302"/>
      <c r="EQ28" s="1302"/>
      <c r="ER28" s="1302"/>
      <c r="ES28" s="1302"/>
      <c r="ET28" s="1302"/>
      <c r="EU28" s="1302"/>
      <c r="EV28" s="1302"/>
      <c r="EW28" s="1302"/>
      <c r="EX28" s="1302"/>
      <c r="EY28" s="1302"/>
      <c r="EZ28" s="1302"/>
      <c r="FA28" s="1302"/>
      <c r="FB28" s="1302"/>
      <c r="FC28" s="1302"/>
      <c r="FD28" s="1302"/>
      <c r="FE28" s="1302"/>
      <c r="FF28" s="1302"/>
      <c r="FG28" s="1302"/>
      <c r="FH28" s="1302"/>
      <c r="FI28" s="1302"/>
      <c r="FJ28" s="1302"/>
      <c r="FK28" s="1302"/>
      <c r="FL28" s="1302"/>
      <c r="FM28" s="1302"/>
      <c r="FN28" s="1302"/>
      <c r="FO28" s="1302"/>
      <c r="FP28" s="1302"/>
      <c r="FQ28" s="1302"/>
      <c r="FR28" s="1302"/>
      <c r="FS28" s="1302"/>
      <c r="FT28" s="1302"/>
      <c r="FU28" s="1302"/>
      <c r="FV28" s="1302"/>
      <c r="FW28" s="1302"/>
      <c r="FX28" s="1302"/>
      <c r="FY28" s="1302"/>
      <c r="FZ28" s="1302"/>
      <c r="GA28" s="1302"/>
      <c r="GB28" s="1302"/>
      <c r="GC28" s="1302"/>
      <c r="GD28" s="1302"/>
      <c r="GE28" s="1302"/>
      <c r="GF28" s="1302"/>
      <c r="GG28" s="1302"/>
      <c r="GH28" s="1302"/>
      <c r="GI28" s="1302"/>
      <c r="GJ28" s="1302"/>
      <c r="GK28" s="1302"/>
      <c r="GL28" s="1302"/>
      <c r="GM28" s="1302"/>
      <c r="GN28" s="1302"/>
      <c r="GO28" s="1302"/>
      <c r="GP28" s="1302"/>
      <c r="GQ28" s="1302"/>
      <c r="GR28" s="1302"/>
      <c r="GS28" s="1302"/>
      <c r="GT28" s="1302"/>
      <c r="GU28" s="1302"/>
      <c r="GV28" s="1302"/>
      <c r="GW28" s="1302"/>
      <c r="GX28" s="1302"/>
      <c r="GY28" s="1302"/>
      <c r="GZ28" s="1302"/>
      <c r="HA28" s="1302"/>
      <c r="HB28" s="1302"/>
      <c r="HC28" s="1302"/>
      <c r="HD28" s="1302"/>
      <c r="HE28" s="1302"/>
      <c r="HF28" s="1302"/>
      <c r="HG28" s="1302"/>
      <c r="HH28" s="1302"/>
      <c r="HI28" s="1302"/>
      <c r="HJ28" s="1302"/>
      <c r="HK28" s="1302"/>
      <c r="HL28" s="1302"/>
      <c r="HM28" s="1302"/>
      <c r="HN28" s="1302"/>
      <c r="HO28" s="1302"/>
      <c r="HP28" s="1302"/>
      <c r="HQ28" s="1302"/>
      <c r="HR28" s="1302"/>
      <c r="HS28" s="1302"/>
      <c r="HT28" s="1302"/>
      <c r="HU28" s="1302"/>
      <c r="HV28" s="1302"/>
      <c r="HW28" s="1302"/>
      <c r="HX28" s="1302"/>
      <c r="HY28" s="1302"/>
      <c r="HZ28" s="1302"/>
      <c r="IA28" s="1302"/>
      <c r="IB28" s="1302"/>
      <c r="IC28" s="1302"/>
      <c r="ID28" s="1302"/>
      <c r="IE28" s="1302"/>
      <c r="IF28" s="1302"/>
      <c r="IG28" s="1302"/>
      <c r="IH28" s="1302"/>
      <c r="II28" s="1302"/>
      <c r="IJ28" s="1302"/>
      <c r="IK28" s="1302"/>
      <c r="IL28" s="1302"/>
      <c r="IM28" s="1302"/>
      <c r="IN28" s="1302"/>
      <c r="IO28" s="1302"/>
      <c r="IP28" s="1302"/>
      <c r="IQ28" s="1302"/>
      <c r="IR28" s="1302"/>
      <c r="IS28" s="1302"/>
      <c r="IT28" s="1302"/>
      <c r="IU28" s="1302"/>
      <c r="IV28" s="1302"/>
    </row>
    <row r="29" spans="1:256" x14ac:dyDescent="0.25">
      <c r="A29" s="1262">
        <v>50</v>
      </c>
      <c r="B29" s="1274" t="s">
        <v>145</v>
      </c>
      <c r="C29" s="1287" t="s">
        <v>2260</v>
      </c>
      <c r="D29" s="1273">
        <v>0.13</v>
      </c>
      <c r="E29" s="1262" t="s">
        <v>64</v>
      </c>
      <c r="F29" s="1270">
        <v>2</v>
      </c>
      <c r="G29" s="1262"/>
      <c r="H29" s="1262"/>
      <c r="I29" s="1273">
        <f t="shared" si="1"/>
        <v>0.26</v>
      </c>
      <c r="J29" s="1255"/>
      <c r="K29" s="1255"/>
      <c r="L29" s="1255"/>
      <c r="M29" s="1255"/>
      <c r="N29" s="1255"/>
      <c r="O29" s="1254"/>
      <c r="P29" s="1302"/>
      <c r="Q29" s="1302"/>
      <c r="R29" s="1302"/>
      <c r="S29" s="1302"/>
      <c r="T29" s="1302"/>
      <c r="U29" s="1302"/>
      <c r="V29" s="1302"/>
      <c r="W29" s="1302"/>
      <c r="X29" s="1302"/>
      <c r="Y29" s="1302"/>
      <c r="Z29" s="1302"/>
      <c r="AA29" s="1302"/>
      <c r="AB29" s="1302"/>
      <c r="AC29" s="1302"/>
      <c r="AD29" s="1302"/>
      <c r="AE29" s="1302"/>
      <c r="AF29" s="1302"/>
      <c r="AG29" s="1302"/>
      <c r="AH29" s="1302"/>
      <c r="AI29" s="1302"/>
      <c r="AJ29" s="1302"/>
      <c r="AK29" s="1302"/>
      <c r="AL29" s="1302"/>
      <c r="AM29" s="1302"/>
      <c r="AN29" s="1302"/>
      <c r="AO29" s="1302"/>
      <c r="AP29" s="1302"/>
      <c r="AQ29" s="1302"/>
      <c r="AR29" s="1302"/>
      <c r="AS29" s="1302"/>
      <c r="AT29" s="1302"/>
      <c r="AU29" s="1302"/>
      <c r="AV29" s="1302"/>
      <c r="AW29" s="1302"/>
      <c r="AX29" s="1302"/>
      <c r="AY29" s="1302"/>
      <c r="AZ29" s="1302"/>
      <c r="BA29" s="1302"/>
      <c r="BB29" s="1302"/>
      <c r="BC29" s="1302"/>
      <c r="BD29" s="1302"/>
      <c r="BE29" s="1302"/>
      <c r="BF29" s="1302"/>
      <c r="BG29" s="1302"/>
      <c r="BH29" s="1302"/>
      <c r="BI29" s="1302"/>
      <c r="BJ29" s="1302"/>
      <c r="BK29" s="1302"/>
      <c r="BL29" s="1302"/>
      <c r="BM29" s="1302"/>
      <c r="BN29" s="1302"/>
      <c r="BO29" s="1302"/>
      <c r="BP29" s="1302"/>
      <c r="BQ29" s="1302"/>
      <c r="BR29" s="1302"/>
      <c r="BS29" s="1302"/>
      <c r="BT29" s="1302"/>
      <c r="BU29" s="1302"/>
      <c r="BV29" s="1302"/>
      <c r="BW29" s="1302"/>
      <c r="BX29" s="1302"/>
      <c r="BY29" s="1302"/>
      <c r="BZ29" s="1302"/>
      <c r="CA29" s="1302"/>
      <c r="CB29" s="1302"/>
      <c r="CC29" s="1302"/>
      <c r="CD29" s="1302"/>
      <c r="CE29" s="1302"/>
      <c r="CF29" s="1302"/>
      <c r="CG29" s="1302"/>
      <c r="CH29" s="1302"/>
      <c r="CI29" s="1302"/>
      <c r="CJ29" s="1302"/>
      <c r="CK29" s="1302"/>
      <c r="CL29" s="1302"/>
      <c r="CM29" s="1302"/>
      <c r="CN29" s="1302"/>
      <c r="CO29" s="1302"/>
      <c r="CP29" s="1302"/>
      <c r="CQ29" s="1302"/>
      <c r="CR29" s="1302"/>
      <c r="CS29" s="1302"/>
      <c r="CT29" s="1302"/>
      <c r="CU29" s="1302"/>
      <c r="CV29" s="1302"/>
      <c r="CW29" s="1302"/>
      <c r="CX29" s="1302"/>
      <c r="CY29" s="1302"/>
      <c r="CZ29" s="1302"/>
      <c r="DA29" s="1302"/>
      <c r="DB29" s="1302"/>
      <c r="DC29" s="1302"/>
      <c r="DD29" s="1302"/>
      <c r="DE29" s="1302"/>
      <c r="DF29" s="1302"/>
      <c r="DG29" s="1302"/>
      <c r="DH29" s="1302"/>
      <c r="DI29" s="1302"/>
      <c r="DJ29" s="1302"/>
      <c r="DK29" s="1302"/>
      <c r="DL29" s="1302"/>
      <c r="DM29" s="1302"/>
      <c r="DN29" s="1302"/>
      <c r="DO29" s="1302"/>
      <c r="DP29" s="1302"/>
      <c r="DQ29" s="1302"/>
      <c r="DR29" s="1302"/>
      <c r="DS29" s="1302"/>
      <c r="DT29" s="1302"/>
      <c r="DU29" s="1302"/>
      <c r="DV29" s="1302"/>
      <c r="DW29" s="1302"/>
      <c r="DX29" s="1302"/>
      <c r="DY29" s="1302"/>
      <c r="DZ29" s="1302"/>
      <c r="EA29" s="1302"/>
      <c r="EB29" s="1302"/>
      <c r="EC29" s="1302"/>
      <c r="ED29" s="1302"/>
      <c r="EE29" s="1302"/>
      <c r="EF29" s="1302"/>
      <c r="EG29" s="1302"/>
      <c r="EH29" s="1302"/>
      <c r="EI29" s="1302"/>
      <c r="EJ29" s="1302"/>
      <c r="EK29" s="1302"/>
      <c r="EL29" s="1302"/>
      <c r="EM29" s="1302"/>
      <c r="EN29" s="1302"/>
      <c r="EO29" s="1302"/>
      <c r="EP29" s="1302"/>
      <c r="EQ29" s="1302"/>
      <c r="ER29" s="1302"/>
      <c r="ES29" s="1302"/>
      <c r="ET29" s="1302"/>
      <c r="EU29" s="1302"/>
      <c r="EV29" s="1302"/>
      <c r="EW29" s="1302"/>
      <c r="EX29" s="1302"/>
      <c r="EY29" s="1302"/>
      <c r="EZ29" s="1302"/>
      <c r="FA29" s="1302"/>
      <c r="FB29" s="1302"/>
      <c r="FC29" s="1302"/>
      <c r="FD29" s="1302"/>
      <c r="FE29" s="1302"/>
      <c r="FF29" s="1302"/>
      <c r="FG29" s="1302"/>
      <c r="FH29" s="1302"/>
      <c r="FI29" s="1302"/>
      <c r="FJ29" s="1302"/>
      <c r="FK29" s="1302"/>
      <c r="FL29" s="1302"/>
      <c r="FM29" s="1302"/>
      <c r="FN29" s="1302"/>
      <c r="FO29" s="1302"/>
      <c r="FP29" s="1302"/>
      <c r="FQ29" s="1302"/>
      <c r="FR29" s="1302"/>
      <c r="FS29" s="1302"/>
      <c r="FT29" s="1302"/>
      <c r="FU29" s="1302"/>
      <c r="FV29" s="1302"/>
      <c r="FW29" s="1302"/>
      <c r="FX29" s="1302"/>
      <c r="FY29" s="1302"/>
      <c r="FZ29" s="1302"/>
      <c r="GA29" s="1302"/>
      <c r="GB29" s="1302"/>
      <c r="GC29" s="1302"/>
      <c r="GD29" s="1302"/>
      <c r="GE29" s="1302"/>
      <c r="GF29" s="1302"/>
      <c r="GG29" s="1302"/>
      <c r="GH29" s="1302"/>
      <c r="GI29" s="1302"/>
      <c r="GJ29" s="1302"/>
      <c r="GK29" s="1302"/>
      <c r="GL29" s="1302"/>
      <c r="GM29" s="1302"/>
      <c r="GN29" s="1302"/>
      <c r="GO29" s="1302"/>
      <c r="GP29" s="1302"/>
      <c r="GQ29" s="1302"/>
      <c r="GR29" s="1302"/>
      <c r="GS29" s="1302"/>
      <c r="GT29" s="1302"/>
      <c r="GU29" s="1302"/>
      <c r="GV29" s="1302"/>
      <c r="GW29" s="1302"/>
      <c r="GX29" s="1302"/>
      <c r="GY29" s="1302"/>
      <c r="GZ29" s="1302"/>
      <c r="HA29" s="1302"/>
      <c r="HB29" s="1302"/>
      <c r="HC29" s="1302"/>
      <c r="HD29" s="1302"/>
      <c r="HE29" s="1302"/>
      <c r="HF29" s="1302"/>
      <c r="HG29" s="1302"/>
      <c r="HH29" s="1302"/>
      <c r="HI29" s="1302"/>
      <c r="HJ29" s="1302"/>
      <c r="HK29" s="1302"/>
      <c r="HL29" s="1302"/>
      <c r="HM29" s="1302"/>
      <c r="HN29" s="1302"/>
      <c r="HO29" s="1302"/>
      <c r="HP29" s="1302"/>
      <c r="HQ29" s="1302"/>
      <c r="HR29" s="1302"/>
      <c r="HS29" s="1302"/>
      <c r="HT29" s="1302"/>
      <c r="HU29" s="1302"/>
      <c r="HV29" s="1302"/>
      <c r="HW29" s="1302"/>
      <c r="HX29" s="1302"/>
      <c r="HY29" s="1302"/>
      <c r="HZ29" s="1302"/>
      <c r="IA29" s="1302"/>
      <c r="IB29" s="1302"/>
      <c r="IC29" s="1302"/>
      <c r="ID29" s="1302"/>
      <c r="IE29" s="1302"/>
      <c r="IF29" s="1302"/>
      <c r="IG29" s="1302"/>
      <c r="IH29" s="1302"/>
      <c r="II29" s="1302"/>
      <c r="IJ29" s="1302"/>
      <c r="IK29" s="1302"/>
      <c r="IL29" s="1302"/>
      <c r="IM29" s="1302"/>
      <c r="IN29" s="1302"/>
      <c r="IO29" s="1302"/>
      <c r="IP29" s="1302"/>
      <c r="IQ29" s="1302"/>
      <c r="IR29" s="1302"/>
      <c r="IS29" s="1302"/>
      <c r="IT29" s="1302"/>
      <c r="IU29" s="1302"/>
      <c r="IV29" s="1302"/>
    </row>
    <row r="30" spans="1:256" x14ac:dyDescent="0.25">
      <c r="A30" s="1262">
        <v>60</v>
      </c>
      <c r="B30" s="1274" t="s">
        <v>1403</v>
      </c>
      <c r="C30" s="1287" t="s">
        <v>2259</v>
      </c>
      <c r="D30" s="1273">
        <v>0.25</v>
      </c>
      <c r="E30" s="1262" t="s">
        <v>64</v>
      </c>
      <c r="F30" s="1270">
        <v>6</v>
      </c>
      <c r="G30" s="1262"/>
      <c r="H30" s="1262"/>
      <c r="I30" s="1273">
        <f t="shared" si="1"/>
        <v>1.5</v>
      </c>
      <c r="J30" s="1255"/>
      <c r="K30" s="1255"/>
      <c r="L30" s="1255"/>
      <c r="M30" s="1255"/>
      <c r="N30" s="1255"/>
      <c r="O30" s="1254"/>
      <c r="P30" s="1302"/>
      <c r="Q30" s="1302"/>
      <c r="R30" s="1302"/>
      <c r="S30" s="1302"/>
      <c r="T30" s="1302"/>
      <c r="U30" s="1302"/>
      <c r="V30" s="1302"/>
      <c r="W30" s="1302"/>
      <c r="X30" s="1302"/>
      <c r="Y30" s="1302"/>
      <c r="Z30" s="1302"/>
      <c r="AA30" s="1302"/>
      <c r="AB30" s="1302"/>
      <c r="AC30" s="1302"/>
      <c r="AD30" s="1302"/>
      <c r="AE30" s="1302"/>
      <c r="AF30" s="1302"/>
      <c r="AG30" s="1302"/>
      <c r="AH30" s="1302"/>
      <c r="AI30" s="1302"/>
      <c r="AJ30" s="1302"/>
      <c r="AK30" s="1302"/>
      <c r="AL30" s="1302"/>
      <c r="AM30" s="1302"/>
      <c r="AN30" s="1302"/>
      <c r="AO30" s="1302"/>
      <c r="AP30" s="1302"/>
      <c r="AQ30" s="1302"/>
      <c r="AR30" s="1302"/>
      <c r="AS30" s="1302"/>
      <c r="AT30" s="1302"/>
      <c r="AU30" s="1302"/>
      <c r="AV30" s="1302"/>
      <c r="AW30" s="1302"/>
      <c r="AX30" s="1302"/>
      <c r="AY30" s="1302"/>
      <c r="AZ30" s="1302"/>
      <c r="BA30" s="1302"/>
      <c r="BB30" s="1302"/>
      <c r="BC30" s="1302"/>
      <c r="BD30" s="1302"/>
      <c r="BE30" s="1302"/>
      <c r="BF30" s="1302"/>
      <c r="BG30" s="1302"/>
      <c r="BH30" s="1302"/>
      <c r="BI30" s="1302"/>
      <c r="BJ30" s="1302"/>
      <c r="BK30" s="1302"/>
      <c r="BL30" s="1302"/>
      <c r="BM30" s="1302"/>
      <c r="BN30" s="1302"/>
      <c r="BO30" s="1302"/>
      <c r="BP30" s="1302"/>
      <c r="BQ30" s="1302"/>
      <c r="BR30" s="1302"/>
      <c r="BS30" s="1302"/>
      <c r="BT30" s="1302"/>
      <c r="BU30" s="1302"/>
      <c r="BV30" s="1302"/>
      <c r="BW30" s="1302"/>
      <c r="BX30" s="1302"/>
      <c r="BY30" s="1302"/>
      <c r="BZ30" s="1302"/>
      <c r="CA30" s="1302"/>
      <c r="CB30" s="1302"/>
      <c r="CC30" s="1302"/>
      <c r="CD30" s="1302"/>
      <c r="CE30" s="1302"/>
      <c r="CF30" s="1302"/>
      <c r="CG30" s="1302"/>
      <c r="CH30" s="1302"/>
      <c r="CI30" s="1302"/>
      <c r="CJ30" s="1302"/>
      <c r="CK30" s="1302"/>
      <c r="CL30" s="1302"/>
      <c r="CM30" s="1302"/>
      <c r="CN30" s="1302"/>
      <c r="CO30" s="1302"/>
      <c r="CP30" s="1302"/>
      <c r="CQ30" s="1302"/>
      <c r="CR30" s="1302"/>
      <c r="CS30" s="1302"/>
      <c r="CT30" s="1302"/>
      <c r="CU30" s="1302"/>
      <c r="CV30" s="1302"/>
      <c r="CW30" s="1302"/>
      <c r="CX30" s="1302"/>
      <c r="CY30" s="1302"/>
      <c r="CZ30" s="1302"/>
      <c r="DA30" s="1302"/>
      <c r="DB30" s="1302"/>
      <c r="DC30" s="1302"/>
      <c r="DD30" s="1302"/>
      <c r="DE30" s="1302"/>
      <c r="DF30" s="1302"/>
      <c r="DG30" s="1302"/>
      <c r="DH30" s="1302"/>
      <c r="DI30" s="1302"/>
      <c r="DJ30" s="1302"/>
      <c r="DK30" s="1302"/>
      <c r="DL30" s="1302"/>
      <c r="DM30" s="1302"/>
      <c r="DN30" s="1302"/>
      <c r="DO30" s="1302"/>
      <c r="DP30" s="1302"/>
      <c r="DQ30" s="1302"/>
      <c r="DR30" s="1302"/>
      <c r="DS30" s="1302"/>
      <c r="DT30" s="1302"/>
      <c r="DU30" s="1302"/>
      <c r="DV30" s="1302"/>
      <c r="DW30" s="1302"/>
      <c r="DX30" s="1302"/>
      <c r="DY30" s="1302"/>
      <c r="DZ30" s="1302"/>
      <c r="EA30" s="1302"/>
      <c r="EB30" s="1302"/>
      <c r="EC30" s="1302"/>
      <c r="ED30" s="1302"/>
      <c r="EE30" s="1302"/>
      <c r="EF30" s="1302"/>
      <c r="EG30" s="1302"/>
      <c r="EH30" s="1302"/>
      <c r="EI30" s="1302"/>
      <c r="EJ30" s="1302"/>
      <c r="EK30" s="1302"/>
      <c r="EL30" s="1302"/>
      <c r="EM30" s="1302"/>
      <c r="EN30" s="1302"/>
      <c r="EO30" s="1302"/>
      <c r="EP30" s="1302"/>
      <c r="EQ30" s="1302"/>
      <c r="ER30" s="1302"/>
      <c r="ES30" s="1302"/>
      <c r="ET30" s="1302"/>
      <c r="EU30" s="1302"/>
      <c r="EV30" s="1302"/>
      <c r="EW30" s="1302"/>
      <c r="EX30" s="1302"/>
      <c r="EY30" s="1302"/>
      <c r="EZ30" s="1302"/>
      <c r="FA30" s="1302"/>
      <c r="FB30" s="1302"/>
      <c r="FC30" s="1302"/>
      <c r="FD30" s="1302"/>
      <c r="FE30" s="1302"/>
      <c r="FF30" s="1302"/>
      <c r="FG30" s="1302"/>
      <c r="FH30" s="1302"/>
      <c r="FI30" s="1302"/>
      <c r="FJ30" s="1302"/>
      <c r="FK30" s="1302"/>
      <c r="FL30" s="1302"/>
      <c r="FM30" s="1302"/>
      <c r="FN30" s="1302"/>
      <c r="FO30" s="1302"/>
      <c r="FP30" s="1302"/>
      <c r="FQ30" s="1302"/>
      <c r="FR30" s="1302"/>
      <c r="FS30" s="1302"/>
      <c r="FT30" s="1302"/>
      <c r="FU30" s="1302"/>
      <c r="FV30" s="1302"/>
      <c r="FW30" s="1302"/>
      <c r="FX30" s="1302"/>
      <c r="FY30" s="1302"/>
      <c r="FZ30" s="1302"/>
      <c r="GA30" s="1302"/>
      <c r="GB30" s="1302"/>
      <c r="GC30" s="1302"/>
      <c r="GD30" s="1302"/>
      <c r="GE30" s="1302"/>
      <c r="GF30" s="1302"/>
      <c r="GG30" s="1302"/>
      <c r="GH30" s="1302"/>
      <c r="GI30" s="1302"/>
      <c r="GJ30" s="1302"/>
      <c r="GK30" s="1302"/>
      <c r="GL30" s="1302"/>
      <c r="GM30" s="1302"/>
      <c r="GN30" s="1302"/>
      <c r="GO30" s="1302"/>
      <c r="GP30" s="1302"/>
      <c r="GQ30" s="1302"/>
      <c r="GR30" s="1302"/>
      <c r="GS30" s="1302"/>
      <c r="GT30" s="1302"/>
      <c r="GU30" s="1302"/>
      <c r="GV30" s="1302"/>
      <c r="GW30" s="1302"/>
      <c r="GX30" s="1302"/>
      <c r="GY30" s="1302"/>
      <c r="GZ30" s="1302"/>
      <c r="HA30" s="1302"/>
      <c r="HB30" s="1302"/>
      <c r="HC30" s="1302"/>
      <c r="HD30" s="1302"/>
      <c r="HE30" s="1302"/>
      <c r="HF30" s="1302"/>
      <c r="HG30" s="1302"/>
      <c r="HH30" s="1302"/>
      <c r="HI30" s="1302"/>
      <c r="HJ30" s="1302"/>
      <c r="HK30" s="1302"/>
      <c r="HL30" s="1302"/>
      <c r="HM30" s="1302"/>
      <c r="HN30" s="1302"/>
      <c r="HO30" s="1302"/>
      <c r="HP30" s="1302"/>
      <c r="HQ30" s="1302"/>
      <c r="HR30" s="1302"/>
      <c r="HS30" s="1302"/>
      <c r="HT30" s="1302"/>
      <c r="HU30" s="1302"/>
      <c r="HV30" s="1302"/>
      <c r="HW30" s="1302"/>
      <c r="HX30" s="1302"/>
      <c r="HY30" s="1302"/>
      <c r="HZ30" s="1302"/>
      <c r="IA30" s="1302"/>
      <c r="IB30" s="1302"/>
      <c r="IC30" s="1302"/>
      <c r="ID30" s="1302"/>
      <c r="IE30" s="1302"/>
      <c r="IF30" s="1302"/>
      <c r="IG30" s="1302"/>
      <c r="IH30" s="1302"/>
      <c r="II30" s="1302"/>
      <c r="IJ30" s="1302"/>
      <c r="IK30" s="1302"/>
      <c r="IL30" s="1302"/>
      <c r="IM30" s="1302"/>
      <c r="IN30" s="1302"/>
      <c r="IO30" s="1302"/>
      <c r="IP30" s="1302"/>
      <c r="IQ30" s="1302"/>
      <c r="IR30" s="1302"/>
      <c r="IS30" s="1302"/>
      <c r="IT30" s="1302"/>
      <c r="IU30" s="1302"/>
      <c r="IV30" s="1302"/>
    </row>
    <row r="31" spans="1:256" x14ac:dyDescent="0.25">
      <c r="A31" s="1262">
        <v>70</v>
      </c>
      <c r="B31" s="1274" t="s">
        <v>87</v>
      </c>
      <c r="C31" s="1287" t="s">
        <v>2258</v>
      </c>
      <c r="D31" s="1273">
        <v>0.06</v>
      </c>
      <c r="E31" s="1274" t="s">
        <v>64</v>
      </c>
      <c r="F31" s="1270">
        <v>4</v>
      </c>
      <c r="G31" s="1262"/>
      <c r="H31" s="1262"/>
      <c r="I31" s="1273">
        <f t="shared" si="1"/>
        <v>0.24</v>
      </c>
      <c r="J31" s="1255"/>
      <c r="K31" s="1255"/>
      <c r="L31" s="1255"/>
      <c r="M31" s="1255"/>
      <c r="N31" s="1255"/>
      <c r="O31" s="1254"/>
      <c r="P31" s="1302"/>
      <c r="Q31" s="1302"/>
      <c r="R31" s="1302"/>
      <c r="S31" s="1302"/>
      <c r="T31" s="1302"/>
      <c r="U31" s="1302"/>
      <c r="V31" s="1302"/>
      <c r="W31" s="1302"/>
      <c r="X31" s="1302"/>
      <c r="Y31" s="1302"/>
      <c r="Z31" s="1302"/>
      <c r="AA31" s="1302"/>
      <c r="AB31" s="1302"/>
      <c r="AC31" s="1302"/>
      <c r="AD31" s="1302"/>
      <c r="AE31" s="1302"/>
      <c r="AF31" s="1302"/>
      <c r="AG31" s="1302"/>
      <c r="AH31" s="1302"/>
      <c r="AI31" s="1302"/>
      <c r="AJ31" s="1302"/>
      <c r="AK31" s="1302"/>
      <c r="AL31" s="1302"/>
      <c r="AM31" s="1302"/>
      <c r="AN31" s="1302"/>
      <c r="AO31" s="1302"/>
      <c r="AP31" s="1302"/>
      <c r="AQ31" s="1302"/>
      <c r="AR31" s="1302"/>
      <c r="AS31" s="1302"/>
      <c r="AT31" s="1302"/>
      <c r="AU31" s="1302"/>
      <c r="AV31" s="1302"/>
      <c r="AW31" s="1302"/>
      <c r="AX31" s="1302"/>
      <c r="AY31" s="1302"/>
      <c r="AZ31" s="1302"/>
      <c r="BA31" s="1302"/>
      <c r="BB31" s="1302"/>
      <c r="BC31" s="1302"/>
      <c r="BD31" s="1302"/>
      <c r="BE31" s="1302"/>
      <c r="BF31" s="1302"/>
      <c r="BG31" s="1302"/>
      <c r="BH31" s="1302"/>
      <c r="BI31" s="1302"/>
      <c r="BJ31" s="1302"/>
      <c r="BK31" s="1302"/>
      <c r="BL31" s="1302"/>
      <c r="BM31" s="1302"/>
      <c r="BN31" s="1302"/>
      <c r="BO31" s="1302"/>
      <c r="BP31" s="1302"/>
      <c r="BQ31" s="1302"/>
      <c r="BR31" s="1302"/>
      <c r="BS31" s="1302"/>
      <c r="BT31" s="1302"/>
      <c r="BU31" s="1302"/>
      <c r="BV31" s="1302"/>
      <c r="BW31" s="1302"/>
      <c r="BX31" s="1302"/>
      <c r="BY31" s="1302"/>
      <c r="BZ31" s="1302"/>
      <c r="CA31" s="1302"/>
      <c r="CB31" s="1302"/>
      <c r="CC31" s="1302"/>
      <c r="CD31" s="1302"/>
      <c r="CE31" s="1302"/>
      <c r="CF31" s="1302"/>
      <c r="CG31" s="1302"/>
      <c r="CH31" s="1302"/>
      <c r="CI31" s="1302"/>
      <c r="CJ31" s="1302"/>
      <c r="CK31" s="1302"/>
      <c r="CL31" s="1302"/>
      <c r="CM31" s="1302"/>
      <c r="CN31" s="1302"/>
      <c r="CO31" s="1302"/>
      <c r="CP31" s="1302"/>
      <c r="CQ31" s="1302"/>
      <c r="CR31" s="1302"/>
      <c r="CS31" s="1302"/>
      <c r="CT31" s="1302"/>
      <c r="CU31" s="1302"/>
      <c r="CV31" s="1302"/>
      <c r="CW31" s="1302"/>
      <c r="CX31" s="1302"/>
      <c r="CY31" s="1302"/>
      <c r="CZ31" s="1302"/>
      <c r="DA31" s="1302"/>
      <c r="DB31" s="1302"/>
      <c r="DC31" s="1302"/>
      <c r="DD31" s="1302"/>
      <c r="DE31" s="1302"/>
      <c r="DF31" s="1302"/>
      <c r="DG31" s="1302"/>
      <c r="DH31" s="1302"/>
      <c r="DI31" s="1302"/>
      <c r="DJ31" s="1302"/>
      <c r="DK31" s="1302"/>
      <c r="DL31" s="1302"/>
      <c r="DM31" s="1302"/>
      <c r="DN31" s="1302"/>
      <c r="DO31" s="1302"/>
      <c r="DP31" s="1302"/>
      <c r="DQ31" s="1302"/>
      <c r="DR31" s="1302"/>
      <c r="DS31" s="1302"/>
      <c r="DT31" s="1302"/>
      <c r="DU31" s="1302"/>
      <c r="DV31" s="1302"/>
      <c r="DW31" s="1302"/>
      <c r="DX31" s="1302"/>
      <c r="DY31" s="1302"/>
      <c r="DZ31" s="1302"/>
      <c r="EA31" s="1302"/>
      <c r="EB31" s="1302"/>
      <c r="EC31" s="1302"/>
      <c r="ED31" s="1302"/>
      <c r="EE31" s="1302"/>
      <c r="EF31" s="1302"/>
      <c r="EG31" s="1302"/>
      <c r="EH31" s="1302"/>
      <c r="EI31" s="1302"/>
      <c r="EJ31" s="1302"/>
      <c r="EK31" s="1302"/>
      <c r="EL31" s="1302"/>
      <c r="EM31" s="1302"/>
      <c r="EN31" s="1302"/>
      <c r="EO31" s="1302"/>
      <c r="EP31" s="1302"/>
      <c r="EQ31" s="1302"/>
      <c r="ER31" s="1302"/>
      <c r="ES31" s="1302"/>
      <c r="ET31" s="1302"/>
      <c r="EU31" s="1302"/>
      <c r="EV31" s="1302"/>
      <c r="EW31" s="1302"/>
      <c r="EX31" s="1302"/>
      <c r="EY31" s="1302"/>
      <c r="EZ31" s="1302"/>
      <c r="FA31" s="1302"/>
      <c r="FB31" s="1302"/>
      <c r="FC31" s="1302"/>
      <c r="FD31" s="1302"/>
      <c r="FE31" s="1302"/>
      <c r="FF31" s="1302"/>
      <c r="FG31" s="1302"/>
      <c r="FH31" s="1302"/>
      <c r="FI31" s="1302"/>
      <c r="FJ31" s="1302"/>
      <c r="FK31" s="1302"/>
      <c r="FL31" s="1302"/>
      <c r="FM31" s="1302"/>
      <c r="FN31" s="1302"/>
      <c r="FO31" s="1302"/>
      <c r="FP31" s="1302"/>
      <c r="FQ31" s="1302"/>
      <c r="FR31" s="1302"/>
      <c r="FS31" s="1302"/>
      <c r="FT31" s="1302"/>
      <c r="FU31" s="1302"/>
      <c r="FV31" s="1302"/>
      <c r="FW31" s="1302"/>
      <c r="FX31" s="1302"/>
      <c r="FY31" s="1302"/>
      <c r="FZ31" s="1302"/>
      <c r="GA31" s="1302"/>
      <c r="GB31" s="1302"/>
      <c r="GC31" s="1302"/>
      <c r="GD31" s="1302"/>
      <c r="GE31" s="1302"/>
      <c r="GF31" s="1302"/>
      <c r="GG31" s="1302"/>
      <c r="GH31" s="1302"/>
      <c r="GI31" s="1302"/>
      <c r="GJ31" s="1302"/>
      <c r="GK31" s="1302"/>
      <c r="GL31" s="1302"/>
      <c r="GM31" s="1302"/>
      <c r="GN31" s="1302"/>
      <c r="GO31" s="1302"/>
      <c r="GP31" s="1302"/>
      <c r="GQ31" s="1302"/>
      <c r="GR31" s="1302"/>
      <c r="GS31" s="1302"/>
      <c r="GT31" s="1302"/>
      <c r="GU31" s="1302"/>
      <c r="GV31" s="1302"/>
      <c r="GW31" s="1302"/>
      <c r="GX31" s="1302"/>
      <c r="GY31" s="1302"/>
      <c r="GZ31" s="1302"/>
      <c r="HA31" s="1302"/>
      <c r="HB31" s="1302"/>
      <c r="HC31" s="1302"/>
      <c r="HD31" s="1302"/>
      <c r="HE31" s="1302"/>
      <c r="HF31" s="1302"/>
      <c r="HG31" s="1302"/>
      <c r="HH31" s="1302"/>
      <c r="HI31" s="1302"/>
      <c r="HJ31" s="1302"/>
      <c r="HK31" s="1302"/>
      <c r="HL31" s="1302"/>
      <c r="HM31" s="1302"/>
      <c r="HN31" s="1302"/>
      <c r="HO31" s="1302"/>
      <c r="HP31" s="1302"/>
      <c r="HQ31" s="1302"/>
      <c r="HR31" s="1302"/>
      <c r="HS31" s="1302"/>
      <c r="HT31" s="1302"/>
      <c r="HU31" s="1302"/>
      <c r="HV31" s="1302"/>
      <c r="HW31" s="1302"/>
      <c r="HX31" s="1302"/>
      <c r="HY31" s="1302"/>
      <c r="HZ31" s="1302"/>
      <c r="IA31" s="1302"/>
      <c r="IB31" s="1302"/>
      <c r="IC31" s="1302"/>
      <c r="ID31" s="1302"/>
      <c r="IE31" s="1302"/>
      <c r="IF31" s="1302"/>
      <c r="IG31" s="1302"/>
      <c r="IH31" s="1302"/>
      <c r="II31" s="1302"/>
      <c r="IJ31" s="1302"/>
      <c r="IK31" s="1302"/>
      <c r="IL31" s="1302"/>
      <c r="IM31" s="1302"/>
      <c r="IN31" s="1302"/>
      <c r="IO31" s="1302"/>
      <c r="IP31" s="1302"/>
      <c r="IQ31" s="1302"/>
      <c r="IR31" s="1302"/>
      <c r="IS31" s="1302"/>
      <c r="IT31" s="1302"/>
      <c r="IU31" s="1302"/>
      <c r="IV31" s="1302"/>
    </row>
    <row r="32" spans="1:256" ht="30" x14ac:dyDescent="0.25">
      <c r="A32" s="1262">
        <v>80</v>
      </c>
      <c r="B32" s="1274" t="s">
        <v>1403</v>
      </c>
      <c r="C32" s="1287" t="s">
        <v>2257</v>
      </c>
      <c r="D32" s="1273">
        <v>0.25</v>
      </c>
      <c r="E32" s="1262" t="s">
        <v>64</v>
      </c>
      <c r="F32" s="1270">
        <v>20</v>
      </c>
      <c r="G32" s="1262"/>
      <c r="H32" s="1262"/>
      <c r="I32" s="1273">
        <f t="shared" si="1"/>
        <v>5</v>
      </c>
      <c r="J32" s="1255"/>
      <c r="K32" s="1255"/>
      <c r="L32" s="1255"/>
      <c r="M32" s="1255"/>
      <c r="N32" s="1255"/>
      <c r="O32" s="1254"/>
      <c r="P32" s="1302"/>
      <c r="Q32" s="1302"/>
      <c r="R32" s="1302"/>
      <c r="S32" s="1302"/>
      <c r="T32" s="1302"/>
      <c r="U32" s="1302"/>
      <c r="V32" s="1302"/>
      <c r="W32" s="1302"/>
      <c r="X32" s="1302"/>
      <c r="Y32" s="1302"/>
      <c r="Z32" s="1302"/>
      <c r="AA32" s="1302"/>
      <c r="AB32" s="1302"/>
      <c r="AC32" s="1302"/>
      <c r="AD32" s="1302"/>
      <c r="AE32" s="1302"/>
      <c r="AF32" s="1302"/>
      <c r="AG32" s="1302"/>
      <c r="AH32" s="1302"/>
      <c r="AI32" s="1302"/>
      <c r="AJ32" s="1302"/>
      <c r="AK32" s="1302"/>
      <c r="AL32" s="1302"/>
      <c r="AM32" s="1302"/>
      <c r="AN32" s="1302"/>
      <c r="AO32" s="1302"/>
      <c r="AP32" s="1302"/>
      <c r="AQ32" s="1302"/>
      <c r="AR32" s="1302"/>
      <c r="AS32" s="1302"/>
      <c r="AT32" s="1302"/>
      <c r="AU32" s="1302"/>
      <c r="AV32" s="1302"/>
      <c r="AW32" s="1302"/>
      <c r="AX32" s="1302"/>
      <c r="AY32" s="1302"/>
      <c r="AZ32" s="1302"/>
      <c r="BA32" s="1302"/>
      <c r="BB32" s="1302"/>
      <c r="BC32" s="1302"/>
      <c r="BD32" s="1302"/>
      <c r="BE32" s="1302"/>
      <c r="BF32" s="1302"/>
      <c r="BG32" s="1302"/>
      <c r="BH32" s="1302"/>
      <c r="BI32" s="1302"/>
      <c r="BJ32" s="1302"/>
      <c r="BK32" s="1302"/>
      <c r="BL32" s="1302"/>
      <c r="BM32" s="1302"/>
      <c r="BN32" s="1302"/>
      <c r="BO32" s="1302"/>
      <c r="BP32" s="1302"/>
      <c r="BQ32" s="1302"/>
      <c r="BR32" s="1302"/>
      <c r="BS32" s="1302"/>
      <c r="BT32" s="1302"/>
      <c r="BU32" s="1302"/>
      <c r="BV32" s="1302"/>
      <c r="BW32" s="1302"/>
      <c r="BX32" s="1302"/>
      <c r="BY32" s="1302"/>
      <c r="BZ32" s="1302"/>
      <c r="CA32" s="1302"/>
      <c r="CB32" s="1302"/>
      <c r="CC32" s="1302"/>
      <c r="CD32" s="1302"/>
      <c r="CE32" s="1302"/>
      <c r="CF32" s="1302"/>
      <c r="CG32" s="1302"/>
      <c r="CH32" s="1302"/>
      <c r="CI32" s="1302"/>
      <c r="CJ32" s="1302"/>
      <c r="CK32" s="1302"/>
      <c r="CL32" s="1302"/>
      <c r="CM32" s="1302"/>
      <c r="CN32" s="1302"/>
      <c r="CO32" s="1302"/>
      <c r="CP32" s="1302"/>
      <c r="CQ32" s="1302"/>
      <c r="CR32" s="1302"/>
      <c r="CS32" s="1302"/>
      <c r="CT32" s="1302"/>
      <c r="CU32" s="1302"/>
      <c r="CV32" s="1302"/>
      <c r="CW32" s="1302"/>
      <c r="CX32" s="1302"/>
      <c r="CY32" s="1302"/>
      <c r="CZ32" s="1302"/>
      <c r="DA32" s="1302"/>
      <c r="DB32" s="1302"/>
      <c r="DC32" s="1302"/>
      <c r="DD32" s="1302"/>
      <c r="DE32" s="1302"/>
      <c r="DF32" s="1302"/>
      <c r="DG32" s="1302"/>
      <c r="DH32" s="1302"/>
      <c r="DI32" s="1302"/>
      <c r="DJ32" s="1302"/>
      <c r="DK32" s="1302"/>
      <c r="DL32" s="1302"/>
      <c r="DM32" s="1302"/>
      <c r="DN32" s="1302"/>
      <c r="DO32" s="1302"/>
      <c r="DP32" s="1302"/>
      <c r="DQ32" s="1302"/>
      <c r="DR32" s="1302"/>
      <c r="DS32" s="1302"/>
      <c r="DT32" s="1302"/>
      <c r="DU32" s="1302"/>
      <c r="DV32" s="1302"/>
      <c r="DW32" s="1302"/>
      <c r="DX32" s="1302"/>
      <c r="DY32" s="1302"/>
      <c r="DZ32" s="1302"/>
      <c r="EA32" s="1302"/>
      <c r="EB32" s="1302"/>
      <c r="EC32" s="1302"/>
      <c r="ED32" s="1302"/>
      <c r="EE32" s="1302"/>
      <c r="EF32" s="1302"/>
      <c r="EG32" s="1302"/>
      <c r="EH32" s="1302"/>
      <c r="EI32" s="1302"/>
      <c r="EJ32" s="1302"/>
      <c r="EK32" s="1302"/>
      <c r="EL32" s="1302"/>
      <c r="EM32" s="1302"/>
      <c r="EN32" s="1302"/>
      <c r="EO32" s="1302"/>
      <c r="EP32" s="1302"/>
      <c r="EQ32" s="1302"/>
      <c r="ER32" s="1302"/>
      <c r="ES32" s="1302"/>
      <c r="ET32" s="1302"/>
      <c r="EU32" s="1302"/>
      <c r="EV32" s="1302"/>
      <c r="EW32" s="1302"/>
      <c r="EX32" s="1302"/>
      <c r="EY32" s="1302"/>
      <c r="EZ32" s="1302"/>
      <c r="FA32" s="1302"/>
      <c r="FB32" s="1302"/>
      <c r="FC32" s="1302"/>
      <c r="FD32" s="1302"/>
      <c r="FE32" s="1302"/>
      <c r="FF32" s="1302"/>
      <c r="FG32" s="1302"/>
      <c r="FH32" s="1302"/>
      <c r="FI32" s="1302"/>
      <c r="FJ32" s="1302"/>
      <c r="FK32" s="1302"/>
      <c r="FL32" s="1302"/>
      <c r="FM32" s="1302"/>
      <c r="FN32" s="1302"/>
      <c r="FO32" s="1302"/>
      <c r="FP32" s="1302"/>
      <c r="FQ32" s="1302"/>
      <c r="FR32" s="1302"/>
      <c r="FS32" s="1302"/>
      <c r="FT32" s="1302"/>
      <c r="FU32" s="1302"/>
      <c r="FV32" s="1302"/>
      <c r="FW32" s="1302"/>
      <c r="FX32" s="1302"/>
      <c r="FY32" s="1302"/>
      <c r="FZ32" s="1302"/>
      <c r="GA32" s="1302"/>
      <c r="GB32" s="1302"/>
      <c r="GC32" s="1302"/>
      <c r="GD32" s="1302"/>
      <c r="GE32" s="1302"/>
      <c r="GF32" s="1302"/>
      <c r="GG32" s="1302"/>
      <c r="GH32" s="1302"/>
      <c r="GI32" s="1302"/>
      <c r="GJ32" s="1302"/>
      <c r="GK32" s="1302"/>
      <c r="GL32" s="1302"/>
      <c r="GM32" s="1302"/>
      <c r="GN32" s="1302"/>
      <c r="GO32" s="1302"/>
      <c r="GP32" s="1302"/>
      <c r="GQ32" s="1302"/>
      <c r="GR32" s="1302"/>
      <c r="GS32" s="1302"/>
      <c r="GT32" s="1302"/>
      <c r="GU32" s="1302"/>
      <c r="GV32" s="1302"/>
      <c r="GW32" s="1302"/>
      <c r="GX32" s="1302"/>
      <c r="GY32" s="1302"/>
      <c r="GZ32" s="1302"/>
      <c r="HA32" s="1302"/>
      <c r="HB32" s="1302"/>
      <c r="HC32" s="1302"/>
      <c r="HD32" s="1302"/>
      <c r="HE32" s="1302"/>
      <c r="HF32" s="1302"/>
      <c r="HG32" s="1302"/>
      <c r="HH32" s="1302"/>
      <c r="HI32" s="1302"/>
      <c r="HJ32" s="1302"/>
      <c r="HK32" s="1302"/>
      <c r="HL32" s="1302"/>
      <c r="HM32" s="1302"/>
      <c r="HN32" s="1302"/>
      <c r="HO32" s="1302"/>
      <c r="HP32" s="1302"/>
      <c r="HQ32" s="1302"/>
      <c r="HR32" s="1302"/>
      <c r="HS32" s="1302"/>
      <c r="HT32" s="1302"/>
      <c r="HU32" s="1302"/>
      <c r="HV32" s="1302"/>
      <c r="HW32" s="1302"/>
      <c r="HX32" s="1302"/>
      <c r="HY32" s="1302"/>
      <c r="HZ32" s="1302"/>
      <c r="IA32" s="1302"/>
      <c r="IB32" s="1302"/>
      <c r="IC32" s="1302"/>
      <c r="ID32" s="1302"/>
      <c r="IE32" s="1302"/>
      <c r="IF32" s="1302"/>
      <c r="IG32" s="1302"/>
      <c r="IH32" s="1302"/>
      <c r="II32" s="1302"/>
      <c r="IJ32" s="1302"/>
      <c r="IK32" s="1302"/>
      <c r="IL32" s="1302"/>
      <c r="IM32" s="1302"/>
      <c r="IN32" s="1302"/>
      <c r="IO32" s="1302"/>
      <c r="IP32" s="1302"/>
      <c r="IQ32" s="1302"/>
      <c r="IR32" s="1302"/>
      <c r="IS32" s="1302"/>
      <c r="IT32" s="1302"/>
      <c r="IU32" s="1302"/>
      <c r="IV32" s="1302"/>
    </row>
    <row r="33" spans="1:256" x14ac:dyDescent="0.25">
      <c r="A33" s="1262">
        <v>90</v>
      </c>
      <c r="B33" s="1274" t="s">
        <v>145</v>
      </c>
      <c r="C33" s="1287" t="s">
        <v>2256</v>
      </c>
      <c r="D33" s="1273">
        <v>0.13</v>
      </c>
      <c r="E33" s="1262" t="s">
        <v>64</v>
      </c>
      <c r="F33" s="1270">
        <v>1</v>
      </c>
      <c r="G33" s="1262"/>
      <c r="H33" s="1262"/>
      <c r="I33" s="1273">
        <f t="shared" si="1"/>
        <v>0.13</v>
      </c>
      <c r="J33" s="1260"/>
      <c r="K33" s="1260"/>
      <c r="L33" s="1260"/>
      <c r="M33" s="1260"/>
      <c r="N33" s="1260"/>
      <c r="O33" s="1271"/>
      <c r="P33" s="1302"/>
      <c r="Q33" s="1302"/>
      <c r="R33" s="1302"/>
      <c r="S33" s="1302"/>
      <c r="T33" s="1302"/>
      <c r="U33" s="1302"/>
      <c r="V33" s="1302"/>
      <c r="W33" s="1302"/>
      <c r="X33" s="1302"/>
      <c r="Y33" s="1302"/>
      <c r="Z33" s="1302"/>
      <c r="AA33" s="1302"/>
      <c r="AB33" s="1302"/>
      <c r="AC33" s="1302"/>
      <c r="AD33" s="1302"/>
      <c r="AE33" s="1302"/>
      <c r="AF33" s="1302"/>
      <c r="AG33" s="1302"/>
      <c r="AH33" s="1302"/>
      <c r="AI33" s="1302"/>
      <c r="AJ33" s="1302"/>
      <c r="AK33" s="1302"/>
      <c r="AL33" s="1302"/>
      <c r="AM33" s="1302"/>
      <c r="AN33" s="1302"/>
      <c r="AO33" s="1302"/>
      <c r="AP33" s="1302"/>
      <c r="AQ33" s="1302"/>
      <c r="AR33" s="1302"/>
      <c r="AS33" s="1302"/>
      <c r="AT33" s="1302"/>
      <c r="AU33" s="1302"/>
      <c r="AV33" s="1302"/>
      <c r="AW33" s="1302"/>
      <c r="AX33" s="1302"/>
      <c r="AY33" s="1302"/>
      <c r="AZ33" s="1302"/>
      <c r="BA33" s="1302"/>
      <c r="BB33" s="1302"/>
      <c r="BC33" s="1302"/>
      <c r="BD33" s="1302"/>
      <c r="BE33" s="1302"/>
      <c r="BF33" s="1302"/>
      <c r="BG33" s="1302"/>
      <c r="BH33" s="1302"/>
      <c r="BI33" s="1302"/>
      <c r="BJ33" s="1302"/>
      <c r="BK33" s="1302"/>
      <c r="BL33" s="1302"/>
      <c r="BM33" s="1302"/>
      <c r="BN33" s="1302"/>
      <c r="BO33" s="1302"/>
      <c r="BP33" s="1302"/>
      <c r="BQ33" s="1302"/>
      <c r="BR33" s="1302"/>
      <c r="BS33" s="1302"/>
      <c r="BT33" s="1302"/>
      <c r="BU33" s="1302"/>
      <c r="BV33" s="1302"/>
      <c r="BW33" s="1302"/>
      <c r="BX33" s="1302"/>
      <c r="BY33" s="1302"/>
      <c r="BZ33" s="1302"/>
      <c r="CA33" s="1302"/>
      <c r="CB33" s="1302"/>
      <c r="CC33" s="1302"/>
      <c r="CD33" s="1302"/>
      <c r="CE33" s="1302"/>
      <c r="CF33" s="1302"/>
      <c r="CG33" s="1302"/>
      <c r="CH33" s="1302"/>
      <c r="CI33" s="1302"/>
      <c r="CJ33" s="1302"/>
      <c r="CK33" s="1302"/>
      <c r="CL33" s="1302"/>
      <c r="CM33" s="1302"/>
      <c r="CN33" s="1302"/>
      <c r="CO33" s="1302"/>
      <c r="CP33" s="1302"/>
      <c r="CQ33" s="1302"/>
      <c r="CR33" s="1302"/>
      <c r="CS33" s="1302"/>
      <c r="CT33" s="1302"/>
      <c r="CU33" s="1302"/>
      <c r="CV33" s="1302"/>
      <c r="CW33" s="1302"/>
      <c r="CX33" s="1302"/>
      <c r="CY33" s="1302"/>
      <c r="CZ33" s="1302"/>
      <c r="DA33" s="1302"/>
      <c r="DB33" s="1302"/>
      <c r="DC33" s="1302"/>
      <c r="DD33" s="1302"/>
      <c r="DE33" s="1302"/>
      <c r="DF33" s="1302"/>
      <c r="DG33" s="1302"/>
      <c r="DH33" s="1302"/>
      <c r="DI33" s="1302"/>
      <c r="DJ33" s="1302"/>
      <c r="DK33" s="1302"/>
      <c r="DL33" s="1302"/>
      <c r="DM33" s="1302"/>
      <c r="DN33" s="1302"/>
      <c r="DO33" s="1302"/>
      <c r="DP33" s="1302"/>
      <c r="DQ33" s="1302"/>
      <c r="DR33" s="1302"/>
      <c r="DS33" s="1302"/>
      <c r="DT33" s="1302"/>
      <c r="DU33" s="1302"/>
      <c r="DV33" s="1302"/>
      <c r="DW33" s="1302"/>
      <c r="DX33" s="1302"/>
      <c r="DY33" s="1302"/>
      <c r="DZ33" s="1302"/>
      <c r="EA33" s="1302"/>
      <c r="EB33" s="1302"/>
      <c r="EC33" s="1302"/>
      <c r="ED33" s="1302"/>
      <c r="EE33" s="1302"/>
      <c r="EF33" s="1302"/>
      <c r="EG33" s="1302"/>
      <c r="EH33" s="1302"/>
      <c r="EI33" s="1302"/>
      <c r="EJ33" s="1302"/>
      <c r="EK33" s="1302"/>
      <c r="EL33" s="1302"/>
      <c r="EM33" s="1302"/>
      <c r="EN33" s="1302"/>
      <c r="EO33" s="1302"/>
      <c r="EP33" s="1302"/>
      <c r="EQ33" s="1302"/>
      <c r="ER33" s="1302"/>
      <c r="ES33" s="1302"/>
      <c r="ET33" s="1302"/>
      <c r="EU33" s="1302"/>
      <c r="EV33" s="1302"/>
      <c r="EW33" s="1302"/>
      <c r="EX33" s="1302"/>
      <c r="EY33" s="1302"/>
      <c r="EZ33" s="1302"/>
      <c r="FA33" s="1302"/>
      <c r="FB33" s="1302"/>
      <c r="FC33" s="1302"/>
      <c r="FD33" s="1302"/>
      <c r="FE33" s="1302"/>
      <c r="FF33" s="1302"/>
      <c r="FG33" s="1302"/>
      <c r="FH33" s="1302"/>
      <c r="FI33" s="1302"/>
      <c r="FJ33" s="1302"/>
      <c r="FK33" s="1302"/>
      <c r="FL33" s="1302"/>
      <c r="FM33" s="1302"/>
      <c r="FN33" s="1302"/>
      <c r="FO33" s="1302"/>
      <c r="FP33" s="1302"/>
      <c r="FQ33" s="1302"/>
      <c r="FR33" s="1302"/>
      <c r="FS33" s="1302"/>
      <c r="FT33" s="1302"/>
      <c r="FU33" s="1302"/>
      <c r="FV33" s="1302"/>
      <c r="FW33" s="1302"/>
      <c r="FX33" s="1302"/>
      <c r="FY33" s="1302"/>
      <c r="FZ33" s="1302"/>
      <c r="GA33" s="1302"/>
      <c r="GB33" s="1302"/>
      <c r="GC33" s="1302"/>
      <c r="GD33" s="1302"/>
      <c r="GE33" s="1302"/>
      <c r="GF33" s="1302"/>
      <c r="GG33" s="1302"/>
      <c r="GH33" s="1302"/>
      <c r="GI33" s="1302"/>
      <c r="GJ33" s="1302"/>
      <c r="GK33" s="1302"/>
      <c r="GL33" s="1302"/>
      <c r="GM33" s="1302"/>
      <c r="GN33" s="1302"/>
      <c r="GO33" s="1302"/>
      <c r="GP33" s="1302"/>
      <c r="GQ33" s="1302"/>
      <c r="GR33" s="1302"/>
      <c r="GS33" s="1302"/>
      <c r="GT33" s="1302"/>
      <c r="GU33" s="1302"/>
      <c r="GV33" s="1302"/>
      <c r="GW33" s="1302"/>
      <c r="GX33" s="1302"/>
      <c r="GY33" s="1302"/>
      <c r="GZ33" s="1302"/>
      <c r="HA33" s="1302"/>
      <c r="HB33" s="1302"/>
      <c r="HC33" s="1302"/>
      <c r="HD33" s="1302"/>
      <c r="HE33" s="1302"/>
      <c r="HF33" s="1302"/>
      <c r="HG33" s="1302"/>
      <c r="HH33" s="1302"/>
      <c r="HI33" s="1302"/>
      <c r="HJ33" s="1302"/>
      <c r="HK33" s="1302"/>
      <c r="HL33" s="1302"/>
      <c r="HM33" s="1302"/>
      <c r="HN33" s="1302"/>
      <c r="HO33" s="1302"/>
      <c r="HP33" s="1302"/>
      <c r="HQ33" s="1302"/>
      <c r="HR33" s="1302"/>
      <c r="HS33" s="1302"/>
      <c r="HT33" s="1302"/>
      <c r="HU33" s="1302"/>
      <c r="HV33" s="1302"/>
      <c r="HW33" s="1302"/>
      <c r="HX33" s="1302"/>
      <c r="HY33" s="1302"/>
      <c r="HZ33" s="1302"/>
      <c r="IA33" s="1302"/>
      <c r="IB33" s="1302"/>
      <c r="IC33" s="1302"/>
      <c r="ID33" s="1302"/>
      <c r="IE33" s="1302"/>
      <c r="IF33" s="1302"/>
      <c r="IG33" s="1302"/>
      <c r="IH33" s="1302"/>
      <c r="II33" s="1302"/>
      <c r="IJ33" s="1302"/>
      <c r="IK33" s="1302"/>
      <c r="IL33" s="1302"/>
      <c r="IM33" s="1302"/>
      <c r="IN33" s="1302"/>
      <c r="IO33" s="1302"/>
      <c r="IP33" s="1302"/>
      <c r="IQ33" s="1302"/>
      <c r="IR33" s="1302"/>
      <c r="IS33" s="1302"/>
      <c r="IT33" s="1302"/>
      <c r="IU33" s="1302"/>
      <c r="IV33" s="1302"/>
    </row>
    <row r="34" spans="1:256" ht="30" x14ac:dyDescent="0.25">
      <c r="A34" s="1262">
        <v>100</v>
      </c>
      <c r="B34" s="1274" t="s">
        <v>1403</v>
      </c>
      <c r="C34" s="1287" t="s">
        <v>2255</v>
      </c>
      <c r="D34" s="1273">
        <v>0.25</v>
      </c>
      <c r="E34" s="1274" t="s">
        <v>64</v>
      </c>
      <c r="F34" s="1270">
        <v>6</v>
      </c>
      <c r="G34" s="1262"/>
      <c r="H34" s="1262"/>
      <c r="I34" s="1273">
        <f t="shared" si="1"/>
        <v>1.5</v>
      </c>
      <c r="J34" s="1260"/>
      <c r="K34" s="1260"/>
      <c r="L34" s="1260"/>
      <c r="M34" s="1260"/>
      <c r="N34" s="1260"/>
      <c r="O34" s="1271"/>
      <c r="P34" s="1302"/>
      <c r="Q34" s="1302"/>
      <c r="R34" s="1302"/>
      <c r="S34" s="1302"/>
      <c r="T34" s="1302"/>
      <c r="U34" s="1302"/>
      <c r="V34" s="1302"/>
      <c r="W34" s="1302"/>
      <c r="X34" s="1302"/>
      <c r="Y34" s="1302"/>
      <c r="Z34" s="1302"/>
      <c r="AA34" s="1302"/>
      <c r="AB34" s="1302"/>
      <c r="AC34" s="1302"/>
      <c r="AD34" s="1302"/>
      <c r="AE34" s="1302"/>
      <c r="AF34" s="1302"/>
      <c r="AG34" s="1302"/>
      <c r="AH34" s="1302"/>
      <c r="AI34" s="1302"/>
      <c r="AJ34" s="1302"/>
      <c r="AK34" s="1302"/>
      <c r="AL34" s="1302"/>
      <c r="AM34" s="1302"/>
      <c r="AN34" s="1302"/>
      <c r="AO34" s="1302"/>
      <c r="AP34" s="1302"/>
      <c r="AQ34" s="1302"/>
      <c r="AR34" s="1302"/>
      <c r="AS34" s="1302"/>
      <c r="AT34" s="1302"/>
      <c r="AU34" s="1302"/>
      <c r="AV34" s="1302"/>
      <c r="AW34" s="1302"/>
      <c r="AX34" s="1302"/>
      <c r="AY34" s="1302"/>
      <c r="AZ34" s="1302"/>
      <c r="BA34" s="1302"/>
      <c r="BB34" s="1302"/>
      <c r="BC34" s="1302"/>
      <c r="BD34" s="1302"/>
      <c r="BE34" s="1302"/>
      <c r="BF34" s="1302"/>
      <c r="BG34" s="1302"/>
      <c r="BH34" s="1302"/>
      <c r="BI34" s="1302"/>
      <c r="BJ34" s="1302"/>
      <c r="BK34" s="1302"/>
      <c r="BL34" s="1302"/>
      <c r="BM34" s="1302"/>
      <c r="BN34" s="1302"/>
      <c r="BO34" s="1302"/>
      <c r="BP34" s="1302"/>
      <c r="BQ34" s="1302"/>
      <c r="BR34" s="1302"/>
      <c r="BS34" s="1302"/>
      <c r="BT34" s="1302"/>
      <c r="BU34" s="1302"/>
      <c r="BV34" s="1302"/>
      <c r="BW34" s="1302"/>
      <c r="BX34" s="1302"/>
      <c r="BY34" s="1302"/>
      <c r="BZ34" s="1302"/>
      <c r="CA34" s="1302"/>
      <c r="CB34" s="1302"/>
      <c r="CC34" s="1302"/>
      <c r="CD34" s="1302"/>
      <c r="CE34" s="1302"/>
      <c r="CF34" s="1302"/>
      <c r="CG34" s="1302"/>
      <c r="CH34" s="1302"/>
      <c r="CI34" s="1302"/>
      <c r="CJ34" s="1302"/>
      <c r="CK34" s="1302"/>
      <c r="CL34" s="1302"/>
      <c r="CM34" s="1302"/>
      <c r="CN34" s="1302"/>
      <c r="CO34" s="1302"/>
      <c r="CP34" s="1302"/>
      <c r="CQ34" s="1302"/>
      <c r="CR34" s="1302"/>
      <c r="CS34" s="1302"/>
      <c r="CT34" s="1302"/>
      <c r="CU34" s="1302"/>
      <c r="CV34" s="1302"/>
      <c r="CW34" s="1302"/>
      <c r="CX34" s="1302"/>
      <c r="CY34" s="1302"/>
      <c r="CZ34" s="1302"/>
      <c r="DA34" s="1302"/>
      <c r="DB34" s="1302"/>
      <c r="DC34" s="1302"/>
      <c r="DD34" s="1302"/>
      <c r="DE34" s="1302"/>
      <c r="DF34" s="1302"/>
      <c r="DG34" s="1302"/>
      <c r="DH34" s="1302"/>
      <c r="DI34" s="1302"/>
      <c r="DJ34" s="1302"/>
      <c r="DK34" s="1302"/>
      <c r="DL34" s="1302"/>
      <c r="DM34" s="1302"/>
      <c r="DN34" s="1302"/>
      <c r="DO34" s="1302"/>
      <c r="DP34" s="1302"/>
      <c r="DQ34" s="1302"/>
      <c r="DR34" s="1302"/>
      <c r="DS34" s="1302"/>
      <c r="DT34" s="1302"/>
      <c r="DU34" s="1302"/>
      <c r="DV34" s="1302"/>
      <c r="DW34" s="1302"/>
      <c r="DX34" s="1302"/>
      <c r="DY34" s="1302"/>
      <c r="DZ34" s="1302"/>
      <c r="EA34" s="1302"/>
      <c r="EB34" s="1302"/>
      <c r="EC34" s="1302"/>
      <c r="ED34" s="1302"/>
      <c r="EE34" s="1302"/>
      <c r="EF34" s="1302"/>
      <c r="EG34" s="1302"/>
      <c r="EH34" s="1302"/>
      <c r="EI34" s="1302"/>
      <c r="EJ34" s="1302"/>
      <c r="EK34" s="1302"/>
      <c r="EL34" s="1302"/>
      <c r="EM34" s="1302"/>
      <c r="EN34" s="1302"/>
      <c r="EO34" s="1302"/>
      <c r="EP34" s="1302"/>
      <c r="EQ34" s="1302"/>
      <c r="ER34" s="1302"/>
      <c r="ES34" s="1302"/>
      <c r="ET34" s="1302"/>
      <c r="EU34" s="1302"/>
      <c r="EV34" s="1302"/>
      <c r="EW34" s="1302"/>
      <c r="EX34" s="1302"/>
      <c r="EY34" s="1302"/>
      <c r="EZ34" s="1302"/>
      <c r="FA34" s="1302"/>
      <c r="FB34" s="1302"/>
      <c r="FC34" s="1302"/>
      <c r="FD34" s="1302"/>
      <c r="FE34" s="1302"/>
      <c r="FF34" s="1302"/>
      <c r="FG34" s="1302"/>
      <c r="FH34" s="1302"/>
      <c r="FI34" s="1302"/>
      <c r="FJ34" s="1302"/>
      <c r="FK34" s="1302"/>
      <c r="FL34" s="1302"/>
      <c r="FM34" s="1302"/>
      <c r="FN34" s="1302"/>
      <c r="FO34" s="1302"/>
      <c r="FP34" s="1302"/>
      <c r="FQ34" s="1302"/>
      <c r="FR34" s="1302"/>
      <c r="FS34" s="1302"/>
      <c r="FT34" s="1302"/>
      <c r="FU34" s="1302"/>
      <c r="FV34" s="1302"/>
      <c r="FW34" s="1302"/>
      <c r="FX34" s="1302"/>
      <c r="FY34" s="1302"/>
      <c r="FZ34" s="1302"/>
      <c r="GA34" s="1302"/>
      <c r="GB34" s="1302"/>
      <c r="GC34" s="1302"/>
      <c r="GD34" s="1302"/>
      <c r="GE34" s="1302"/>
      <c r="GF34" s="1302"/>
      <c r="GG34" s="1302"/>
      <c r="GH34" s="1302"/>
      <c r="GI34" s="1302"/>
      <c r="GJ34" s="1302"/>
      <c r="GK34" s="1302"/>
      <c r="GL34" s="1302"/>
      <c r="GM34" s="1302"/>
      <c r="GN34" s="1302"/>
      <c r="GO34" s="1302"/>
      <c r="GP34" s="1302"/>
      <c r="GQ34" s="1302"/>
      <c r="GR34" s="1302"/>
      <c r="GS34" s="1302"/>
      <c r="GT34" s="1302"/>
      <c r="GU34" s="1302"/>
      <c r="GV34" s="1302"/>
      <c r="GW34" s="1302"/>
      <c r="GX34" s="1302"/>
      <c r="GY34" s="1302"/>
      <c r="GZ34" s="1302"/>
      <c r="HA34" s="1302"/>
      <c r="HB34" s="1302"/>
      <c r="HC34" s="1302"/>
      <c r="HD34" s="1302"/>
      <c r="HE34" s="1302"/>
      <c r="HF34" s="1302"/>
      <c r="HG34" s="1302"/>
      <c r="HH34" s="1302"/>
      <c r="HI34" s="1302"/>
      <c r="HJ34" s="1302"/>
      <c r="HK34" s="1302"/>
      <c r="HL34" s="1302"/>
      <c r="HM34" s="1302"/>
      <c r="HN34" s="1302"/>
      <c r="HO34" s="1302"/>
      <c r="HP34" s="1302"/>
      <c r="HQ34" s="1302"/>
      <c r="HR34" s="1302"/>
      <c r="HS34" s="1302"/>
      <c r="HT34" s="1302"/>
      <c r="HU34" s="1302"/>
      <c r="HV34" s="1302"/>
      <c r="HW34" s="1302"/>
      <c r="HX34" s="1302"/>
      <c r="HY34" s="1302"/>
      <c r="HZ34" s="1302"/>
      <c r="IA34" s="1302"/>
      <c r="IB34" s="1302"/>
      <c r="IC34" s="1302"/>
      <c r="ID34" s="1302"/>
      <c r="IE34" s="1302"/>
      <c r="IF34" s="1302"/>
      <c r="IG34" s="1302"/>
      <c r="IH34" s="1302"/>
      <c r="II34" s="1302"/>
      <c r="IJ34" s="1302"/>
      <c r="IK34" s="1302"/>
      <c r="IL34" s="1302"/>
      <c r="IM34" s="1302"/>
      <c r="IN34" s="1302"/>
      <c r="IO34" s="1302"/>
      <c r="IP34" s="1302"/>
      <c r="IQ34" s="1302"/>
      <c r="IR34" s="1302"/>
      <c r="IS34" s="1302"/>
      <c r="IT34" s="1302"/>
      <c r="IU34" s="1302"/>
      <c r="IV34" s="1302"/>
    </row>
    <row r="35" spans="1:256" x14ac:dyDescent="0.25">
      <c r="A35" s="1262">
        <v>110</v>
      </c>
      <c r="B35" s="1274" t="s">
        <v>87</v>
      </c>
      <c r="C35" s="1287" t="s">
        <v>2254</v>
      </c>
      <c r="D35" s="1273">
        <v>0.06</v>
      </c>
      <c r="E35" s="1262" t="s">
        <v>64</v>
      </c>
      <c r="F35" s="1270">
        <v>1</v>
      </c>
      <c r="G35" s="1262"/>
      <c r="H35" s="1262"/>
      <c r="I35" s="1273">
        <f t="shared" si="1"/>
        <v>0.06</v>
      </c>
      <c r="J35" s="1260"/>
      <c r="K35" s="1260"/>
      <c r="L35" s="1260"/>
      <c r="M35" s="1260"/>
      <c r="N35" s="1260"/>
      <c r="O35" s="1271"/>
      <c r="P35" s="1302"/>
      <c r="Q35" s="1302"/>
      <c r="R35" s="1302"/>
      <c r="S35" s="1302"/>
      <c r="T35" s="1302"/>
      <c r="U35" s="1302"/>
      <c r="V35" s="1302"/>
      <c r="W35" s="1302"/>
      <c r="X35" s="1302"/>
      <c r="Y35" s="1302"/>
      <c r="Z35" s="1302"/>
      <c r="AA35" s="1302"/>
      <c r="AB35" s="1302"/>
      <c r="AC35" s="1302"/>
      <c r="AD35" s="1302"/>
      <c r="AE35" s="1302"/>
      <c r="AF35" s="1302"/>
      <c r="AG35" s="1302"/>
      <c r="AH35" s="1302"/>
      <c r="AI35" s="1302"/>
      <c r="AJ35" s="1302"/>
      <c r="AK35" s="1302"/>
      <c r="AL35" s="1302"/>
      <c r="AM35" s="1302"/>
      <c r="AN35" s="1302"/>
      <c r="AO35" s="1302"/>
      <c r="AP35" s="1302"/>
      <c r="AQ35" s="1302"/>
      <c r="AR35" s="1302"/>
      <c r="AS35" s="1302"/>
      <c r="AT35" s="1302"/>
      <c r="AU35" s="1302"/>
      <c r="AV35" s="1302"/>
      <c r="AW35" s="1302"/>
      <c r="AX35" s="1302"/>
      <c r="AY35" s="1302"/>
      <c r="AZ35" s="1302"/>
      <c r="BA35" s="1302"/>
      <c r="BB35" s="1302"/>
      <c r="BC35" s="1302"/>
      <c r="BD35" s="1302"/>
      <c r="BE35" s="1302"/>
      <c r="BF35" s="1302"/>
      <c r="BG35" s="1302"/>
      <c r="BH35" s="1302"/>
      <c r="BI35" s="1302"/>
      <c r="BJ35" s="1302"/>
      <c r="BK35" s="1302"/>
      <c r="BL35" s="1302"/>
      <c r="BM35" s="1302"/>
      <c r="BN35" s="1302"/>
      <c r="BO35" s="1302"/>
      <c r="BP35" s="1302"/>
      <c r="BQ35" s="1302"/>
      <c r="BR35" s="1302"/>
      <c r="BS35" s="1302"/>
      <c r="BT35" s="1302"/>
      <c r="BU35" s="1302"/>
      <c r="BV35" s="1302"/>
      <c r="BW35" s="1302"/>
      <c r="BX35" s="1302"/>
      <c r="BY35" s="1302"/>
      <c r="BZ35" s="1302"/>
      <c r="CA35" s="1302"/>
      <c r="CB35" s="1302"/>
      <c r="CC35" s="1302"/>
      <c r="CD35" s="1302"/>
      <c r="CE35" s="1302"/>
      <c r="CF35" s="1302"/>
      <c r="CG35" s="1302"/>
      <c r="CH35" s="1302"/>
      <c r="CI35" s="1302"/>
      <c r="CJ35" s="1302"/>
      <c r="CK35" s="1302"/>
      <c r="CL35" s="1302"/>
      <c r="CM35" s="1302"/>
      <c r="CN35" s="1302"/>
      <c r="CO35" s="1302"/>
      <c r="CP35" s="1302"/>
      <c r="CQ35" s="1302"/>
      <c r="CR35" s="1302"/>
      <c r="CS35" s="1302"/>
      <c r="CT35" s="1302"/>
      <c r="CU35" s="1302"/>
      <c r="CV35" s="1302"/>
      <c r="CW35" s="1302"/>
      <c r="CX35" s="1302"/>
      <c r="CY35" s="1302"/>
      <c r="CZ35" s="1302"/>
      <c r="DA35" s="1302"/>
      <c r="DB35" s="1302"/>
      <c r="DC35" s="1302"/>
      <c r="DD35" s="1302"/>
      <c r="DE35" s="1302"/>
      <c r="DF35" s="1302"/>
      <c r="DG35" s="1302"/>
      <c r="DH35" s="1302"/>
      <c r="DI35" s="1302"/>
      <c r="DJ35" s="1302"/>
      <c r="DK35" s="1302"/>
      <c r="DL35" s="1302"/>
      <c r="DM35" s="1302"/>
      <c r="DN35" s="1302"/>
      <c r="DO35" s="1302"/>
      <c r="DP35" s="1302"/>
      <c r="DQ35" s="1302"/>
      <c r="DR35" s="1302"/>
      <c r="DS35" s="1302"/>
      <c r="DT35" s="1302"/>
      <c r="DU35" s="1302"/>
      <c r="DV35" s="1302"/>
      <c r="DW35" s="1302"/>
      <c r="DX35" s="1302"/>
      <c r="DY35" s="1302"/>
      <c r="DZ35" s="1302"/>
      <c r="EA35" s="1302"/>
      <c r="EB35" s="1302"/>
      <c r="EC35" s="1302"/>
      <c r="ED35" s="1302"/>
      <c r="EE35" s="1302"/>
      <c r="EF35" s="1302"/>
      <c r="EG35" s="1302"/>
      <c r="EH35" s="1302"/>
      <c r="EI35" s="1302"/>
      <c r="EJ35" s="1302"/>
      <c r="EK35" s="1302"/>
      <c r="EL35" s="1302"/>
      <c r="EM35" s="1302"/>
      <c r="EN35" s="1302"/>
      <c r="EO35" s="1302"/>
      <c r="EP35" s="1302"/>
      <c r="EQ35" s="1302"/>
      <c r="ER35" s="1302"/>
      <c r="ES35" s="1302"/>
      <c r="ET35" s="1302"/>
      <c r="EU35" s="1302"/>
      <c r="EV35" s="1302"/>
      <c r="EW35" s="1302"/>
      <c r="EX35" s="1302"/>
      <c r="EY35" s="1302"/>
      <c r="EZ35" s="1302"/>
      <c r="FA35" s="1302"/>
      <c r="FB35" s="1302"/>
      <c r="FC35" s="1302"/>
      <c r="FD35" s="1302"/>
      <c r="FE35" s="1302"/>
      <c r="FF35" s="1302"/>
      <c r="FG35" s="1302"/>
      <c r="FH35" s="1302"/>
      <c r="FI35" s="1302"/>
      <c r="FJ35" s="1302"/>
      <c r="FK35" s="1302"/>
      <c r="FL35" s="1302"/>
      <c r="FM35" s="1302"/>
      <c r="FN35" s="1302"/>
      <c r="FO35" s="1302"/>
      <c r="FP35" s="1302"/>
      <c r="FQ35" s="1302"/>
      <c r="FR35" s="1302"/>
      <c r="FS35" s="1302"/>
      <c r="FT35" s="1302"/>
      <c r="FU35" s="1302"/>
      <c r="FV35" s="1302"/>
      <c r="FW35" s="1302"/>
      <c r="FX35" s="1302"/>
      <c r="FY35" s="1302"/>
      <c r="FZ35" s="1302"/>
      <c r="GA35" s="1302"/>
      <c r="GB35" s="1302"/>
      <c r="GC35" s="1302"/>
      <c r="GD35" s="1302"/>
      <c r="GE35" s="1302"/>
      <c r="GF35" s="1302"/>
      <c r="GG35" s="1302"/>
      <c r="GH35" s="1302"/>
      <c r="GI35" s="1302"/>
      <c r="GJ35" s="1302"/>
      <c r="GK35" s="1302"/>
      <c r="GL35" s="1302"/>
      <c r="GM35" s="1302"/>
      <c r="GN35" s="1302"/>
      <c r="GO35" s="1302"/>
      <c r="GP35" s="1302"/>
      <c r="GQ35" s="1302"/>
      <c r="GR35" s="1302"/>
      <c r="GS35" s="1302"/>
      <c r="GT35" s="1302"/>
      <c r="GU35" s="1302"/>
      <c r="GV35" s="1302"/>
      <c r="GW35" s="1302"/>
      <c r="GX35" s="1302"/>
      <c r="GY35" s="1302"/>
      <c r="GZ35" s="1302"/>
      <c r="HA35" s="1302"/>
      <c r="HB35" s="1302"/>
      <c r="HC35" s="1302"/>
      <c r="HD35" s="1302"/>
      <c r="HE35" s="1302"/>
      <c r="HF35" s="1302"/>
      <c r="HG35" s="1302"/>
      <c r="HH35" s="1302"/>
      <c r="HI35" s="1302"/>
      <c r="HJ35" s="1302"/>
      <c r="HK35" s="1302"/>
      <c r="HL35" s="1302"/>
      <c r="HM35" s="1302"/>
      <c r="HN35" s="1302"/>
      <c r="HO35" s="1302"/>
      <c r="HP35" s="1302"/>
      <c r="HQ35" s="1302"/>
      <c r="HR35" s="1302"/>
      <c r="HS35" s="1302"/>
      <c r="HT35" s="1302"/>
      <c r="HU35" s="1302"/>
      <c r="HV35" s="1302"/>
      <c r="HW35" s="1302"/>
      <c r="HX35" s="1302"/>
      <c r="HY35" s="1302"/>
      <c r="HZ35" s="1302"/>
      <c r="IA35" s="1302"/>
      <c r="IB35" s="1302"/>
      <c r="IC35" s="1302"/>
      <c r="ID35" s="1302"/>
      <c r="IE35" s="1302"/>
      <c r="IF35" s="1302"/>
      <c r="IG35" s="1302"/>
      <c r="IH35" s="1302"/>
      <c r="II35" s="1302"/>
      <c r="IJ35" s="1302"/>
      <c r="IK35" s="1302"/>
      <c r="IL35" s="1302"/>
      <c r="IM35" s="1302"/>
      <c r="IN35" s="1302"/>
      <c r="IO35" s="1302"/>
      <c r="IP35" s="1302"/>
      <c r="IQ35" s="1302"/>
      <c r="IR35" s="1302"/>
      <c r="IS35" s="1302"/>
      <c r="IT35" s="1302"/>
      <c r="IU35" s="1302"/>
      <c r="IV35" s="1302"/>
    </row>
    <row r="36" spans="1:256" s="1308" customFormat="1" x14ac:dyDescent="0.25">
      <c r="A36" s="1262">
        <v>120</v>
      </c>
      <c r="B36" s="1262" t="s">
        <v>1403</v>
      </c>
      <c r="C36" s="1287" t="s">
        <v>2253</v>
      </c>
      <c r="D36" s="1273">
        <v>0.25</v>
      </c>
      <c r="E36" s="1262" t="s">
        <v>64</v>
      </c>
      <c r="F36" s="1270">
        <v>4</v>
      </c>
      <c r="G36" s="1270"/>
      <c r="H36" s="1270"/>
      <c r="I36" s="1273">
        <f t="shared" si="1"/>
        <v>1</v>
      </c>
      <c r="J36" s="1260"/>
      <c r="K36" s="1260"/>
      <c r="L36" s="1260"/>
      <c r="M36" s="1260"/>
      <c r="N36" s="1260"/>
      <c r="O36" s="1269"/>
    </row>
    <row r="37" spans="1:256" ht="18.75" customHeight="1" x14ac:dyDescent="0.25">
      <c r="A37" s="1262">
        <v>130</v>
      </c>
      <c r="B37" s="1262" t="s">
        <v>961</v>
      </c>
      <c r="C37" s="1287" t="s">
        <v>2252</v>
      </c>
      <c r="D37" s="1273">
        <v>0.8</v>
      </c>
      <c r="E37" s="1274" t="s">
        <v>345</v>
      </c>
      <c r="F37" s="1270">
        <v>5</v>
      </c>
      <c r="G37" s="1270"/>
      <c r="H37" s="1270"/>
      <c r="I37" s="1273">
        <f t="shared" si="1"/>
        <v>4</v>
      </c>
      <c r="J37" s="1260"/>
      <c r="K37" s="1260"/>
      <c r="L37" s="1260"/>
      <c r="M37" s="1260"/>
      <c r="N37" s="1260"/>
      <c r="O37" s="1269"/>
    </row>
    <row r="38" spans="1:256" x14ac:dyDescent="0.25">
      <c r="A38" s="1259"/>
      <c r="B38" s="1256"/>
      <c r="C38" s="1256" t="s">
        <v>2197</v>
      </c>
      <c r="D38" s="1256"/>
      <c r="E38" s="1256"/>
      <c r="F38" s="1256"/>
      <c r="G38" s="1256"/>
      <c r="H38" s="1258" t="s">
        <v>58</v>
      </c>
      <c r="I38" s="1257">
        <f>SUM(I25:I37)</f>
        <v>20.346250000000001</v>
      </c>
      <c r="J38" s="1255"/>
      <c r="K38" s="1255"/>
      <c r="L38" s="1255"/>
      <c r="M38" s="1255"/>
      <c r="N38" s="1255"/>
      <c r="O38" s="1254"/>
    </row>
    <row r="39" spans="1:256" x14ac:dyDescent="0.25">
      <c r="A39" s="1264"/>
      <c r="B39" s="1255"/>
      <c r="C39" s="1255"/>
      <c r="D39" s="1255"/>
      <c r="E39" s="1255"/>
      <c r="F39" s="1255"/>
      <c r="G39" s="1255"/>
      <c r="H39" s="1255"/>
      <c r="I39" s="1255"/>
      <c r="J39" s="1255"/>
      <c r="K39" s="1255"/>
      <c r="L39" s="1255"/>
      <c r="M39" s="1255"/>
      <c r="N39" s="1255"/>
      <c r="O39" s="1254"/>
    </row>
    <row r="40" spans="1:256" x14ac:dyDescent="0.25">
      <c r="A40" s="1263" t="s">
        <v>67</v>
      </c>
      <c r="B40" s="1263" t="s">
        <v>82</v>
      </c>
      <c r="C40" s="1263" t="s">
        <v>66</v>
      </c>
      <c r="D40" s="1263" t="s">
        <v>65</v>
      </c>
      <c r="E40" s="1263" t="s">
        <v>81</v>
      </c>
      <c r="F40" s="1263" t="s">
        <v>80</v>
      </c>
      <c r="G40" s="1263" t="s">
        <v>79</v>
      </c>
      <c r="H40" s="1263" t="s">
        <v>78</v>
      </c>
      <c r="I40" s="1263" t="s">
        <v>40</v>
      </c>
      <c r="J40" s="1263" t="s">
        <v>58</v>
      </c>
      <c r="K40" s="1255"/>
      <c r="L40" s="1255"/>
      <c r="M40" s="1255"/>
      <c r="N40" s="1255"/>
      <c r="O40" s="1254"/>
    </row>
    <row r="41" spans="1:256" ht="30" x14ac:dyDescent="0.25">
      <c r="A41" s="1262">
        <v>10</v>
      </c>
      <c r="B41" s="1262" t="s">
        <v>2023</v>
      </c>
      <c r="C41" s="1287" t="s">
        <v>2251</v>
      </c>
      <c r="D41" s="1267">
        <v>0.03</v>
      </c>
      <c r="E41" s="1307">
        <v>3.8</v>
      </c>
      <c r="F41" s="1307" t="s">
        <v>68</v>
      </c>
      <c r="G41" s="1307"/>
      <c r="H41" s="1307"/>
      <c r="I41" s="1288">
        <f>F28+F30+F32+F34+F36</f>
        <v>40</v>
      </c>
      <c r="J41" s="1273">
        <f>I41*D41</f>
        <v>1.2</v>
      </c>
      <c r="K41" s="1255"/>
      <c r="L41" s="1255"/>
      <c r="M41" s="1255"/>
      <c r="N41" s="1255"/>
      <c r="O41" s="1254"/>
    </row>
    <row r="42" spans="1:256" x14ac:dyDescent="0.25">
      <c r="A42" s="1259"/>
      <c r="B42" s="1256"/>
      <c r="C42" s="1256"/>
      <c r="D42" s="1256"/>
      <c r="E42" s="1256"/>
      <c r="F42" s="1256"/>
      <c r="G42" s="1256"/>
      <c r="H42" s="1256"/>
      <c r="I42" s="1258" t="s">
        <v>58</v>
      </c>
      <c r="J42" s="1257">
        <f>SUM(J41:J41)</f>
        <v>1.2</v>
      </c>
      <c r="K42" s="1255"/>
      <c r="L42" s="1255"/>
      <c r="M42" s="1255"/>
      <c r="N42" s="1255"/>
      <c r="O42" s="1254"/>
    </row>
    <row r="43" spans="1:256" x14ac:dyDescent="0.25">
      <c r="A43" s="1264"/>
      <c r="B43" s="1255"/>
      <c r="C43" s="1255"/>
      <c r="D43" s="1255"/>
      <c r="E43" s="1255"/>
      <c r="F43" s="1255"/>
      <c r="G43" s="1255"/>
      <c r="H43" s="1255"/>
      <c r="I43" s="1255"/>
      <c r="J43" s="1255"/>
      <c r="K43" s="1255"/>
      <c r="L43" s="1255"/>
      <c r="M43" s="1255"/>
      <c r="N43" s="1255"/>
      <c r="O43" s="1254"/>
    </row>
    <row r="44" spans="1:256" x14ac:dyDescent="0.25">
      <c r="A44" s="1263" t="s">
        <v>67</v>
      </c>
      <c r="B44" s="1263" t="s">
        <v>13</v>
      </c>
      <c r="C44" s="1263" t="s">
        <v>66</v>
      </c>
      <c r="D44" s="1263" t="s">
        <v>65</v>
      </c>
      <c r="E44" s="1263" t="s">
        <v>64</v>
      </c>
      <c r="F44" s="1263" t="s">
        <v>40</v>
      </c>
      <c r="G44" s="1263" t="s">
        <v>63</v>
      </c>
      <c r="H44" s="1263" t="s">
        <v>62</v>
      </c>
      <c r="I44" s="1263" t="s">
        <v>58</v>
      </c>
      <c r="J44" s="1256"/>
      <c r="K44" s="1255"/>
      <c r="L44" s="1255"/>
      <c r="M44" s="1255"/>
      <c r="N44" s="1255"/>
      <c r="O44" s="1254"/>
    </row>
    <row r="45" spans="1:256" x14ac:dyDescent="0.25">
      <c r="A45" s="1262">
        <v>10</v>
      </c>
      <c r="B45" s="1262" t="s">
        <v>61</v>
      </c>
      <c r="C45" s="1262" t="s">
        <v>2021</v>
      </c>
      <c r="D45" s="1267">
        <v>500</v>
      </c>
      <c r="E45" s="1262" t="s">
        <v>59</v>
      </c>
      <c r="F45" s="1262">
        <v>52</v>
      </c>
      <c r="G45" s="1262">
        <v>3000</v>
      </c>
      <c r="H45" s="1262">
        <v>1</v>
      </c>
      <c r="I45" s="1273">
        <f>D45*F45/G45*H45</f>
        <v>8.6666666666666661</v>
      </c>
      <c r="J45" s="1256"/>
      <c r="K45" s="1255"/>
      <c r="L45" s="1255"/>
      <c r="M45" s="1255"/>
      <c r="N45" s="1255"/>
      <c r="O45" s="1254"/>
    </row>
    <row r="46" spans="1:256" x14ac:dyDescent="0.25">
      <c r="A46" s="1259"/>
      <c r="B46" s="1256"/>
      <c r="C46" s="1256"/>
      <c r="D46" s="1256"/>
      <c r="E46" s="1256"/>
      <c r="F46" s="1256"/>
      <c r="G46" s="1256"/>
      <c r="H46" s="1306" t="s">
        <v>58</v>
      </c>
      <c r="I46" s="1305">
        <f>SUM(I45:I45)</f>
        <v>8.6666666666666661</v>
      </c>
      <c r="J46" s="1256"/>
      <c r="K46" s="1255"/>
      <c r="L46" s="1255"/>
      <c r="M46" s="1255"/>
      <c r="N46" s="1255"/>
      <c r="O46" s="1254"/>
    </row>
    <row r="47" spans="1:256" ht="15.75" thickBot="1" x14ac:dyDescent="0.3">
      <c r="A47" s="1253"/>
      <c r="B47" s="1252"/>
      <c r="C47" s="1252"/>
      <c r="D47" s="1252"/>
      <c r="E47" s="1252"/>
      <c r="F47" s="1252"/>
      <c r="G47" s="1252"/>
      <c r="H47" s="1252"/>
      <c r="I47" s="1252"/>
      <c r="J47" s="1252"/>
      <c r="K47" s="1252"/>
      <c r="L47" s="1252"/>
      <c r="M47" s="1252"/>
      <c r="N47" s="1252"/>
      <c r="O47" s="1251"/>
    </row>
    <row r="48" spans="1:256" ht="15.75" thickBot="1" x14ac:dyDescent="0.3">
      <c r="A48" s="1302"/>
      <c r="B48" s="1302"/>
      <c r="C48" s="1302"/>
      <c r="D48" s="1302"/>
      <c r="E48" s="1302"/>
      <c r="F48" s="1302"/>
      <c r="G48" s="1302"/>
      <c r="H48" s="1302"/>
      <c r="I48" s="1302"/>
      <c r="J48" s="1302"/>
      <c r="K48" s="1302"/>
      <c r="L48" s="1302"/>
      <c r="M48" s="1302"/>
      <c r="N48" s="1302"/>
      <c r="O48" s="1302"/>
    </row>
    <row r="49" spans="1:15" x14ac:dyDescent="0.25">
      <c r="A49" s="1301"/>
      <c r="B49" s="1300"/>
      <c r="C49" s="1300"/>
      <c r="D49" s="1300"/>
      <c r="E49" s="1300"/>
      <c r="F49" s="1300"/>
      <c r="G49" s="1300"/>
      <c r="H49" s="1300"/>
      <c r="I49" s="1300"/>
      <c r="J49" s="1300"/>
      <c r="K49" s="1300"/>
      <c r="L49" s="1300"/>
      <c r="M49" s="1300"/>
      <c r="N49" s="1300"/>
      <c r="O49" s="1299"/>
    </row>
    <row r="50" spans="1:15" x14ac:dyDescent="0.25">
      <c r="A50" s="1263" t="s">
        <v>57</v>
      </c>
      <c r="B50" s="1294" t="s">
        <v>523</v>
      </c>
      <c r="C50" s="1255"/>
      <c r="D50" s="1255"/>
      <c r="E50" s="1255"/>
      <c r="F50" s="1255"/>
      <c r="G50" s="1255"/>
      <c r="H50" s="1255"/>
      <c r="I50" s="1255"/>
      <c r="J50" s="1263" t="s">
        <v>51</v>
      </c>
      <c r="K50" s="1298">
        <v>81</v>
      </c>
      <c r="L50" s="1255"/>
      <c r="M50" s="1263" t="s">
        <v>126</v>
      </c>
      <c r="N50" s="1261">
        <f>E59+N67+I79+J85+I89</f>
        <v>62.586524746666662</v>
      </c>
      <c r="O50" s="1254"/>
    </row>
    <row r="51" spans="1:15" x14ac:dyDescent="0.25">
      <c r="A51" s="1263" t="s">
        <v>125</v>
      </c>
      <c r="B51" s="1297" t="s">
        <v>2210</v>
      </c>
      <c r="C51" s="1255"/>
      <c r="D51" s="1255"/>
      <c r="E51" s="1255"/>
      <c r="F51" s="1255"/>
      <c r="G51" s="1255"/>
      <c r="H51" s="1255"/>
      <c r="I51" s="1255"/>
      <c r="J51" s="1255"/>
      <c r="K51" s="1255"/>
      <c r="L51" s="1255"/>
      <c r="M51" s="1263" t="s">
        <v>124</v>
      </c>
      <c r="N51" s="1298">
        <v>1</v>
      </c>
      <c r="O51" s="1254"/>
    </row>
    <row r="52" spans="1:15" x14ac:dyDescent="0.25">
      <c r="A52" s="1263" t="s">
        <v>123</v>
      </c>
      <c r="B52" s="1260" t="s">
        <v>2250</v>
      </c>
      <c r="C52" s="1255"/>
      <c r="D52" s="1255"/>
      <c r="E52" s="1255"/>
      <c r="F52" s="1255"/>
      <c r="G52" s="1255"/>
      <c r="H52" s="1255"/>
      <c r="I52" s="1255"/>
      <c r="J52" s="1295" t="s">
        <v>122</v>
      </c>
      <c r="K52" s="1255"/>
      <c r="L52" s="1255"/>
      <c r="M52" s="1255"/>
      <c r="N52" s="1255"/>
      <c r="O52" s="1254"/>
    </row>
    <row r="53" spans="1:15" x14ac:dyDescent="0.25">
      <c r="A53" s="1263" t="s">
        <v>121</v>
      </c>
      <c r="B53" s="1296" t="s">
        <v>2249</v>
      </c>
      <c r="C53" s="1255"/>
      <c r="D53" s="1255"/>
      <c r="E53" s="1255"/>
      <c r="F53" s="1255"/>
      <c r="G53" s="1255"/>
      <c r="H53" s="1255"/>
      <c r="I53" s="1255"/>
      <c r="J53" s="1295" t="s">
        <v>119</v>
      </c>
      <c r="K53" s="1255"/>
      <c r="L53" s="1255"/>
      <c r="M53" s="1263" t="s">
        <v>118</v>
      </c>
      <c r="N53" s="1261">
        <f>N50*N51</f>
        <v>62.586524746666662</v>
      </c>
      <c r="O53" s="1254"/>
    </row>
    <row r="54" spans="1:15" x14ac:dyDescent="0.25">
      <c r="A54" s="1263" t="s">
        <v>117</v>
      </c>
      <c r="B54" s="1294" t="s">
        <v>23</v>
      </c>
      <c r="C54" s="1255"/>
      <c r="D54" s="1255"/>
      <c r="E54" s="1255"/>
      <c r="F54" s="1255"/>
      <c r="G54" s="1255"/>
      <c r="H54" s="1255"/>
      <c r="I54" s="1255"/>
      <c r="J54" s="1295" t="s">
        <v>116</v>
      </c>
      <c r="K54" s="1255"/>
      <c r="L54" s="1255"/>
      <c r="M54" s="1255"/>
      <c r="N54" s="1255"/>
      <c r="O54" s="1254"/>
    </row>
    <row r="55" spans="1:15" x14ac:dyDescent="0.25">
      <c r="A55" s="1263" t="s">
        <v>115</v>
      </c>
      <c r="B55" s="1294" t="s">
        <v>2248</v>
      </c>
      <c r="C55" s="1255"/>
      <c r="D55" s="1255"/>
      <c r="E55" s="1255"/>
      <c r="F55" s="1255"/>
      <c r="G55" s="1255"/>
      <c r="H55" s="1255"/>
      <c r="I55" s="1255"/>
      <c r="J55" s="1255"/>
      <c r="K55" s="1255"/>
      <c r="L55" s="1255"/>
      <c r="M55" s="1255"/>
      <c r="N55" s="1255"/>
      <c r="O55" s="1254"/>
    </row>
    <row r="56" spans="1:15" x14ac:dyDescent="0.25">
      <c r="A56" s="1264"/>
      <c r="B56" s="1255"/>
      <c r="C56" s="1255"/>
      <c r="D56" s="1255"/>
      <c r="E56" s="1255"/>
      <c r="F56" s="1255"/>
      <c r="G56" s="1255"/>
      <c r="H56" s="1255"/>
      <c r="I56" s="1255"/>
      <c r="J56" s="1255"/>
      <c r="K56" s="1255"/>
      <c r="L56" s="1255"/>
      <c r="M56" s="1255"/>
      <c r="N56" s="1255"/>
      <c r="O56" s="1254"/>
    </row>
    <row r="57" spans="1:15" x14ac:dyDescent="0.25">
      <c r="A57" s="1263" t="s">
        <v>67</v>
      </c>
      <c r="B57" s="1263" t="s">
        <v>114</v>
      </c>
      <c r="C57" s="1263" t="s">
        <v>113</v>
      </c>
      <c r="D57" s="1263" t="s">
        <v>40</v>
      </c>
      <c r="E57" s="1263" t="s">
        <v>58</v>
      </c>
      <c r="F57" s="1255"/>
      <c r="G57" s="1255"/>
      <c r="H57" s="1255"/>
      <c r="I57" s="1255"/>
      <c r="J57" s="1255"/>
      <c r="K57" s="1255"/>
      <c r="L57" s="1255"/>
      <c r="M57" s="1255"/>
      <c r="N57" s="1255"/>
      <c r="O57" s="1254"/>
    </row>
    <row r="58" spans="1:15" x14ac:dyDescent="0.25">
      <c r="A58" s="1262">
        <v>10</v>
      </c>
      <c r="B58" s="1293" t="str">
        <f>HYPERLINK("#MS_02001",'MS Parts'!B181)</f>
        <v>Harness Tab</v>
      </c>
      <c r="C58" s="1261">
        <f>'MS Parts'!N178</f>
        <v>1.2486790400000001</v>
      </c>
      <c r="D58" s="1292">
        <f>'MS Parts'!N179</f>
        <v>2</v>
      </c>
      <c r="E58" s="1261">
        <f>C58*D58</f>
        <v>2.4973580800000001</v>
      </c>
      <c r="F58" s="1255"/>
      <c r="G58" s="1255"/>
      <c r="H58" s="1255"/>
      <c r="I58" s="1255"/>
      <c r="J58" s="1255"/>
      <c r="K58" s="1255"/>
      <c r="L58" s="1255"/>
      <c r="M58" s="1255"/>
      <c r="N58" s="1255"/>
      <c r="O58" s="1254"/>
    </row>
    <row r="59" spans="1:15" x14ac:dyDescent="0.25">
      <c r="A59" s="1264"/>
      <c r="B59" s="1255"/>
      <c r="C59" s="1255"/>
      <c r="D59" s="1258" t="s">
        <v>58</v>
      </c>
      <c r="E59" s="1257">
        <f>SUM(E58:E58)</f>
        <v>2.4973580800000001</v>
      </c>
      <c r="F59" s="1260"/>
      <c r="G59" s="1260"/>
      <c r="H59" s="1260"/>
      <c r="I59" s="1260"/>
      <c r="J59" s="1260"/>
      <c r="K59" s="1260"/>
      <c r="L59" s="1260"/>
      <c r="M59" s="1260"/>
      <c r="N59" s="1260"/>
      <c r="O59" s="1254"/>
    </row>
    <row r="60" spans="1:15" x14ac:dyDescent="0.25">
      <c r="A60" s="1264"/>
      <c r="B60" s="1255"/>
      <c r="C60" s="1255"/>
      <c r="D60" s="1255"/>
      <c r="E60" s="1255"/>
      <c r="F60" s="1255"/>
      <c r="G60" s="1255"/>
      <c r="H60" s="1255"/>
      <c r="I60" s="1255"/>
      <c r="J60" s="1255"/>
      <c r="K60" s="1255"/>
      <c r="L60" s="1255"/>
      <c r="M60" s="1255"/>
      <c r="N60" s="1255"/>
      <c r="O60" s="1254"/>
    </row>
    <row r="61" spans="1:15" x14ac:dyDescent="0.25">
      <c r="A61" s="1263" t="s">
        <v>67</v>
      </c>
      <c r="B61" s="1263" t="s">
        <v>112</v>
      </c>
      <c r="C61" s="1263" t="s">
        <v>66</v>
      </c>
      <c r="D61" s="1263" t="s">
        <v>65</v>
      </c>
      <c r="E61" s="1263" t="s">
        <v>81</v>
      </c>
      <c r="F61" s="1263" t="s">
        <v>80</v>
      </c>
      <c r="G61" s="1263" t="s">
        <v>79</v>
      </c>
      <c r="H61" s="1263" t="s">
        <v>78</v>
      </c>
      <c r="I61" s="1263" t="s">
        <v>111</v>
      </c>
      <c r="J61" s="1263" t="s">
        <v>110</v>
      </c>
      <c r="K61" s="1263" t="s">
        <v>109</v>
      </c>
      <c r="L61" s="1263" t="s">
        <v>108</v>
      </c>
      <c r="M61" s="1263" t="s">
        <v>40</v>
      </c>
      <c r="N61" s="1263" t="s">
        <v>58</v>
      </c>
      <c r="O61" s="1254"/>
    </row>
    <row r="62" spans="1:15" x14ac:dyDescent="0.25">
      <c r="A62" s="1262">
        <v>10</v>
      </c>
      <c r="B62" s="1262" t="s">
        <v>250</v>
      </c>
      <c r="C62" s="1262" t="s">
        <v>2206</v>
      </c>
      <c r="D62" s="1273">
        <v>10</v>
      </c>
      <c r="E62" s="1262">
        <v>0.01</v>
      </c>
      <c r="F62" s="1262" t="s">
        <v>241</v>
      </c>
      <c r="G62" s="1262"/>
      <c r="H62" s="1289"/>
      <c r="I62" s="1291"/>
      <c r="J62" s="1290"/>
      <c r="K62" s="1289"/>
      <c r="L62" s="1289"/>
      <c r="M62" s="1288">
        <v>1</v>
      </c>
      <c r="N62" s="1273">
        <f>M62*D62*E62</f>
        <v>0.1</v>
      </c>
      <c r="O62" s="1254"/>
    </row>
    <row r="63" spans="1:15" x14ac:dyDescent="0.25">
      <c r="A63" s="1262">
        <v>20</v>
      </c>
      <c r="B63" s="1262" t="s">
        <v>2247</v>
      </c>
      <c r="C63" s="1287" t="s">
        <v>2246</v>
      </c>
      <c r="D63" s="1261">
        <v>45</v>
      </c>
      <c r="E63" s="1286"/>
      <c r="F63" s="1286"/>
      <c r="G63" s="1286"/>
      <c r="H63" s="1278"/>
      <c r="I63" s="1284"/>
      <c r="J63" s="1277"/>
      <c r="K63" s="1283"/>
      <c r="L63" s="1282"/>
      <c r="M63" s="1265">
        <v>1</v>
      </c>
      <c r="N63" s="1261">
        <f>M63*D63</f>
        <v>45</v>
      </c>
      <c r="O63" s="1281"/>
    </row>
    <row r="64" spans="1:15" x14ac:dyDescent="0.25">
      <c r="A64" s="1262">
        <v>30</v>
      </c>
      <c r="B64" s="1262" t="s">
        <v>2245</v>
      </c>
      <c r="C64" s="1262" t="s">
        <v>2232</v>
      </c>
      <c r="D64" s="1261">
        <v>0.05</v>
      </c>
      <c r="E64" s="1280">
        <v>5.5</v>
      </c>
      <c r="F64" s="1262" t="s">
        <v>101</v>
      </c>
      <c r="G64" s="1262"/>
      <c r="H64" s="1278"/>
      <c r="I64" s="1276"/>
      <c r="J64" s="1279"/>
      <c r="K64" s="1278"/>
      <c r="L64" s="1277"/>
      <c r="M64" s="1265">
        <v>4</v>
      </c>
      <c r="N64" s="1261">
        <f>M64*D64*E64</f>
        <v>1.1000000000000001</v>
      </c>
      <c r="O64" s="1254"/>
    </row>
    <row r="65" spans="1:15" x14ac:dyDescent="0.25">
      <c r="A65" s="1262">
        <v>40</v>
      </c>
      <c r="B65" s="1262" t="s">
        <v>383</v>
      </c>
      <c r="C65" s="1262" t="s">
        <v>2244</v>
      </c>
      <c r="D65" s="1261">
        <v>0</v>
      </c>
      <c r="E65" s="1280"/>
      <c r="F65" s="1262"/>
      <c r="G65" s="1262"/>
      <c r="H65" s="1278"/>
      <c r="I65" s="1276"/>
      <c r="J65" s="1279"/>
      <c r="K65" s="1278"/>
      <c r="L65" s="1277"/>
      <c r="M65" s="1278">
        <v>0</v>
      </c>
      <c r="N65" s="1261">
        <f>M65*D65*E65</f>
        <v>0</v>
      </c>
      <c r="O65" s="1254"/>
    </row>
    <row r="66" spans="1:15" x14ac:dyDescent="0.25">
      <c r="A66" s="1262">
        <v>50</v>
      </c>
      <c r="B66" s="1262" t="s">
        <v>961</v>
      </c>
      <c r="C66" s="1262" t="s">
        <v>2242</v>
      </c>
      <c r="D66" s="1261">
        <v>0</v>
      </c>
      <c r="E66" s="1280"/>
      <c r="F66" s="1262"/>
      <c r="G66" s="1262"/>
      <c r="H66" s="1278"/>
      <c r="I66" s="1276"/>
      <c r="J66" s="1279"/>
      <c r="K66" s="1278"/>
      <c r="L66" s="1277"/>
      <c r="M66" s="1278">
        <v>0</v>
      </c>
      <c r="N66" s="1261">
        <f>M66*D66*E66</f>
        <v>0</v>
      </c>
      <c r="O66" s="1254"/>
    </row>
    <row r="67" spans="1:15" x14ac:dyDescent="0.25">
      <c r="A67" s="1259"/>
      <c r="B67" s="1256"/>
      <c r="C67" s="1256"/>
      <c r="D67" s="1256"/>
      <c r="E67" s="1256"/>
      <c r="F67" s="1256"/>
      <c r="G67" s="1256"/>
      <c r="H67" s="1256"/>
      <c r="I67" s="1256"/>
      <c r="J67" s="1256"/>
      <c r="K67" s="1256"/>
      <c r="L67" s="1256"/>
      <c r="M67" s="1263" t="s">
        <v>58</v>
      </c>
      <c r="N67" s="1257">
        <f>SUM(N62:N66)</f>
        <v>46.2</v>
      </c>
      <c r="O67" s="1254"/>
    </row>
    <row r="68" spans="1:15" x14ac:dyDescent="0.25">
      <c r="A68" s="1264"/>
      <c r="B68" s="1255"/>
      <c r="C68" s="1255"/>
      <c r="D68" s="1255"/>
      <c r="E68" s="1255"/>
      <c r="F68" s="1255"/>
      <c r="G68" s="1255"/>
      <c r="H68" s="1255"/>
      <c r="I68" s="1255"/>
      <c r="J68" s="1255"/>
      <c r="K68" s="1255"/>
      <c r="L68" s="1255"/>
      <c r="M68" s="1255"/>
      <c r="N68" s="1255"/>
      <c r="O68" s="1254"/>
    </row>
    <row r="69" spans="1:15" x14ac:dyDescent="0.25">
      <c r="A69" s="1263" t="s">
        <v>67</v>
      </c>
      <c r="B69" s="1263" t="s">
        <v>106</v>
      </c>
      <c r="C69" s="1263" t="s">
        <v>66</v>
      </c>
      <c r="D69" s="1263" t="s">
        <v>65</v>
      </c>
      <c r="E69" s="1263" t="s">
        <v>64</v>
      </c>
      <c r="F69" s="1263" t="s">
        <v>40</v>
      </c>
      <c r="G69" s="1263" t="s">
        <v>105</v>
      </c>
      <c r="H69" s="1263" t="s">
        <v>104</v>
      </c>
      <c r="I69" s="1263" t="s">
        <v>58</v>
      </c>
      <c r="J69" s="1256"/>
      <c r="K69" s="1256"/>
      <c r="L69" s="1256"/>
      <c r="M69" s="1256"/>
      <c r="N69" s="1256"/>
      <c r="O69" s="1269"/>
    </row>
    <row r="70" spans="1:15" x14ac:dyDescent="0.25">
      <c r="A70" s="1262">
        <v>10</v>
      </c>
      <c r="B70" s="1262" t="s">
        <v>103</v>
      </c>
      <c r="C70" s="1287" t="s">
        <v>2021</v>
      </c>
      <c r="D70" s="1273">
        <v>0.15</v>
      </c>
      <c r="E70" s="1262" t="s">
        <v>101</v>
      </c>
      <c r="F70" s="1270">
        <v>8</v>
      </c>
      <c r="G70" s="1270"/>
      <c r="H70" s="1270"/>
      <c r="I70" s="1273">
        <f t="shared" ref="I70:I78" si="2">IF(H70="",D70*F70,D70*F70*H70)</f>
        <v>1.2</v>
      </c>
      <c r="J70" s="1255"/>
      <c r="K70" s="1255"/>
      <c r="L70" s="1255"/>
      <c r="M70" s="1255"/>
      <c r="N70" s="1255"/>
      <c r="O70" s="1254"/>
    </row>
    <row r="71" spans="1:15" x14ac:dyDescent="0.25">
      <c r="A71" s="1262">
        <v>20</v>
      </c>
      <c r="B71" s="1274" t="s">
        <v>243</v>
      </c>
      <c r="C71" s="1287" t="s">
        <v>2204</v>
      </c>
      <c r="D71" s="1273">
        <v>5.25</v>
      </c>
      <c r="E71" s="1274" t="s">
        <v>241</v>
      </c>
      <c r="F71" s="1275">
        <v>0.01</v>
      </c>
      <c r="G71" s="1262"/>
      <c r="H71" s="1262"/>
      <c r="I71" s="1273">
        <f t="shared" si="2"/>
        <v>5.2499999999999998E-2</v>
      </c>
      <c r="J71" s="1255"/>
      <c r="K71" s="1255"/>
      <c r="L71" s="1255"/>
      <c r="M71" s="1255"/>
      <c r="N71" s="1255"/>
      <c r="O71" s="1254"/>
    </row>
    <row r="72" spans="1:15" x14ac:dyDescent="0.25">
      <c r="A72" s="1262">
        <v>30</v>
      </c>
      <c r="B72" s="1274" t="s">
        <v>87</v>
      </c>
      <c r="C72" s="1287" t="s">
        <v>2219</v>
      </c>
      <c r="D72" s="1273">
        <v>0.06</v>
      </c>
      <c r="E72" s="1262" t="s">
        <v>64</v>
      </c>
      <c r="F72" s="1270">
        <v>2</v>
      </c>
      <c r="G72" s="1262"/>
      <c r="H72" s="1262"/>
      <c r="I72" s="1273">
        <f t="shared" si="2"/>
        <v>0.12</v>
      </c>
      <c r="J72" s="1260"/>
      <c r="K72" s="1260"/>
      <c r="L72" s="1260"/>
      <c r="M72" s="1260"/>
      <c r="N72" s="1260"/>
      <c r="O72" s="1271"/>
    </row>
    <row r="73" spans="1:15" x14ac:dyDescent="0.25">
      <c r="A73" s="1262">
        <v>40</v>
      </c>
      <c r="B73" s="1272" t="s">
        <v>136</v>
      </c>
      <c r="C73" s="1287" t="s">
        <v>2219</v>
      </c>
      <c r="D73" s="1261">
        <v>1.5</v>
      </c>
      <c r="E73" s="1262" t="s">
        <v>64</v>
      </c>
      <c r="F73" s="1270">
        <v>2</v>
      </c>
      <c r="G73" s="1262"/>
      <c r="H73" s="1262"/>
      <c r="I73" s="1261">
        <f t="shared" si="2"/>
        <v>3</v>
      </c>
      <c r="J73" s="1260"/>
      <c r="K73" s="1260"/>
      <c r="L73" s="1260"/>
      <c r="M73" s="1260"/>
      <c r="N73" s="1260"/>
      <c r="O73" s="1271"/>
    </row>
    <row r="74" spans="1:15" x14ac:dyDescent="0.25">
      <c r="A74" s="1262">
        <v>50</v>
      </c>
      <c r="B74" s="1262" t="s">
        <v>84</v>
      </c>
      <c r="C74" s="1287" t="s">
        <v>2219</v>
      </c>
      <c r="D74" s="1261">
        <v>0.25</v>
      </c>
      <c r="E74" s="1262" t="s">
        <v>64</v>
      </c>
      <c r="F74" s="1270">
        <v>2</v>
      </c>
      <c r="G74" s="1270"/>
      <c r="H74" s="1270"/>
      <c r="I74" s="1261">
        <f t="shared" si="2"/>
        <v>0.5</v>
      </c>
      <c r="J74" s="1260"/>
      <c r="K74" s="1260"/>
      <c r="L74" s="1260"/>
      <c r="M74" s="1260"/>
      <c r="N74" s="1260"/>
      <c r="O74" s="1269"/>
    </row>
    <row r="75" spans="1:15" ht="19.5" customHeight="1" x14ac:dyDescent="0.25">
      <c r="A75" s="1262">
        <v>60</v>
      </c>
      <c r="B75" s="1274" t="s">
        <v>142</v>
      </c>
      <c r="C75" s="1287" t="s">
        <v>2243</v>
      </c>
      <c r="D75" s="1273">
        <v>0.19</v>
      </c>
      <c r="E75" s="1262" t="s">
        <v>64</v>
      </c>
      <c r="F75" s="1270">
        <v>1</v>
      </c>
      <c r="G75" s="1262"/>
      <c r="H75" s="1262"/>
      <c r="I75" s="1273">
        <f t="shared" si="2"/>
        <v>0.19</v>
      </c>
      <c r="J75" s="1260"/>
      <c r="K75" s="1260"/>
      <c r="L75" s="1260"/>
      <c r="M75" s="1260"/>
      <c r="N75" s="1260"/>
      <c r="O75" s="1271"/>
    </row>
    <row r="76" spans="1:15" x14ac:dyDescent="0.25">
      <c r="A76" s="1262">
        <v>70</v>
      </c>
      <c r="B76" s="1274" t="s">
        <v>2224</v>
      </c>
      <c r="C76" s="1287" t="s">
        <v>2226</v>
      </c>
      <c r="D76" s="1273">
        <v>0.02</v>
      </c>
      <c r="E76" s="1262" t="s">
        <v>1164</v>
      </c>
      <c r="F76" s="1270">
        <v>150</v>
      </c>
      <c r="G76" s="1262"/>
      <c r="H76" s="1262"/>
      <c r="I76" s="1273">
        <f t="shared" si="2"/>
        <v>3</v>
      </c>
      <c r="J76" s="1260"/>
      <c r="K76" s="1260"/>
      <c r="L76" s="1260"/>
      <c r="M76" s="1260"/>
      <c r="N76" s="1260"/>
      <c r="O76" s="1271"/>
    </row>
    <row r="77" spans="1:15" x14ac:dyDescent="0.25">
      <c r="A77" s="1262">
        <v>80</v>
      </c>
      <c r="B77" s="1274" t="s">
        <v>145</v>
      </c>
      <c r="C77" s="1287" t="s">
        <v>2242</v>
      </c>
      <c r="D77" s="1273">
        <v>0.13</v>
      </c>
      <c r="E77" s="1262" t="s">
        <v>64</v>
      </c>
      <c r="F77" s="1270">
        <v>4</v>
      </c>
      <c r="G77" s="1262"/>
      <c r="H77" s="1262"/>
      <c r="I77" s="1273">
        <f t="shared" si="2"/>
        <v>0.52</v>
      </c>
      <c r="J77" s="1260"/>
      <c r="K77" s="1260"/>
      <c r="L77" s="1260"/>
      <c r="M77" s="1260"/>
      <c r="N77" s="1260"/>
      <c r="O77" s="1271"/>
    </row>
    <row r="78" spans="1:15" x14ac:dyDescent="0.25">
      <c r="A78" s="1262">
        <v>90</v>
      </c>
      <c r="B78" s="1274" t="s">
        <v>961</v>
      </c>
      <c r="C78" s="1287" t="s">
        <v>2242</v>
      </c>
      <c r="D78" s="1273">
        <v>0.8</v>
      </c>
      <c r="E78" s="1262" t="s">
        <v>345</v>
      </c>
      <c r="F78" s="1270">
        <v>2</v>
      </c>
      <c r="G78" s="1262"/>
      <c r="H78" s="1262"/>
      <c r="I78" s="1273">
        <f t="shared" si="2"/>
        <v>1.6</v>
      </c>
      <c r="J78" s="1260"/>
      <c r="K78" s="1260"/>
      <c r="L78" s="1260"/>
      <c r="M78" s="1260"/>
      <c r="N78" s="1260"/>
      <c r="O78" s="1271"/>
    </row>
    <row r="79" spans="1:15" x14ac:dyDescent="0.25">
      <c r="A79" s="1259"/>
      <c r="B79" s="1256"/>
      <c r="C79" s="1256" t="s">
        <v>2197</v>
      </c>
      <c r="D79" s="1256"/>
      <c r="E79" s="1256"/>
      <c r="F79" s="1256"/>
      <c r="G79" s="1256"/>
      <c r="H79" s="1258" t="s">
        <v>58</v>
      </c>
      <c r="I79" s="1257">
        <f>SUM(I70:I78)</f>
        <v>10.182499999999999</v>
      </c>
      <c r="J79" s="1255"/>
      <c r="K79" s="1255"/>
      <c r="L79" s="1255"/>
      <c r="M79" s="1255"/>
      <c r="N79" s="1255"/>
      <c r="O79" s="1254"/>
    </row>
    <row r="80" spans="1:15" x14ac:dyDescent="0.25">
      <c r="A80" s="1264"/>
      <c r="B80" s="1255"/>
      <c r="C80" s="1255"/>
      <c r="D80" s="1255"/>
      <c r="E80" s="1255"/>
      <c r="F80" s="1255"/>
      <c r="G80" s="1255"/>
      <c r="H80" s="1255"/>
      <c r="I80" s="1255"/>
      <c r="J80" s="1255"/>
      <c r="K80" s="1255"/>
      <c r="L80" s="1255"/>
      <c r="M80" s="1255"/>
      <c r="N80" s="1255"/>
      <c r="O80" s="1254"/>
    </row>
    <row r="81" spans="1:15" x14ac:dyDescent="0.25">
      <c r="A81" s="1263" t="s">
        <v>67</v>
      </c>
      <c r="B81" s="1263" t="s">
        <v>82</v>
      </c>
      <c r="C81" s="1263" t="s">
        <v>66</v>
      </c>
      <c r="D81" s="1263" t="s">
        <v>65</v>
      </c>
      <c r="E81" s="1263" t="s">
        <v>81</v>
      </c>
      <c r="F81" s="1263" t="s">
        <v>80</v>
      </c>
      <c r="G81" s="1263" t="s">
        <v>79</v>
      </c>
      <c r="H81" s="1263" t="s">
        <v>78</v>
      </c>
      <c r="I81" s="1263" t="s">
        <v>40</v>
      </c>
      <c r="J81" s="1263" t="s">
        <v>58</v>
      </c>
      <c r="K81" s="1255"/>
      <c r="L81" s="1255"/>
      <c r="M81" s="1255"/>
      <c r="N81" s="1255"/>
      <c r="O81" s="1254"/>
    </row>
    <row r="82" spans="1:15" x14ac:dyDescent="0.25">
      <c r="A82" s="1262">
        <v>10</v>
      </c>
      <c r="B82" s="1262" t="s">
        <v>2241</v>
      </c>
      <c r="C82" s="1262" t="s">
        <v>2239</v>
      </c>
      <c r="D82" s="1267">
        <v>1.43</v>
      </c>
      <c r="E82" s="1268">
        <v>10</v>
      </c>
      <c r="F82" s="1268" t="s">
        <v>68</v>
      </c>
      <c r="G82" s="1268"/>
      <c r="H82" s="1268"/>
      <c r="I82" s="1265">
        <v>2</v>
      </c>
      <c r="J82" s="1261">
        <f>I82*D82</f>
        <v>2.86</v>
      </c>
      <c r="K82" s="1255"/>
      <c r="L82" s="1255"/>
      <c r="M82" s="1255"/>
      <c r="N82" s="1255"/>
      <c r="O82" s="1254"/>
    </row>
    <row r="83" spans="1:15" x14ac:dyDescent="0.25">
      <c r="A83" s="1262">
        <v>20</v>
      </c>
      <c r="B83" s="1262" t="s">
        <v>2240</v>
      </c>
      <c r="C83" s="1262" t="s">
        <v>2239</v>
      </c>
      <c r="D83" s="1267">
        <v>7.0000000000000007E-2</v>
      </c>
      <c r="E83" s="1262">
        <v>10</v>
      </c>
      <c r="F83" s="1266" t="s">
        <v>68</v>
      </c>
      <c r="G83" s="1262"/>
      <c r="H83" s="1262"/>
      <c r="I83" s="1265">
        <v>2</v>
      </c>
      <c r="J83" s="1261">
        <f>I83*D83</f>
        <v>0.14000000000000001</v>
      </c>
      <c r="K83" s="1255"/>
      <c r="L83" s="1255"/>
      <c r="M83" s="1255"/>
      <c r="N83" s="1255"/>
      <c r="O83" s="1254"/>
    </row>
    <row r="84" spans="1:15" x14ac:dyDescent="0.25">
      <c r="A84" s="1262">
        <v>30</v>
      </c>
      <c r="B84" s="1262" t="s">
        <v>74</v>
      </c>
      <c r="C84" s="1262" t="s">
        <v>2239</v>
      </c>
      <c r="D84" s="1267">
        <v>0.01</v>
      </c>
      <c r="E84" s="1262">
        <v>10</v>
      </c>
      <c r="F84" s="1266" t="s">
        <v>68</v>
      </c>
      <c r="G84" s="1262"/>
      <c r="H84" s="1262"/>
      <c r="I84" s="1265">
        <v>4</v>
      </c>
      <c r="J84" s="1261">
        <f>I84*D84</f>
        <v>0.04</v>
      </c>
      <c r="K84" s="1255"/>
      <c r="L84" s="1255"/>
      <c r="M84" s="1255"/>
      <c r="N84" s="1255"/>
      <c r="O84" s="1254"/>
    </row>
    <row r="85" spans="1:15" x14ac:dyDescent="0.25">
      <c r="A85" s="1259"/>
      <c r="B85" s="1256"/>
      <c r="C85" s="1256"/>
      <c r="D85" s="1256"/>
      <c r="E85" s="1256"/>
      <c r="F85" s="1256"/>
      <c r="G85" s="1256"/>
      <c r="H85" s="1256"/>
      <c r="I85" s="1258" t="s">
        <v>58</v>
      </c>
      <c r="J85" s="1257">
        <f>SUM(J82:J84)</f>
        <v>3.04</v>
      </c>
      <c r="K85" s="1255"/>
      <c r="L85" s="1255"/>
      <c r="M85" s="1255"/>
      <c r="N85" s="1255"/>
      <c r="O85" s="1254"/>
    </row>
    <row r="86" spans="1:15" x14ac:dyDescent="0.25">
      <c r="A86" s="1264"/>
      <c r="B86" s="1255"/>
      <c r="C86" s="1255"/>
      <c r="D86" s="1255"/>
      <c r="E86" s="1255"/>
      <c r="F86" s="1255"/>
      <c r="G86" s="1255"/>
      <c r="H86" s="1255"/>
      <c r="I86" s="1255"/>
      <c r="J86" s="1255"/>
      <c r="K86" s="1255"/>
      <c r="L86" s="1255"/>
      <c r="M86" s="1255"/>
      <c r="N86" s="1255"/>
      <c r="O86" s="1254"/>
    </row>
    <row r="87" spans="1:15" x14ac:dyDescent="0.25">
      <c r="A87" s="1263" t="s">
        <v>67</v>
      </c>
      <c r="B87" s="1263" t="s">
        <v>13</v>
      </c>
      <c r="C87" s="1263" t="s">
        <v>66</v>
      </c>
      <c r="D87" s="1263" t="s">
        <v>65</v>
      </c>
      <c r="E87" s="1263" t="s">
        <v>64</v>
      </c>
      <c r="F87" s="1263" t="s">
        <v>40</v>
      </c>
      <c r="G87" s="1263" t="s">
        <v>63</v>
      </c>
      <c r="H87" s="1263" t="s">
        <v>62</v>
      </c>
      <c r="I87" s="1263" t="s">
        <v>58</v>
      </c>
      <c r="J87" s="1256"/>
      <c r="K87" s="1255"/>
      <c r="L87" s="1255"/>
      <c r="M87" s="1255"/>
      <c r="N87" s="1255"/>
      <c r="O87" s="1254"/>
    </row>
    <row r="88" spans="1:15" x14ac:dyDescent="0.25">
      <c r="A88" s="1262">
        <v>10</v>
      </c>
      <c r="B88" s="1262" t="s">
        <v>61</v>
      </c>
      <c r="C88" s="1262" t="s">
        <v>2021</v>
      </c>
      <c r="D88" s="1261">
        <v>500</v>
      </c>
      <c r="E88" s="1262" t="s">
        <v>59</v>
      </c>
      <c r="F88" s="1292">
        <v>4</v>
      </c>
      <c r="G88" s="1262">
        <v>3000</v>
      </c>
      <c r="H88" s="1262">
        <v>1</v>
      </c>
      <c r="I88" s="1261">
        <f>D88*F88/G88*H88</f>
        <v>0.66666666666666663</v>
      </c>
      <c r="J88" s="1260"/>
      <c r="K88" s="1255"/>
      <c r="L88" s="1255"/>
      <c r="M88" s="1255"/>
      <c r="N88" s="1255"/>
      <c r="O88" s="1254"/>
    </row>
    <row r="89" spans="1:15" x14ac:dyDescent="0.25">
      <c r="A89" s="1259"/>
      <c r="B89" s="1256"/>
      <c r="C89" s="1256"/>
      <c r="D89" s="1256"/>
      <c r="E89" s="1256"/>
      <c r="F89" s="1256"/>
      <c r="G89" s="1256"/>
      <c r="H89" s="1258" t="s">
        <v>58</v>
      </c>
      <c r="I89" s="1257">
        <f>SUM(I88)</f>
        <v>0.66666666666666663</v>
      </c>
      <c r="J89" s="1256"/>
      <c r="K89" s="1255"/>
      <c r="L89" s="1255"/>
      <c r="M89" s="1255"/>
      <c r="N89" s="1255"/>
      <c r="O89" s="1254"/>
    </row>
    <row r="90" spans="1:15" ht="15.75" thickBot="1" x14ac:dyDescent="0.3">
      <c r="A90" s="1253"/>
      <c r="B90" s="1252"/>
      <c r="C90" s="1252"/>
      <c r="D90" s="1252"/>
      <c r="E90" s="1252"/>
      <c r="F90" s="1252"/>
      <c r="G90" s="1252"/>
      <c r="H90" s="1252"/>
      <c r="I90" s="1252"/>
      <c r="J90" s="1252"/>
      <c r="K90" s="1252"/>
      <c r="L90" s="1252"/>
      <c r="M90" s="1252"/>
      <c r="N90" s="1252"/>
      <c r="O90" s="1251"/>
    </row>
    <row r="91" spans="1:15" ht="15.75" thickBot="1" x14ac:dyDescent="0.3">
      <c r="A91" s="1302"/>
      <c r="B91" s="1302"/>
      <c r="C91" s="1302"/>
      <c r="D91" s="1302"/>
      <c r="E91" s="1302"/>
      <c r="F91" s="1302"/>
      <c r="G91" s="1302"/>
      <c r="H91" s="1302"/>
      <c r="I91" s="1302"/>
      <c r="J91" s="1302"/>
      <c r="K91" s="1302"/>
      <c r="L91" s="1302"/>
      <c r="M91" s="1302"/>
      <c r="N91" s="1302"/>
      <c r="O91" s="1302"/>
    </row>
    <row r="92" spans="1:15" x14ac:dyDescent="0.25">
      <c r="A92" s="1301"/>
      <c r="B92" s="1300"/>
      <c r="C92" s="1300"/>
      <c r="D92" s="1300"/>
      <c r="E92" s="1300"/>
      <c r="F92" s="1300"/>
      <c r="G92" s="1300"/>
      <c r="H92" s="1300"/>
      <c r="I92" s="1300"/>
      <c r="J92" s="1300"/>
      <c r="K92" s="1300"/>
      <c r="L92" s="1300"/>
      <c r="M92" s="1300"/>
      <c r="N92" s="1300"/>
      <c r="O92" s="1299"/>
    </row>
    <row r="93" spans="1:15" x14ac:dyDescent="0.25">
      <c r="A93" s="1263" t="s">
        <v>57</v>
      </c>
      <c r="B93" s="1294" t="s">
        <v>523</v>
      </c>
      <c r="C93" s="1255"/>
      <c r="D93" s="1255"/>
      <c r="E93" s="1255"/>
      <c r="F93" s="1255"/>
      <c r="G93" s="1255"/>
      <c r="H93" s="1255"/>
      <c r="I93" s="1255"/>
      <c r="J93" s="1263" t="s">
        <v>51</v>
      </c>
      <c r="K93" s="1298">
        <v>81</v>
      </c>
      <c r="L93" s="1255"/>
      <c r="M93" s="1263" t="s">
        <v>126</v>
      </c>
      <c r="N93" s="1261">
        <f>E104+N111+I128+J134+I138</f>
        <v>74.484234793333343</v>
      </c>
      <c r="O93" s="1254"/>
    </row>
    <row r="94" spans="1:15" x14ac:dyDescent="0.25">
      <c r="A94" s="1263" t="s">
        <v>125</v>
      </c>
      <c r="B94" s="1297" t="s">
        <v>2210</v>
      </c>
      <c r="C94" s="1255"/>
      <c r="D94" s="1255"/>
      <c r="E94" s="1255"/>
      <c r="F94" s="1255"/>
      <c r="G94" s="1255"/>
      <c r="H94" s="1255"/>
      <c r="I94" s="1255"/>
      <c r="J94" s="1255"/>
      <c r="K94" s="1255"/>
      <c r="L94" s="1255"/>
      <c r="M94" s="1263" t="s">
        <v>124</v>
      </c>
      <c r="N94" s="1298">
        <v>1</v>
      </c>
      <c r="O94" s="1254"/>
    </row>
    <row r="95" spans="1:15" x14ac:dyDescent="0.25">
      <c r="A95" s="1263" t="s">
        <v>123</v>
      </c>
      <c r="B95" s="1260" t="s">
        <v>2238</v>
      </c>
      <c r="C95" s="1255"/>
      <c r="D95" s="1255"/>
      <c r="E95" s="1255"/>
      <c r="F95" s="1255"/>
      <c r="G95" s="1255"/>
      <c r="H95" s="1255"/>
      <c r="I95" s="1255"/>
      <c r="J95" s="1295" t="s">
        <v>122</v>
      </c>
      <c r="K95" s="1255"/>
      <c r="L95" s="1255"/>
      <c r="M95" s="1255"/>
      <c r="N95" s="1255"/>
      <c r="O95" s="1254"/>
    </row>
    <row r="96" spans="1:15" x14ac:dyDescent="0.25">
      <c r="A96" s="1263" t="s">
        <v>121</v>
      </c>
      <c r="B96" s="1296" t="s">
        <v>2237</v>
      </c>
      <c r="C96" s="1255"/>
      <c r="D96" s="1255"/>
      <c r="E96" s="1255"/>
      <c r="F96" s="1255"/>
      <c r="G96" s="1255"/>
      <c r="H96" s="1255"/>
      <c r="I96" s="1255"/>
      <c r="J96" s="1295" t="s">
        <v>119</v>
      </c>
      <c r="K96" s="1255"/>
      <c r="L96" s="1255"/>
      <c r="M96" s="1263" t="s">
        <v>118</v>
      </c>
      <c r="N96" s="1261">
        <f>N93*N94</f>
        <v>74.484234793333343</v>
      </c>
      <c r="O96" s="1254"/>
    </row>
    <row r="97" spans="1:15" x14ac:dyDescent="0.25">
      <c r="A97" s="1263" t="s">
        <v>117</v>
      </c>
      <c r="B97" s="1294" t="s">
        <v>23</v>
      </c>
      <c r="C97" s="1255"/>
      <c r="D97" s="1255"/>
      <c r="E97" s="1255"/>
      <c r="F97" s="1255"/>
      <c r="G97" s="1255"/>
      <c r="H97" s="1255"/>
      <c r="I97" s="1255"/>
      <c r="J97" s="1295" t="s">
        <v>116</v>
      </c>
      <c r="K97" s="1255"/>
      <c r="L97" s="1255"/>
      <c r="M97" s="1255"/>
      <c r="N97" s="1255"/>
      <c r="O97" s="1254"/>
    </row>
    <row r="98" spans="1:15" x14ac:dyDescent="0.25">
      <c r="A98" s="1263" t="s">
        <v>115</v>
      </c>
      <c r="B98" s="1294" t="s">
        <v>2236</v>
      </c>
      <c r="C98" s="1255"/>
      <c r="D98" s="1255"/>
      <c r="E98" s="1255"/>
      <c r="F98" s="1255"/>
      <c r="G98" s="1255"/>
      <c r="H98" s="1255"/>
      <c r="I98" s="1255"/>
      <c r="J98" s="1255"/>
      <c r="K98" s="1255"/>
      <c r="L98" s="1255"/>
      <c r="M98" s="1255"/>
      <c r="N98" s="1255"/>
      <c r="O98" s="1254"/>
    </row>
    <row r="99" spans="1:15" x14ac:dyDescent="0.25">
      <c r="A99" s="1264"/>
      <c r="B99" s="1255"/>
      <c r="C99" s="1255"/>
      <c r="D99" s="1255"/>
      <c r="E99" s="1255"/>
      <c r="F99" s="1255"/>
      <c r="G99" s="1255"/>
      <c r="H99" s="1255"/>
      <c r="I99" s="1255"/>
      <c r="J99" s="1255"/>
      <c r="K99" s="1255"/>
      <c r="L99" s="1255"/>
      <c r="M99" s="1255"/>
      <c r="N99" s="1255"/>
      <c r="O99" s="1254"/>
    </row>
    <row r="100" spans="1:15" x14ac:dyDescent="0.25">
      <c r="A100" s="1263" t="s">
        <v>67</v>
      </c>
      <c r="B100" s="1263" t="s">
        <v>114</v>
      </c>
      <c r="C100" s="1263" t="s">
        <v>113</v>
      </c>
      <c r="D100" s="1263" t="s">
        <v>40</v>
      </c>
      <c r="E100" s="1263" t="s">
        <v>58</v>
      </c>
      <c r="F100" s="1255"/>
      <c r="G100" s="1255"/>
      <c r="H100" s="1255"/>
      <c r="I100" s="1255"/>
      <c r="J100" s="1255"/>
      <c r="K100" s="1255"/>
      <c r="L100" s="1255"/>
      <c r="M100" s="1255"/>
      <c r="N100" s="1255"/>
      <c r="O100" s="1254"/>
    </row>
    <row r="101" spans="1:15" x14ac:dyDescent="0.25">
      <c r="A101" s="1262">
        <v>10</v>
      </c>
      <c r="B101" s="1293" t="str">
        <f>HYPERLINK("#MS_03001",'MS Parts'!B204)</f>
        <v>Headrest Plate</v>
      </c>
      <c r="C101" s="1261">
        <f>'MS Parts'!N201</f>
        <v>8.0538755999999996</v>
      </c>
      <c r="D101" s="1292">
        <f>'MS Parts'!N202</f>
        <v>1</v>
      </c>
      <c r="E101" s="1261">
        <f>C101*D101</f>
        <v>8.0538755999999996</v>
      </c>
      <c r="F101" s="1255"/>
      <c r="G101" s="1255"/>
      <c r="H101" s="1255"/>
      <c r="I101" s="1255"/>
      <c r="J101" s="1255"/>
      <c r="K101" s="1255"/>
      <c r="L101" s="1255"/>
      <c r="M101" s="1255"/>
      <c r="N101" s="1255"/>
      <c r="O101" s="1254"/>
    </row>
    <row r="102" spans="1:15" x14ac:dyDescent="0.25">
      <c r="A102" s="1262">
        <v>20</v>
      </c>
      <c r="B102" s="1293" t="str">
        <f>HYPERLINK("#MS_03002",'MS Parts'!B230)</f>
        <v>Headrest Top Tabs</v>
      </c>
      <c r="C102" s="1261">
        <f>'MS Parts'!N227</f>
        <v>0.96332825</v>
      </c>
      <c r="D102" s="1292">
        <f>'MS Parts'!N228</f>
        <v>2</v>
      </c>
      <c r="E102" s="1261">
        <f>C102*D102</f>
        <v>1.9266565</v>
      </c>
      <c r="F102" s="1255"/>
      <c r="G102" s="1255"/>
      <c r="H102" s="1255"/>
      <c r="I102" s="1255"/>
      <c r="J102" s="1255"/>
      <c r="K102" s="1255"/>
      <c r="L102" s="1255"/>
      <c r="M102" s="1255"/>
      <c r="N102" s="1255"/>
      <c r="O102" s="1254"/>
    </row>
    <row r="103" spans="1:15" x14ac:dyDescent="0.25">
      <c r="A103" s="1262">
        <v>30</v>
      </c>
      <c r="B103" s="1293" t="str">
        <f>HYPERLINK("#MS_03003",'MS Parts'!B254)</f>
        <v>Headrest Bottom Tabs</v>
      </c>
      <c r="C103" s="1261">
        <f>'MS Parts'!N251</f>
        <v>1.0195596800000002</v>
      </c>
      <c r="D103" s="1292">
        <f>'MS Parts'!N252</f>
        <v>2</v>
      </c>
      <c r="E103" s="1261">
        <f>C103*D103</f>
        <v>2.0391193600000004</v>
      </c>
      <c r="F103" s="1255"/>
      <c r="G103" s="1255"/>
      <c r="H103" s="1255"/>
      <c r="I103" s="1255"/>
      <c r="J103" s="1255"/>
      <c r="K103" s="1255"/>
      <c r="L103" s="1255"/>
      <c r="M103" s="1255"/>
      <c r="N103" s="1255"/>
      <c r="O103" s="1254"/>
    </row>
    <row r="104" spans="1:15" x14ac:dyDescent="0.25">
      <c r="A104" s="1264"/>
      <c r="B104" s="1255"/>
      <c r="C104" s="1255"/>
      <c r="D104" s="1258" t="s">
        <v>58</v>
      </c>
      <c r="E104" s="1257">
        <f>SUM(E101:E103)</f>
        <v>12.01965146</v>
      </c>
      <c r="F104" s="1260"/>
      <c r="G104" s="1260"/>
      <c r="H104" s="1260"/>
      <c r="I104" s="1260"/>
      <c r="J104" s="1260"/>
      <c r="K104" s="1260"/>
      <c r="L104" s="1260"/>
      <c r="M104" s="1260"/>
      <c r="N104" s="1260"/>
      <c r="O104" s="1254"/>
    </row>
    <row r="105" spans="1:15" x14ac:dyDescent="0.25">
      <c r="A105" s="1264"/>
      <c r="B105" s="1255"/>
      <c r="C105" s="1255"/>
      <c r="D105" s="1255"/>
      <c r="E105" s="1255"/>
      <c r="F105" s="1255"/>
      <c r="G105" s="1255"/>
      <c r="H105" s="1255"/>
      <c r="I105" s="1255"/>
      <c r="J105" s="1255"/>
      <c r="K105" s="1255"/>
      <c r="L105" s="1255"/>
      <c r="M105" s="1255"/>
      <c r="N105" s="1255"/>
      <c r="O105" s="1254"/>
    </row>
    <row r="106" spans="1:15" x14ac:dyDescent="0.25">
      <c r="A106" s="1263" t="s">
        <v>67</v>
      </c>
      <c r="B106" s="1263" t="s">
        <v>112</v>
      </c>
      <c r="C106" s="1263" t="s">
        <v>66</v>
      </c>
      <c r="D106" s="1263" t="s">
        <v>65</v>
      </c>
      <c r="E106" s="1263" t="s">
        <v>81</v>
      </c>
      <c r="F106" s="1263" t="s">
        <v>80</v>
      </c>
      <c r="G106" s="1263" t="s">
        <v>79</v>
      </c>
      <c r="H106" s="1263" t="s">
        <v>78</v>
      </c>
      <c r="I106" s="1263" t="s">
        <v>111</v>
      </c>
      <c r="J106" s="1263" t="s">
        <v>110</v>
      </c>
      <c r="K106" s="1263" t="s">
        <v>109</v>
      </c>
      <c r="L106" s="1263" t="s">
        <v>108</v>
      </c>
      <c r="M106" s="1263" t="s">
        <v>40</v>
      </c>
      <c r="N106" s="1263" t="s">
        <v>58</v>
      </c>
      <c r="O106" s="1254"/>
    </row>
    <row r="107" spans="1:15" x14ac:dyDescent="0.25">
      <c r="A107" s="1262">
        <v>10</v>
      </c>
      <c r="B107" s="1262" t="s">
        <v>250</v>
      </c>
      <c r="C107" s="1262" t="s">
        <v>2206</v>
      </c>
      <c r="D107" s="1273">
        <v>10</v>
      </c>
      <c r="E107" s="1262">
        <v>0.01</v>
      </c>
      <c r="F107" s="1262" t="s">
        <v>241</v>
      </c>
      <c r="G107" s="1262"/>
      <c r="H107" s="1289"/>
      <c r="I107" s="1291"/>
      <c r="J107" s="1290"/>
      <c r="K107" s="1289"/>
      <c r="L107" s="1289"/>
      <c r="M107" s="1288">
        <v>1</v>
      </c>
      <c r="N107" s="1273">
        <f>M107*D107*E107</f>
        <v>0.1</v>
      </c>
      <c r="O107" s="1254"/>
    </row>
    <row r="108" spans="1:15" x14ac:dyDescent="0.25">
      <c r="A108" s="1262">
        <v>20</v>
      </c>
      <c r="B108" s="1262" t="s">
        <v>2235</v>
      </c>
      <c r="C108" s="1287" t="s">
        <v>2234</v>
      </c>
      <c r="D108" s="1261">
        <v>5.0000000000000001E-3</v>
      </c>
      <c r="E108" s="1286">
        <v>546</v>
      </c>
      <c r="F108" s="1286" t="s">
        <v>1164</v>
      </c>
      <c r="G108" s="1285">
        <v>4</v>
      </c>
      <c r="H108" s="1278" t="s">
        <v>101</v>
      </c>
      <c r="I108" s="1284"/>
      <c r="J108" s="1277"/>
      <c r="K108" s="1283"/>
      <c r="L108" s="1282"/>
      <c r="M108" s="1265">
        <v>1</v>
      </c>
      <c r="N108" s="1261">
        <f>M108*D108*E108*G108</f>
        <v>10.92</v>
      </c>
      <c r="O108" s="1281"/>
    </row>
    <row r="109" spans="1:15" x14ac:dyDescent="0.25">
      <c r="A109" s="1262">
        <v>30</v>
      </c>
      <c r="B109" s="1262" t="s">
        <v>2233</v>
      </c>
      <c r="C109" s="1262" t="s">
        <v>2232</v>
      </c>
      <c r="D109" s="1261">
        <v>2.5</v>
      </c>
      <c r="E109" s="1280">
        <v>0.2</v>
      </c>
      <c r="F109" s="1262" t="s">
        <v>241</v>
      </c>
      <c r="G109" s="1262"/>
      <c r="H109" s="1278"/>
      <c r="I109" s="1276"/>
      <c r="J109" s="1279"/>
      <c r="K109" s="1278"/>
      <c r="L109" s="1277"/>
      <c r="M109" s="1265">
        <v>1</v>
      </c>
      <c r="N109" s="1261">
        <f>M109*D109*E109</f>
        <v>0.5</v>
      </c>
      <c r="O109" s="1254"/>
    </row>
    <row r="110" spans="1:15" x14ac:dyDescent="0.25">
      <c r="A110" s="1262">
        <v>40</v>
      </c>
      <c r="B110" s="1262" t="s">
        <v>383</v>
      </c>
      <c r="C110" s="1262" t="s">
        <v>2231</v>
      </c>
      <c r="D110" s="1261">
        <v>0</v>
      </c>
      <c r="E110" s="1280"/>
      <c r="F110" s="1262"/>
      <c r="G110" s="1262"/>
      <c r="H110" s="1278"/>
      <c r="I110" s="1276"/>
      <c r="J110" s="1279"/>
      <c r="K110" s="1278"/>
      <c r="L110" s="1277"/>
      <c r="M110" s="1265">
        <v>0</v>
      </c>
      <c r="N110" s="1261">
        <f>M110*D110*E110</f>
        <v>0</v>
      </c>
      <c r="O110" s="1254"/>
    </row>
    <row r="111" spans="1:15" x14ac:dyDescent="0.25">
      <c r="A111" s="1259"/>
      <c r="B111" s="1256"/>
      <c r="C111" s="1256" t="s">
        <v>2197</v>
      </c>
      <c r="D111" s="1256"/>
      <c r="E111" s="1256"/>
      <c r="F111" s="1256"/>
      <c r="G111" s="1256"/>
      <c r="H111" s="1256"/>
      <c r="I111" s="1256"/>
      <c r="J111" s="1256"/>
      <c r="K111" s="1256"/>
      <c r="L111" s="1256"/>
      <c r="M111" s="1263" t="s">
        <v>58</v>
      </c>
      <c r="N111" s="1257">
        <f>SUM(N107:N110)</f>
        <v>11.52</v>
      </c>
      <c r="O111" s="1254"/>
    </row>
    <row r="112" spans="1:15" x14ac:dyDescent="0.25">
      <c r="A112" s="1264"/>
      <c r="B112" s="1255"/>
      <c r="C112" s="1255"/>
      <c r="D112" s="1255"/>
      <c r="E112" s="1255"/>
      <c r="F112" s="1255"/>
      <c r="G112" s="1255"/>
      <c r="H112" s="1255"/>
      <c r="I112" s="1255"/>
      <c r="J112" s="1255"/>
      <c r="K112" s="1255"/>
      <c r="L112" s="1255"/>
      <c r="M112" s="1255"/>
      <c r="N112" s="1255"/>
      <c r="O112" s="1254"/>
    </row>
    <row r="113" spans="1:15" x14ac:dyDescent="0.25">
      <c r="A113" s="1263" t="s">
        <v>67</v>
      </c>
      <c r="B113" s="1263" t="s">
        <v>106</v>
      </c>
      <c r="C113" s="1263" t="s">
        <v>66</v>
      </c>
      <c r="D113" s="1263" t="s">
        <v>65</v>
      </c>
      <c r="E113" s="1263" t="s">
        <v>64</v>
      </c>
      <c r="F113" s="1263" t="s">
        <v>40</v>
      </c>
      <c r="G113" s="1263" t="s">
        <v>105</v>
      </c>
      <c r="H113" s="1263" t="s">
        <v>104</v>
      </c>
      <c r="I113" s="1263" t="s">
        <v>58</v>
      </c>
      <c r="J113" s="1256"/>
      <c r="K113" s="1256"/>
      <c r="L113" s="1256"/>
      <c r="M113" s="1256"/>
      <c r="N113" s="1256"/>
      <c r="O113" s="1269"/>
    </row>
    <row r="114" spans="1:15" x14ac:dyDescent="0.25">
      <c r="A114" s="1262">
        <v>10</v>
      </c>
      <c r="B114" s="1274" t="s">
        <v>87</v>
      </c>
      <c r="C114" s="1287" t="s">
        <v>2230</v>
      </c>
      <c r="D114" s="1273">
        <v>0.06</v>
      </c>
      <c r="E114" s="1262" t="s">
        <v>64</v>
      </c>
      <c r="F114" s="1270">
        <v>1</v>
      </c>
      <c r="G114" s="1262"/>
      <c r="H114" s="1262"/>
      <c r="I114" s="1273">
        <f t="shared" ref="I114:I127" si="3">IF(H114="",D114*F114,D114*F114*H114)</f>
        <v>0.06</v>
      </c>
      <c r="J114" s="1260"/>
      <c r="K114" s="1260"/>
      <c r="L114" s="1260"/>
      <c r="M114" s="1260"/>
      <c r="N114" s="1260"/>
      <c r="O114" s="1271"/>
    </row>
    <row r="115" spans="1:15" x14ac:dyDescent="0.25">
      <c r="A115" s="1262">
        <v>20</v>
      </c>
      <c r="B115" s="1272" t="s">
        <v>85</v>
      </c>
      <c r="C115" s="1287" t="s">
        <v>2220</v>
      </c>
      <c r="D115" s="1261">
        <v>0.75</v>
      </c>
      <c r="E115" s="1262" t="s">
        <v>64</v>
      </c>
      <c r="F115" s="1270">
        <v>4</v>
      </c>
      <c r="G115" s="1262"/>
      <c r="H115" s="1262"/>
      <c r="I115" s="1261">
        <f t="shared" si="3"/>
        <v>3</v>
      </c>
      <c r="J115" s="1260"/>
      <c r="K115" s="1260"/>
      <c r="L115" s="1260"/>
      <c r="M115" s="1260"/>
      <c r="N115" s="1260"/>
      <c r="O115" s="1271"/>
    </row>
    <row r="116" spans="1:15" x14ac:dyDescent="0.25">
      <c r="A116" s="1262">
        <v>30</v>
      </c>
      <c r="B116" s="1262" t="s">
        <v>103</v>
      </c>
      <c r="C116" s="1287" t="s">
        <v>2021</v>
      </c>
      <c r="D116" s="1273">
        <v>0.15</v>
      </c>
      <c r="E116" s="1262" t="s">
        <v>101</v>
      </c>
      <c r="F116" s="1270">
        <v>11.5</v>
      </c>
      <c r="G116" s="1270"/>
      <c r="H116" s="1270"/>
      <c r="I116" s="1273">
        <f t="shared" si="3"/>
        <v>1.7249999999999999</v>
      </c>
      <c r="J116" s="1255"/>
      <c r="K116" s="1255"/>
      <c r="L116" s="1255"/>
      <c r="M116" s="1255"/>
      <c r="N116" s="1255"/>
      <c r="O116" s="1254"/>
    </row>
    <row r="117" spans="1:15" x14ac:dyDescent="0.25">
      <c r="A117" s="1262">
        <v>40</v>
      </c>
      <c r="B117" s="1272" t="s">
        <v>85</v>
      </c>
      <c r="C117" s="1287" t="s">
        <v>2229</v>
      </c>
      <c r="D117" s="1261">
        <v>0.75</v>
      </c>
      <c r="E117" s="1262" t="s">
        <v>64</v>
      </c>
      <c r="F117" s="1270">
        <v>4</v>
      </c>
      <c r="G117" s="1262"/>
      <c r="H117" s="1262"/>
      <c r="I117" s="1261">
        <f t="shared" si="3"/>
        <v>3</v>
      </c>
      <c r="J117" s="1260"/>
      <c r="K117" s="1260"/>
      <c r="L117" s="1260"/>
      <c r="M117" s="1260"/>
      <c r="N117" s="1260"/>
      <c r="O117" s="1271"/>
    </row>
    <row r="118" spans="1:15" x14ac:dyDescent="0.25">
      <c r="A118" s="1262">
        <v>50</v>
      </c>
      <c r="B118" s="1274" t="s">
        <v>243</v>
      </c>
      <c r="C118" s="1287" t="s">
        <v>2204</v>
      </c>
      <c r="D118" s="1273">
        <v>5.25</v>
      </c>
      <c r="E118" s="1274" t="s">
        <v>241</v>
      </c>
      <c r="F118" s="1275">
        <v>5.0000000000000001E-3</v>
      </c>
      <c r="G118" s="1262"/>
      <c r="H118" s="1262"/>
      <c r="I118" s="1273">
        <f t="shared" si="3"/>
        <v>2.6249999999999999E-2</v>
      </c>
      <c r="J118" s="1255"/>
      <c r="K118" s="1255"/>
      <c r="L118" s="1255"/>
      <c r="M118" s="1255"/>
      <c r="N118" s="1255"/>
      <c r="O118" s="1254"/>
    </row>
    <row r="119" spans="1:15" x14ac:dyDescent="0.25">
      <c r="A119" s="1262">
        <v>60</v>
      </c>
      <c r="B119" s="1274" t="s">
        <v>290</v>
      </c>
      <c r="C119" s="1287" t="s">
        <v>2228</v>
      </c>
      <c r="D119" s="1273">
        <v>0.06</v>
      </c>
      <c r="E119" s="1262" t="s">
        <v>101</v>
      </c>
      <c r="F119" s="1270">
        <v>90</v>
      </c>
      <c r="G119" s="1262"/>
      <c r="H119" s="1262"/>
      <c r="I119" s="1273">
        <f t="shared" si="3"/>
        <v>5.3999999999999995</v>
      </c>
      <c r="J119" s="1260"/>
      <c r="K119" s="1260"/>
      <c r="L119" s="1260"/>
      <c r="M119" s="1260"/>
      <c r="N119" s="1260"/>
      <c r="O119" s="1271"/>
    </row>
    <row r="120" spans="1:15" x14ac:dyDescent="0.25">
      <c r="A120" s="1262">
        <v>70</v>
      </c>
      <c r="B120" s="1274" t="s">
        <v>290</v>
      </c>
      <c r="C120" s="1287" t="s">
        <v>2227</v>
      </c>
      <c r="D120" s="1273">
        <v>0.06</v>
      </c>
      <c r="E120" s="1262" t="s">
        <v>101</v>
      </c>
      <c r="F120" s="1270">
        <v>120</v>
      </c>
      <c r="G120" s="1262"/>
      <c r="H120" s="1262"/>
      <c r="I120" s="1273">
        <f t="shared" si="3"/>
        <v>7.1999999999999993</v>
      </c>
      <c r="J120" s="1260"/>
      <c r="K120" s="1260"/>
      <c r="L120" s="1260"/>
      <c r="M120" s="1260"/>
      <c r="N120" s="1260"/>
      <c r="O120" s="1271"/>
    </row>
    <row r="121" spans="1:15" x14ac:dyDescent="0.25">
      <c r="A121" s="1262">
        <v>80</v>
      </c>
      <c r="B121" s="1274" t="s">
        <v>2224</v>
      </c>
      <c r="C121" s="1287" t="s">
        <v>2226</v>
      </c>
      <c r="D121" s="1273">
        <v>0.02</v>
      </c>
      <c r="E121" s="1262" t="s">
        <v>1164</v>
      </c>
      <c r="F121" s="1270">
        <v>820</v>
      </c>
      <c r="G121" s="1262"/>
      <c r="H121" s="1262"/>
      <c r="I121" s="1273">
        <f t="shared" si="3"/>
        <v>16.399999999999999</v>
      </c>
      <c r="J121" s="1260"/>
      <c r="K121" s="1260"/>
      <c r="L121" s="1260"/>
      <c r="M121" s="1260"/>
      <c r="N121" s="1260"/>
      <c r="O121" s="1271"/>
    </row>
    <row r="122" spans="1:15" x14ac:dyDescent="0.25">
      <c r="A122" s="1262">
        <v>90</v>
      </c>
      <c r="B122" s="1274" t="s">
        <v>145</v>
      </c>
      <c r="C122" s="1287" t="s">
        <v>2225</v>
      </c>
      <c r="D122" s="1273">
        <v>0.13</v>
      </c>
      <c r="E122" s="1262" t="s">
        <v>64</v>
      </c>
      <c r="F122" s="1270">
        <v>1</v>
      </c>
      <c r="G122" s="1262"/>
      <c r="H122" s="1262"/>
      <c r="I122" s="1273">
        <f t="shared" si="3"/>
        <v>0.13</v>
      </c>
      <c r="J122" s="1260"/>
      <c r="K122" s="1260"/>
      <c r="L122" s="1260"/>
      <c r="M122" s="1260"/>
      <c r="N122" s="1260"/>
      <c r="O122" s="1271"/>
    </row>
    <row r="123" spans="1:15" x14ac:dyDescent="0.25">
      <c r="A123" s="1262">
        <v>100</v>
      </c>
      <c r="B123" s="1274" t="s">
        <v>2224</v>
      </c>
      <c r="C123" s="1287" t="s">
        <v>2223</v>
      </c>
      <c r="D123" s="1273">
        <v>0.02</v>
      </c>
      <c r="E123" s="1262" t="s">
        <v>1164</v>
      </c>
      <c r="F123" s="1270">
        <v>360</v>
      </c>
      <c r="G123" s="1262"/>
      <c r="H123" s="1262"/>
      <c r="I123" s="1273">
        <f t="shared" si="3"/>
        <v>7.2</v>
      </c>
      <c r="J123" s="1260"/>
      <c r="K123" s="1260"/>
      <c r="L123" s="1260"/>
      <c r="M123" s="1260"/>
      <c r="N123" s="1260"/>
      <c r="O123" s="1271"/>
    </row>
    <row r="124" spans="1:15" ht="19.5" customHeight="1" x14ac:dyDescent="0.25">
      <c r="A124" s="1262">
        <v>110</v>
      </c>
      <c r="B124" s="1274" t="s">
        <v>87</v>
      </c>
      <c r="C124" s="1287" t="s">
        <v>2222</v>
      </c>
      <c r="D124" s="1273">
        <v>0.06</v>
      </c>
      <c r="E124" s="1262" t="s">
        <v>64</v>
      </c>
      <c r="F124" s="1270">
        <v>1</v>
      </c>
      <c r="G124" s="1262"/>
      <c r="H124" s="1262"/>
      <c r="I124" s="1273">
        <f t="shared" si="3"/>
        <v>0.06</v>
      </c>
      <c r="J124" s="1260"/>
      <c r="K124" s="1260"/>
      <c r="L124" s="1260"/>
      <c r="M124" s="1260"/>
      <c r="N124" s="1260"/>
      <c r="O124" s="1271"/>
    </row>
    <row r="125" spans="1:15" x14ac:dyDescent="0.25">
      <c r="A125" s="1262">
        <v>120</v>
      </c>
      <c r="B125" s="1274" t="s">
        <v>145</v>
      </c>
      <c r="C125" s="1287" t="s">
        <v>2221</v>
      </c>
      <c r="D125" s="1273">
        <v>0.13</v>
      </c>
      <c r="E125" s="1262" t="s">
        <v>64</v>
      </c>
      <c r="F125" s="1270">
        <v>1</v>
      </c>
      <c r="G125" s="1262"/>
      <c r="H125" s="1262"/>
      <c r="I125" s="1273">
        <f t="shared" si="3"/>
        <v>0.13</v>
      </c>
      <c r="J125" s="1260"/>
      <c r="K125" s="1260"/>
      <c r="L125" s="1260"/>
      <c r="M125" s="1260"/>
      <c r="N125" s="1260"/>
      <c r="O125" s="1271"/>
    </row>
    <row r="126" spans="1:15" x14ac:dyDescent="0.25">
      <c r="A126" s="1262">
        <v>130</v>
      </c>
      <c r="B126" s="1272" t="s">
        <v>163</v>
      </c>
      <c r="C126" s="1287" t="s">
        <v>2220</v>
      </c>
      <c r="D126" s="1261">
        <v>0.75</v>
      </c>
      <c r="E126" s="1262" t="s">
        <v>64</v>
      </c>
      <c r="F126" s="1270">
        <v>4</v>
      </c>
      <c r="G126" s="1262"/>
      <c r="H126" s="1262"/>
      <c r="I126" s="1261">
        <f t="shared" si="3"/>
        <v>3</v>
      </c>
      <c r="J126" s="1260"/>
      <c r="K126" s="1260"/>
      <c r="L126" s="1260"/>
      <c r="M126" s="1260"/>
      <c r="N126" s="1260"/>
      <c r="O126" s="1271"/>
    </row>
    <row r="127" spans="1:15" x14ac:dyDescent="0.25">
      <c r="A127" s="1262">
        <v>140</v>
      </c>
      <c r="B127" s="1262" t="s">
        <v>162</v>
      </c>
      <c r="C127" s="1287" t="s">
        <v>2219</v>
      </c>
      <c r="D127" s="1261">
        <v>0.25</v>
      </c>
      <c r="E127" s="1262" t="s">
        <v>64</v>
      </c>
      <c r="F127" s="1270">
        <v>4</v>
      </c>
      <c r="G127" s="1270"/>
      <c r="H127" s="1270"/>
      <c r="I127" s="1261">
        <f t="shared" si="3"/>
        <v>1</v>
      </c>
      <c r="J127" s="1260"/>
      <c r="K127" s="1260"/>
      <c r="L127" s="1260"/>
      <c r="M127" s="1260"/>
      <c r="N127" s="1260"/>
      <c r="O127" s="1269"/>
    </row>
    <row r="128" spans="1:15" x14ac:dyDescent="0.25">
      <c r="A128" s="1259"/>
      <c r="B128" s="1256"/>
      <c r="C128" s="1256" t="s">
        <v>2197</v>
      </c>
      <c r="D128" s="1256"/>
      <c r="E128" s="1256"/>
      <c r="F128" s="1256"/>
      <c r="G128" s="1256"/>
      <c r="H128" s="1258" t="s">
        <v>58</v>
      </c>
      <c r="I128" s="1257">
        <f>SUM(I114:I127)</f>
        <v>48.331250000000011</v>
      </c>
      <c r="J128" s="1255"/>
      <c r="K128" s="1255"/>
      <c r="L128" s="1255"/>
      <c r="M128" s="1255"/>
      <c r="N128" s="1255"/>
      <c r="O128" s="1254"/>
    </row>
    <row r="129" spans="1:15" x14ac:dyDescent="0.25">
      <c r="A129" s="1264"/>
      <c r="B129" s="1255"/>
      <c r="C129" s="1255"/>
      <c r="D129" s="1255"/>
      <c r="E129" s="1255"/>
      <c r="F129" s="1255"/>
      <c r="G129" s="1255"/>
      <c r="H129" s="1255"/>
      <c r="I129" s="1255"/>
      <c r="J129" s="1255"/>
      <c r="K129" s="1255"/>
      <c r="L129" s="1255"/>
      <c r="M129" s="1255"/>
      <c r="N129" s="1255"/>
      <c r="O129" s="1254"/>
    </row>
    <row r="130" spans="1:15" x14ac:dyDescent="0.25">
      <c r="A130" s="1263" t="s">
        <v>67</v>
      </c>
      <c r="B130" s="1263" t="s">
        <v>82</v>
      </c>
      <c r="C130" s="1263" t="s">
        <v>66</v>
      </c>
      <c r="D130" s="1263" t="s">
        <v>65</v>
      </c>
      <c r="E130" s="1263" t="s">
        <v>81</v>
      </c>
      <c r="F130" s="1263" t="s">
        <v>80</v>
      </c>
      <c r="G130" s="1263" t="s">
        <v>79</v>
      </c>
      <c r="H130" s="1263" t="s">
        <v>78</v>
      </c>
      <c r="I130" s="1263" t="s">
        <v>40</v>
      </c>
      <c r="J130" s="1263" t="s">
        <v>58</v>
      </c>
      <c r="K130" s="1255"/>
      <c r="L130" s="1255"/>
      <c r="M130" s="1255"/>
      <c r="N130" s="1255"/>
      <c r="O130" s="1254"/>
    </row>
    <row r="131" spans="1:15" x14ac:dyDescent="0.25">
      <c r="A131" s="1262">
        <v>10</v>
      </c>
      <c r="B131" s="1262" t="s">
        <v>2218</v>
      </c>
      <c r="C131" s="1262" t="s">
        <v>2215</v>
      </c>
      <c r="D131" s="1267">
        <v>0.06</v>
      </c>
      <c r="E131" s="1268">
        <v>6</v>
      </c>
      <c r="F131" s="1268" t="s">
        <v>68</v>
      </c>
      <c r="G131" s="1268"/>
      <c r="H131" s="1268"/>
      <c r="I131" s="1265">
        <v>4</v>
      </c>
      <c r="J131" s="1261">
        <f>I131*D131</f>
        <v>0.24</v>
      </c>
      <c r="K131" s="1255"/>
      <c r="L131" s="1255"/>
      <c r="M131" s="1255"/>
      <c r="N131" s="1255"/>
      <c r="O131" s="1254"/>
    </row>
    <row r="132" spans="1:15" x14ac:dyDescent="0.25">
      <c r="A132" s="1262">
        <v>20</v>
      </c>
      <c r="B132" s="1262" t="s">
        <v>2217</v>
      </c>
      <c r="C132" s="1262" t="s">
        <v>2215</v>
      </c>
      <c r="D132" s="1267">
        <v>0.22</v>
      </c>
      <c r="E132" s="1262">
        <v>6</v>
      </c>
      <c r="F132" s="1266" t="s">
        <v>68</v>
      </c>
      <c r="G132" s="1262"/>
      <c r="H132" s="1262"/>
      <c r="I132" s="1265">
        <v>4</v>
      </c>
      <c r="J132" s="1261">
        <f>I132*D132</f>
        <v>0.88</v>
      </c>
      <c r="K132" s="1255"/>
      <c r="L132" s="1255"/>
      <c r="M132" s="1255"/>
      <c r="N132" s="1255"/>
      <c r="O132" s="1254"/>
    </row>
    <row r="133" spans="1:15" x14ac:dyDescent="0.25">
      <c r="A133" s="1262">
        <v>30</v>
      </c>
      <c r="B133" s="1262" t="s">
        <v>2216</v>
      </c>
      <c r="C133" s="1262" t="s">
        <v>2215</v>
      </c>
      <c r="D133" s="1267">
        <v>0.02</v>
      </c>
      <c r="E133" s="1262">
        <v>6</v>
      </c>
      <c r="F133" s="1266" t="s">
        <v>68</v>
      </c>
      <c r="G133" s="1262"/>
      <c r="H133" s="1262"/>
      <c r="I133" s="1265">
        <v>8</v>
      </c>
      <c r="J133" s="1261">
        <f>I133*D133</f>
        <v>0.16</v>
      </c>
      <c r="K133" s="1255"/>
      <c r="L133" s="1255"/>
      <c r="M133" s="1255"/>
      <c r="N133" s="1255"/>
      <c r="O133" s="1254"/>
    </row>
    <row r="134" spans="1:15" x14ac:dyDescent="0.25">
      <c r="A134" s="1259"/>
      <c r="B134" s="1256"/>
      <c r="C134" s="1256"/>
      <c r="D134" s="1256"/>
      <c r="E134" s="1256"/>
      <c r="F134" s="1256"/>
      <c r="G134" s="1256"/>
      <c r="H134" s="1256"/>
      <c r="I134" s="1258" t="s">
        <v>58</v>
      </c>
      <c r="J134" s="1257">
        <f>SUM(J131:J133)</f>
        <v>1.28</v>
      </c>
      <c r="K134" s="1255"/>
      <c r="L134" s="1255"/>
      <c r="M134" s="1255"/>
      <c r="N134" s="1255"/>
      <c r="O134" s="1254"/>
    </row>
    <row r="135" spans="1:15" x14ac:dyDescent="0.25">
      <c r="A135" s="1264"/>
      <c r="B135" s="1255"/>
      <c r="C135" s="1255"/>
      <c r="D135" s="1255"/>
      <c r="E135" s="1255"/>
      <c r="F135" s="1255"/>
      <c r="G135" s="1255"/>
      <c r="H135" s="1255"/>
      <c r="I135" s="1255"/>
      <c r="J135" s="1255"/>
      <c r="K135" s="1255"/>
      <c r="L135" s="1255"/>
      <c r="M135" s="1255"/>
      <c r="N135" s="1255"/>
      <c r="O135" s="1254"/>
    </row>
    <row r="136" spans="1:15" x14ac:dyDescent="0.25">
      <c r="A136" s="1263" t="s">
        <v>67</v>
      </c>
      <c r="B136" s="1263" t="s">
        <v>13</v>
      </c>
      <c r="C136" s="1263" t="s">
        <v>66</v>
      </c>
      <c r="D136" s="1263" t="s">
        <v>65</v>
      </c>
      <c r="E136" s="1263" t="s">
        <v>64</v>
      </c>
      <c r="F136" s="1263" t="s">
        <v>40</v>
      </c>
      <c r="G136" s="1263" t="s">
        <v>63</v>
      </c>
      <c r="H136" s="1263" t="s">
        <v>62</v>
      </c>
      <c r="I136" s="1263" t="s">
        <v>58</v>
      </c>
      <c r="J136" s="1256"/>
      <c r="K136" s="1255"/>
      <c r="L136" s="1255"/>
      <c r="M136" s="1255"/>
      <c r="N136" s="1255"/>
      <c r="O136" s="1254"/>
    </row>
    <row r="137" spans="1:15" x14ac:dyDescent="0.25">
      <c r="A137" s="1262">
        <v>10</v>
      </c>
      <c r="B137" s="1262" t="s">
        <v>61</v>
      </c>
      <c r="C137" s="1262" t="s">
        <v>2021</v>
      </c>
      <c r="D137" s="1261">
        <v>500</v>
      </c>
      <c r="E137" s="1262" t="s">
        <v>59</v>
      </c>
      <c r="F137" s="1262">
        <v>8</v>
      </c>
      <c r="G137" s="1262">
        <v>3000</v>
      </c>
      <c r="H137" s="1262">
        <v>1</v>
      </c>
      <c r="I137" s="1261">
        <f>D137*F137/G137*H137</f>
        <v>1.3333333333333333</v>
      </c>
      <c r="J137" s="1260"/>
      <c r="K137" s="1255"/>
      <c r="L137" s="1255"/>
      <c r="M137" s="1255"/>
      <c r="N137" s="1255"/>
      <c r="O137" s="1254"/>
    </row>
    <row r="138" spans="1:15" x14ac:dyDescent="0.25">
      <c r="A138" s="1259"/>
      <c r="B138" s="1256"/>
      <c r="C138" s="1256"/>
      <c r="D138" s="1256"/>
      <c r="E138" s="1256"/>
      <c r="F138" s="1256"/>
      <c r="G138" s="1256"/>
      <c r="H138" s="1258" t="s">
        <v>58</v>
      </c>
      <c r="I138" s="1257">
        <f>SUM(I137)</f>
        <v>1.3333333333333333</v>
      </c>
      <c r="J138" s="1256"/>
      <c r="K138" s="1255"/>
      <c r="L138" s="1255"/>
      <c r="M138" s="1255"/>
      <c r="N138" s="1255"/>
      <c r="O138" s="1254"/>
    </row>
    <row r="139" spans="1:15" ht="15.75" thickBot="1" x14ac:dyDescent="0.3">
      <c r="A139" s="1253"/>
      <c r="B139" s="1252"/>
      <c r="C139" s="1252"/>
      <c r="D139" s="1252"/>
      <c r="E139" s="1252"/>
      <c r="F139" s="1252"/>
      <c r="G139" s="1252"/>
      <c r="H139" s="1252"/>
      <c r="I139" s="1252"/>
      <c r="J139" s="1252"/>
      <c r="K139" s="1252"/>
      <c r="L139" s="1252"/>
      <c r="M139" s="1252"/>
      <c r="N139" s="1252"/>
      <c r="O139" s="1251"/>
    </row>
    <row r="140" spans="1:15" ht="15.75" thickBot="1" x14ac:dyDescent="0.3">
      <c r="A140" s="1302"/>
      <c r="B140" s="1302"/>
      <c r="C140" s="1302"/>
      <c r="D140" s="1302"/>
      <c r="E140" s="1302"/>
      <c r="F140" s="1302"/>
      <c r="G140" s="1302"/>
      <c r="H140" s="1302"/>
      <c r="I140" s="1302"/>
      <c r="J140" s="1302"/>
      <c r="K140" s="1302"/>
      <c r="L140" s="1302"/>
      <c r="M140" s="1302"/>
      <c r="N140" s="1302"/>
      <c r="O140" s="1302"/>
    </row>
    <row r="141" spans="1:15" x14ac:dyDescent="0.25">
      <c r="A141" s="1301"/>
      <c r="B141" s="1300"/>
      <c r="C141" s="1300"/>
      <c r="D141" s="1300"/>
      <c r="E141" s="1300"/>
      <c r="F141" s="1300"/>
      <c r="G141" s="1300"/>
      <c r="H141" s="1300"/>
      <c r="I141" s="1300"/>
      <c r="J141" s="1300"/>
      <c r="K141" s="1300"/>
      <c r="L141" s="1300"/>
      <c r="M141" s="1300"/>
      <c r="N141" s="1300"/>
      <c r="O141" s="1299"/>
    </row>
    <row r="142" spans="1:15" x14ac:dyDescent="0.25">
      <c r="A142" s="1263" t="s">
        <v>57</v>
      </c>
      <c r="B142" s="1294" t="s">
        <v>523</v>
      </c>
      <c r="C142" s="1255"/>
      <c r="D142" s="1255"/>
      <c r="E142" s="1255"/>
      <c r="F142" s="1255"/>
      <c r="G142" s="1255"/>
      <c r="H142" s="1255"/>
      <c r="I142" s="1255"/>
      <c r="J142" s="1263" t="s">
        <v>51</v>
      </c>
      <c r="K142" s="1298">
        <v>81</v>
      </c>
      <c r="L142" s="1255"/>
      <c r="M142" s="1263" t="s">
        <v>126</v>
      </c>
      <c r="N142" s="1261">
        <f>E151+I156+J160</f>
        <v>9.42</v>
      </c>
      <c r="O142" s="1254"/>
    </row>
    <row r="143" spans="1:15" x14ac:dyDescent="0.25">
      <c r="A143" s="1263" t="s">
        <v>125</v>
      </c>
      <c r="B143" s="1297" t="s">
        <v>2210</v>
      </c>
      <c r="C143" s="1255"/>
      <c r="D143" s="1255"/>
      <c r="E143" s="1255"/>
      <c r="F143" s="1255"/>
      <c r="G143" s="1255"/>
      <c r="H143" s="1255"/>
      <c r="I143" s="1255"/>
      <c r="J143" s="1255"/>
      <c r="K143" s="1255"/>
      <c r="L143" s="1255"/>
      <c r="M143" s="1263" t="s">
        <v>124</v>
      </c>
      <c r="N143" s="1265">
        <v>1</v>
      </c>
      <c r="O143" s="1254"/>
    </row>
    <row r="144" spans="1:15" x14ac:dyDescent="0.25">
      <c r="A144" s="1263" t="s">
        <v>123</v>
      </c>
      <c r="B144" s="1260" t="s">
        <v>2214</v>
      </c>
      <c r="C144" s="1255"/>
      <c r="D144" s="1255"/>
      <c r="E144" s="1255"/>
      <c r="F144" s="1255"/>
      <c r="G144" s="1255"/>
      <c r="H144" s="1255"/>
      <c r="I144" s="1255"/>
      <c r="J144" s="1295" t="s">
        <v>122</v>
      </c>
      <c r="K144" s="1255"/>
      <c r="L144" s="1255"/>
      <c r="M144" s="1255"/>
      <c r="N144" s="1255"/>
      <c r="O144" s="1254"/>
    </row>
    <row r="145" spans="1:15" x14ac:dyDescent="0.25">
      <c r="A145" s="1263" t="s">
        <v>121</v>
      </c>
      <c r="B145" s="1296" t="s">
        <v>2213</v>
      </c>
      <c r="C145" s="1255"/>
      <c r="D145" s="1255"/>
      <c r="E145" s="1255"/>
      <c r="F145" s="1255"/>
      <c r="G145" s="1255"/>
      <c r="H145" s="1255"/>
      <c r="I145" s="1255"/>
      <c r="J145" s="1295" t="s">
        <v>119</v>
      </c>
      <c r="K145" s="1255"/>
      <c r="L145" s="1255"/>
      <c r="M145" s="1263" t="s">
        <v>118</v>
      </c>
      <c r="N145" s="1261">
        <f>N142*N143</f>
        <v>9.42</v>
      </c>
      <c r="O145" s="1254"/>
    </row>
    <row r="146" spans="1:15" x14ac:dyDescent="0.25">
      <c r="A146" s="1263" t="s">
        <v>117</v>
      </c>
      <c r="B146" s="1294" t="s">
        <v>23</v>
      </c>
      <c r="C146" s="1255"/>
      <c r="D146" s="1255"/>
      <c r="E146" s="1255"/>
      <c r="F146" s="1255"/>
      <c r="G146" s="1255"/>
      <c r="H146" s="1255"/>
      <c r="I146" s="1255"/>
      <c r="J146" s="1295" t="s">
        <v>116</v>
      </c>
      <c r="K146" s="1255"/>
      <c r="L146" s="1255"/>
      <c r="M146" s="1255"/>
      <c r="N146" s="1255"/>
      <c r="O146" s="1254"/>
    </row>
    <row r="147" spans="1:15" x14ac:dyDescent="0.25">
      <c r="A147" s="1263" t="s">
        <v>115</v>
      </c>
      <c r="B147" s="1294" t="s">
        <v>2212</v>
      </c>
      <c r="C147" s="1255"/>
      <c r="D147" s="1255"/>
      <c r="E147" s="1255"/>
      <c r="F147" s="1255"/>
      <c r="G147" s="1255"/>
      <c r="H147" s="1255"/>
      <c r="I147" s="1255"/>
      <c r="J147" s="1255"/>
      <c r="K147" s="1255"/>
      <c r="L147" s="1255"/>
      <c r="M147" s="1255"/>
      <c r="N147" s="1255"/>
      <c r="O147" s="1254"/>
    </row>
    <row r="148" spans="1:15" x14ac:dyDescent="0.25">
      <c r="A148" s="1264"/>
      <c r="B148" s="1255"/>
      <c r="C148" s="1255"/>
      <c r="D148" s="1255"/>
      <c r="E148" s="1255"/>
      <c r="F148" s="1255"/>
      <c r="G148" s="1255"/>
      <c r="H148" s="1255"/>
      <c r="I148" s="1255"/>
      <c r="J148" s="1255"/>
      <c r="K148" s="1255"/>
      <c r="L148" s="1255"/>
      <c r="M148" s="1255"/>
      <c r="N148" s="1255"/>
      <c r="O148" s="1254"/>
    </row>
    <row r="149" spans="1:15" x14ac:dyDescent="0.25">
      <c r="A149" s="1263" t="s">
        <v>67</v>
      </c>
      <c r="B149" s="1263" t="s">
        <v>114</v>
      </c>
      <c r="C149" s="1263" t="s">
        <v>113</v>
      </c>
      <c r="D149" s="1263" t="s">
        <v>40</v>
      </c>
      <c r="E149" s="1263" t="s">
        <v>58</v>
      </c>
      <c r="F149" s="1255"/>
      <c r="G149" s="1255"/>
      <c r="H149" s="1255"/>
      <c r="I149" s="1255"/>
      <c r="J149" s="1255"/>
      <c r="K149" s="1255"/>
      <c r="L149" s="1255"/>
      <c r="M149" s="1255"/>
      <c r="N149" s="1255"/>
      <c r="O149" s="1254"/>
    </row>
    <row r="150" spans="1:15" x14ac:dyDescent="0.25">
      <c r="A150" s="1262">
        <v>10</v>
      </c>
      <c r="B150" s="1293" t="str">
        <f>HYPERLINK("#MS_04001",'MS Parts'!B278)</f>
        <v>Roll Bar Padding</v>
      </c>
      <c r="C150" s="1261">
        <f>'MS Parts'!N275</f>
        <v>4.5</v>
      </c>
      <c r="D150" s="1292">
        <f>'MS Parts'!N276</f>
        <v>2</v>
      </c>
      <c r="E150" s="1261">
        <f>C150*D150</f>
        <v>9</v>
      </c>
      <c r="F150" s="1255"/>
      <c r="G150" s="1255"/>
      <c r="H150" s="1255"/>
      <c r="I150" s="1255"/>
      <c r="J150" s="1255"/>
      <c r="K150" s="1255"/>
      <c r="L150" s="1255"/>
      <c r="M150" s="1255"/>
      <c r="N150" s="1255"/>
      <c r="O150" s="1254"/>
    </row>
    <row r="151" spans="1:15" x14ac:dyDescent="0.25">
      <c r="A151" s="1264"/>
      <c r="B151" s="1255"/>
      <c r="C151" s="1255"/>
      <c r="D151" s="1258" t="s">
        <v>58</v>
      </c>
      <c r="E151" s="1304">
        <f>E150</f>
        <v>9</v>
      </c>
      <c r="F151" s="1260"/>
      <c r="G151" s="1260"/>
      <c r="H151" s="1260"/>
      <c r="I151" s="1260"/>
      <c r="J151" s="1260"/>
      <c r="K151" s="1260"/>
      <c r="L151" s="1260"/>
      <c r="M151" s="1260"/>
      <c r="N151" s="1260"/>
      <c r="O151" s="1254"/>
    </row>
    <row r="152" spans="1:15" x14ac:dyDescent="0.25">
      <c r="A152" s="1264"/>
      <c r="B152" s="1255"/>
      <c r="C152" s="1255"/>
      <c r="D152" s="1255"/>
      <c r="E152" s="1255"/>
      <c r="F152" s="1255"/>
      <c r="G152" s="1255"/>
      <c r="H152" s="1255"/>
      <c r="I152" s="1255"/>
      <c r="J152" s="1255"/>
      <c r="K152" s="1255"/>
      <c r="L152" s="1255"/>
      <c r="M152" s="1255"/>
      <c r="N152" s="1255"/>
      <c r="O152" s="1254"/>
    </row>
    <row r="153" spans="1:15" x14ac:dyDescent="0.25">
      <c r="A153" s="1263" t="s">
        <v>67</v>
      </c>
      <c r="B153" s="1263" t="s">
        <v>106</v>
      </c>
      <c r="C153" s="1263" t="s">
        <v>66</v>
      </c>
      <c r="D153" s="1263" t="s">
        <v>65</v>
      </c>
      <c r="E153" s="1263" t="s">
        <v>64</v>
      </c>
      <c r="F153" s="1263" t="s">
        <v>40</v>
      </c>
      <c r="G153" s="1263" t="s">
        <v>105</v>
      </c>
      <c r="H153" s="1263" t="s">
        <v>104</v>
      </c>
      <c r="I153" s="1263" t="s">
        <v>58</v>
      </c>
      <c r="J153" s="1256"/>
      <c r="K153" s="1256"/>
      <c r="L153" s="1256"/>
      <c r="M153" s="1256"/>
      <c r="N153" s="1256"/>
      <c r="O153" s="1269"/>
    </row>
    <row r="154" spans="1:15" x14ac:dyDescent="0.25">
      <c r="A154" s="1262">
        <v>10</v>
      </c>
      <c r="B154" s="1274" t="s">
        <v>145</v>
      </c>
      <c r="C154" s="1262" t="s">
        <v>2211</v>
      </c>
      <c r="D154" s="1273">
        <v>0.13</v>
      </c>
      <c r="E154" s="1262" t="s">
        <v>64</v>
      </c>
      <c r="F154" s="1270">
        <v>2</v>
      </c>
      <c r="G154" s="1262"/>
      <c r="H154" s="1262"/>
      <c r="I154" s="1273">
        <f>IF(H154="",D154*F154,D154*F154*H154)</f>
        <v>0.26</v>
      </c>
      <c r="J154" s="1260"/>
      <c r="K154" s="1260"/>
      <c r="L154" s="1260"/>
      <c r="M154" s="1260"/>
      <c r="N154" s="1260"/>
      <c r="O154" s="1271"/>
    </row>
    <row r="155" spans="1:15" ht="30" x14ac:dyDescent="0.25">
      <c r="A155" s="1262">
        <v>20</v>
      </c>
      <c r="B155" s="1303" t="s">
        <v>1763</v>
      </c>
      <c r="C155" s="1262" t="s">
        <v>2211</v>
      </c>
      <c r="D155" s="1273">
        <v>0.09</v>
      </c>
      <c r="E155" s="1262" t="s">
        <v>64</v>
      </c>
      <c r="F155" s="1270">
        <v>4</v>
      </c>
      <c r="G155" s="1262"/>
      <c r="H155" s="1262"/>
      <c r="I155" s="1273">
        <f>IF(H155="",D155*F155,D155*F155*H155)</f>
        <v>0.36</v>
      </c>
      <c r="J155" s="1260"/>
      <c r="K155" s="1260"/>
      <c r="L155" s="1260"/>
      <c r="M155" s="1260"/>
      <c r="N155" s="1260"/>
      <c r="O155" s="1271"/>
    </row>
    <row r="156" spans="1:15" x14ac:dyDescent="0.25">
      <c r="A156" s="1259"/>
      <c r="B156" s="1256"/>
      <c r="C156" s="1256" t="s">
        <v>2197</v>
      </c>
      <c r="D156" s="1256"/>
      <c r="E156" s="1256"/>
      <c r="F156" s="1256"/>
      <c r="G156" s="1256"/>
      <c r="H156" s="1258" t="s">
        <v>58</v>
      </c>
      <c r="I156" s="1257">
        <f>SUM(I154:I154)</f>
        <v>0.26</v>
      </c>
      <c r="J156" s="1255"/>
      <c r="K156" s="1255"/>
      <c r="L156" s="1255"/>
      <c r="M156" s="1255"/>
      <c r="N156" s="1255"/>
      <c r="O156" s="1254"/>
    </row>
    <row r="157" spans="1:15" x14ac:dyDescent="0.25">
      <c r="A157" s="1264"/>
      <c r="B157" s="1255"/>
      <c r="C157" s="1255"/>
      <c r="D157" s="1255"/>
      <c r="E157" s="1255"/>
      <c r="F157" s="1255"/>
      <c r="G157" s="1255"/>
      <c r="H157" s="1255"/>
      <c r="I157" s="1255"/>
      <c r="J157" s="1255"/>
      <c r="K157" s="1255"/>
      <c r="L157" s="1255"/>
      <c r="M157" s="1255"/>
      <c r="N157" s="1255"/>
      <c r="O157" s="1254"/>
    </row>
    <row r="158" spans="1:15" x14ac:dyDescent="0.25">
      <c r="A158" s="1263" t="s">
        <v>67</v>
      </c>
      <c r="B158" s="1263" t="s">
        <v>82</v>
      </c>
      <c r="C158" s="1263" t="s">
        <v>66</v>
      </c>
      <c r="D158" s="1263" t="s">
        <v>65</v>
      </c>
      <c r="E158" s="1263" t="s">
        <v>81</v>
      </c>
      <c r="F158" s="1263" t="s">
        <v>80</v>
      </c>
      <c r="G158" s="1263" t="s">
        <v>79</v>
      </c>
      <c r="H158" s="1263" t="s">
        <v>78</v>
      </c>
      <c r="I158" s="1263" t="s">
        <v>40</v>
      </c>
      <c r="J158" s="1263" t="s">
        <v>58</v>
      </c>
      <c r="K158" s="1255"/>
      <c r="L158" s="1255"/>
      <c r="M158" s="1255"/>
      <c r="N158" s="1255"/>
      <c r="O158" s="1254"/>
    </row>
    <row r="159" spans="1:15" x14ac:dyDescent="0.25">
      <c r="A159" s="1262">
        <v>10</v>
      </c>
      <c r="B159" s="1262" t="s">
        <v>1757</v>
      </c>
      <c r="C159" s="1262" t="s">
        <v>2211</v>
      </c>
      <c r="D159" s="1267">
        <v>0.04</v>
      </c>
      <c r="E159" s="1268"/>
      <c r="F159" s="1268"/>
      <c r="G159" s="1268"/>
      <c r="H159" s="1268"/>
      <c r="I159" s="1265">
        <v>4</v>
      </c>
      <c r="J159" s="1261">
        <f>I159*D159</f>
        <v>0.16</v>
      </c>
      <c r="K159" s="1255"/>
      <c r="L159" s="1255"/>
      <c r="M159" s="1255"/>
      <c r="N159" s="1255"/>
      <c r="O159" s="1254"/>
    </row>
    <row r="160" spans="1:15" x14ac:dyDescent="0.25">
      <c r="A160" s="1259"/>
      <c r="B160" s="1256"/>
      <c r="C160" s="1256"/>
      <c r="D160" s="1256"/>
      <c r="E160" s="1256"/>
      <c r="F160" s="1256"/>
      <c r="G160" s="1256"/>
      <c r="H160" s="1256"/>
      <c r="I160" s="1258" t="s">
        <v>58</v>
      </c>
      <c r="J160" s="1257">
        <f>SUM(J159:J159)</f>
        <v>0.16</v>
      </c>
      <c r="K160" s="1255"/>
      <c r="L160" s="1255"/>
      <c r="M160" s="1255"/>
      <c r="N160" s="1255"/>
      <c r="O160" s="1254"/>
    </row>
    <row r="161" spans="1:15" ht="15.75" thickBot="1" x14ac:dyDescent="0.3">
      <c r="A161" s="1253"/>
      <c r="B161" s="1252"/>
      <c r="C161" s="1252"/>
      <c r="D161" s="1252"/>
      <c r="E161" s="1252"/>
      <c r="F161" s="1252"/>
      <c r="G161" s="1252"/>
      <c r="H161" s="1252"/>
      <c r="I161" s="1252"/>
      <c r="J161" s="1252"/>
      <c r="K161" s="1252"/>
      <c r="L161" s="1252"/>
      <c r="M161" s="1252"/>
      <c r="N161" s="1252"/>
      <c r="O161" s="1251"/>
    </row>
    <row r="162" spans="1:15" ht="15.75" thickBot="1" x14ac:dyDescent="0.3">
      <c r="A162" s="1302"/>
      <c r="B162" s="1302"/>
      <c r="C162" s="1302"/>
      <c r="D162" s="1302"/>
      <c r="E162" s="1302"/>
      <c r="F162" s="1302"/>
      <c r="G162" s="1302"/>
      <c r="H162" s="1302"/>
      <c r="I162" s="1302"/>
      <c r="J162" s="1302"/>
      <c r="K162" s="1302"/>
      <c r="L162" s="1302"/>
      <c r="M162" s="1302"/>
      <c r="N162" s="1302"/>
      <c r="O162" s="1302"/>
    </row>
    <row r="163" spans="1:15" x14ac:dyDescent="0.25">
      <c r="A163" s="1301"/>
      <c r="B163" s="1300"/>
      <c r="C163" s="1300"/>
      <c r="D163" s="1300"/>
      <c r="E163" s="1300"/>
      <c r="F163" s="1300"/>
      <c r="G163" s="1300"/>
      <c r="H163" s="1300"/>
      <c r="I163" s="1300"/>
      <c r="J163" s="1300"/>
      <c r="K163" s="1300"/>
      <c r="L163" s="1300"/>
      <c r="M163" s="1300"/>
      <c r="N163" s="1300"/>
      <c r="O163" s="1299"/>
    </row>
    <row r="164" spans="1:15" x14ac:dyDescent="0.25">
      <c r="A164" s="1263" t="s">
        <v>57</v>
      </c>
      <c r="B164" s="1294" t="s">
        <v>523</v>
      </c>
      <c r="C164" s="1255"/>
      <c r="D164" s="1255"/>
      <c r="E164" s="1255"/>
      <c r="F164" s="1255"/>
      <c r="G164" s="1255"/>
      <c r="H164" s="1255"/>
      <c r="I164" s="1255"/>
      <c r="J164" s="1263" t="s">
        <v>51</v>
      </c>
      <c r="K164" s="1298">
        <v>81</v>
      </c>
      <c r="L164" s="1255"/>
      <c r="M164" s="1263" t="s">
        <v>126</v>
      </c>
      <c r="N164" s="1261">
        <f>E175+N181+I192+J198+I202</f>
        <v>224.79293545333326</v>
      </c>
      <c r="O164" s="1254"/>
    </row>
    <row r="165" spans="1:15" x14ac:dyDescent="0.25">
      <c r="A165" s="1263" t="s">
        <v>125</v>
      </c>
      <c r="B165" s="1297" t="s">
        <v>2210</v>
      </c>
      <c r="C165" s="1255"/>
      <c r="D165" s="1255"/>
      <c r="E165" s="1255"/>
      <c r="F165" s="1255"/>
      <c r="G165" s="1255"/>
      <c r="H165" s="1255"/>
      <c r="I165" s="1255"/>
      <c r="J165" s="1255"/>
      <c r="K165" s="1255"/>
      <c r="L165" s="1255"/>
      <c r="M165" s="1263" t="s">
        <v>124</v>
      </c>
      <c r="N165" s="1265">
        <v>1</v>
      </c>
      <c r="O165" s="1254"/>
    </row>
    <row r="166" spans="1:15" x14ac:dyDescent="0.25">
      <c r="A166" s="1263" t="s">
        <v>123</v>
      </c>
      <c r="B166" s="1260" t="s">
        <v>2209</v>
      </c>
      <c r="C166" s="1255"/>
      <c r="D166" s="1255"/>
      <c r="E166" s="1255"/>
      <c r="F166" s="1255"/>
      <c r="G166" s="1255"/>
      <c r="H166" s="1255"/>
      <c r="I166" s="1255"/>
      <c r="J166" s="1295" t="s">
        <v>122</v>
      </c>
      <c r="K166" s="1255"/>
      <c r="L166" s="1255"/>
      <c r="M166" s="1255"/>
      <c r="N166" s="1255"/>
      <c r="O166" s="1254"/>
    </row>
    <row r="167" spans="1:15" x14ac:dyDescent="0.25">
      <c r="A167" s="1263" t="s">
        <v>121</v>
      </c>
      <c r="B167" s="1296" t="s">
        <v>2208</v>
      </c>
      <c r="C167" s="1255"/>
      <c r="D167" s="1255"/>
      <c r="E167" s="1255"/>
      <c r="F167" s="1255"/>
      <c r="G167" s="1255"/>
      <c r="H167" s="1255"/>
      <c r="I167" s="1255"/>
      <c r="J167" s="1295" t="s">
        <v>119</v>
      </c>
      <c r="K167" s="1255"/>
      <c r="L167" s="1255"/>
      <c r="M167" s="1263" t="s">
        <v>118</v>
      </c>
      <c r="N167" s="1261">
        <f>N164*N165</f>
        <v>224.79293545333326</v>
      </c>
      <c r="O167" s="1254"/>
    </row>
    <row r="168" spans="1:15" x14ac:dyDescent="0.25">
      <c r="A168" s="1263" t="s">
        <v>117</v>
      </c>
      <c r="B168" s="1294" t="s">
        <v>23</v>
      </c>
      <c r="C168" s="1255"/>
      <c r="D168" s="1255"/>
      <c r="E168" s="1255"/>
      <c r="F168" s="1255"/>
      <c r="G168" s="1255"/>
      <c r="H168" s="1255"/>
      <c r="I168" s="1255"/>
      <c r="J168" s="1295" t="s">
        <v>116</v>
      </c>
      <c r="K168" s="1255"/>
      <c r="L168" s="1255"/>
      <c r="M168" s="1255"/>
      <c r="N168" s="1255"/>
      <c r="O168" s="1254"/>
    </row>
    <row r="169" spans="1:15" x14ac:dyDescent="0.25">
      <c r="A169" s="1263" t="s">
        <v>115</v>
      </c>
      <c r="B169" s="1294" t="s">
        <v>2207</v>
      </c>
      <c r="C169" s="1255"/>
      <c r="D169" s="1255"/>
      <c r="E169" s="1255"/>
      <c r="F169" s="1255"/>
      <c r="G169" s="1255"/>
      <c r="H169" s="1255"/>
      <c r="I169" s="1255"/>
      <c r="J169" s="1255"/>
      <c r="K169" s="1255"/>
      <c r="L169" s="1255"/>
      <c r="M169" s="1255"/>
      <c r="N169" s="1255"/>
      <c r="O169" s="1254"/>
    </row>
    <row r="170" spans="1:15" x14ac:dyDescent="0.25">
      <c r="A170" s="1264"/>
      <c r="B170" s="1255"/>
      <c r="C170" s="1255"/>
      <c r="D170" s="1255"/>
      <c r="E170" s="1255"/>
      <c r="F170" s="1255"/>
      <c r="G170" s="1255"/>
      <c r="H170" s="1255"/>
      <c r="I170" s="1255"/>
      <c r="J170" s="1255"/>
      <c r="K170" s="1255"/>
      <c r="L170" s="1255"/>
      <c r="M170" s="1255"/>
      <c r="N170" s="1255"/>
      <c r="O170" s="1254"/>
    </row>
    <row r="171" spans="1:15" x14ac:dyDescent="0.25">
      <c r="A171" s="1263" t="s">
        <v>67</v>
      </c>
      <c r="B171" s="1263" t="s">
        <v>114</v>
      </c>
      <c r="C171" s="1263" t="s">
        <v>113</v>
      </c>
      <c r="D171" s="1263" t="s">
        <v>40</v>
      </c>
      <c r="E171" s="1263" t="s">
        <v>58</v>
      </c>
      <c r="F171" s="1255"/>
      <c r="G171" s="1255"/>
      <c r="H171" s="1255"/>
      <c r="I171" s="1255"/>
      <c r="J171" s="1255"/>
      <c r="K171" s="1255"/>
      <c r="L171" s="1255"/>
      <c r="M171" s="1255"/>
      <c r="N171" s="1255"/>
      <c r="O171" s="1254"/>
    </row>
    <row r="172" spans="1:15" x14ac:dyDescent="0.25">
      <c r="A172" s="1262">
        <v>10</v>
      </c>
      <c r="B172" s="1293" t="str">
        <f>HYPERLINK("#MS_05001",'MS Parts'!B297)</f>
        <v>Composite seat structure</v>
      </c>
      <c r="C172" s="1261">
        <f>'MS Parts'!N294</f>
        <v>198.86666666666665</v>
      </c>
      <c r="D172" s="1292">
        <f>'MS Parts'!N295</f>
        <v>1</v>
      </c>
      <c r="E172" s="1261">
        <f>C172*D172</f>
        <v>198.86666666666665</v>
      </c>
      <c r="F172" s="1255"/>
      <c r="G172" s="1255"/>
      <c r="H172" s="1255"/>
      <c r="I172" s="1255"/>
      <c r="J172" s="1255"/>
      <c r="K172" s="1255"/>
      <c r="L172" s="1255"/>
      <c r="M172" s="1255"/>
      <c r="N172" s="1255"/>
      <c r="O172" s="1254"/>
    </row>
    <row r="173" spans="1:15" x14ac:dyDescent="0.25">
      <c r="A173" s="1262">
        <v>20</v>
      </c>
      <c r="B173" s="1293" t="str">
        <f>HYPERLINK("#MS_05002",'MS Parts'!B328)</f>
        <v>Lower Seat Tabs</v>
      </c>
      <c r="C173" s="1261">
        <f>'MS Parts'!N325</f>
        <v>1.7097400000000003</v>
      </c>
      <c r="D173" s="1292">
        <f>'MS Parts'!N326</f>
        <v>2</v>
      </c>
      <c r="E173" s="1261">
        <f>C173*D173</f>
        <v>3.4194800000000005</v>
      </c>
      <c r="F173" s="1255"/>
      <c r="G173" s="1255"/>
      <c r="H173" s="1255"/>
      <c r="I173" s="1255"/>
      <c r="J173" s="1255"/>
      <c r="K173" s="1255"/>
      <c r="L173" s="1255"/>
      <c r="M173" s="1255"/>
      <c r="N173" s="1255"/>
      <c r="O173" s="1254"/>
    </row>
    <row r="174" spans="1:15" x14ac:dyDescent="0.25">
      <c r="A174" s="1262">
        <v>30</v>
      </c>
      <c r="B174" s="1293" t="str">
        <f>HYPERLINK("#MS_05003",'MS Parts'!B352)</f>
        <v>Back Seat Tabs</v>
      </c>
      <c r="C174" s="1261">
        <f>'MS Parts'!N349</f>
        <v>2.1069360599999998</v>
      </c>
      <c r="D174" s="1292">
        <f>'MS Parts'!N350</f>
        <v>2</v>
      </c>
      <c r="E174" s="1261">
        <f>C174*D174</f>
        <v>4.2138721199999996</v>
      </c>
      <c r="F174" s="1255"/>
      <c r="G174" s="1255"/>
      <c r="H174" s="1255"/>
      <c r="I174" s="1255"/>
      <c r="J174" s="1255"/>
      <c r="K174" s="1255"/>
      <c r="L174" s="1255"/>
      <c r="M174" s="1255"/>
      <c r="N174" s="1255"/>
      <c r="O174" s="1254"/>
    </row>
    <row r="175" spans="1:15" x14ac:dyDescent="0.25">
      <c r="A175" s="1264"/>
      <c r="B175" s="1255"/>
      <c r="C175" s="1255"/>
      <c r="D175" s="1258" t="s">
        <v>58</v>
      </c>
      <c r="E175" s="1257">
        <f>SUM(E172:E174)</f>
        <v>206.50001878666663</v>
      </c>
      <c r="F175" s="1260"/>
      <c r="G175" s="1260"/>
      <c r="H175" s="1260"/>
      <c r="I175" s="1260"/>
      <c r="J175" s="1260"/>
      <c r="K175" s="1260"/>
      <c r="L175" s="1260"/>
      <c r="M175" s="1260"/>
      <c r="N175" s="1260"/>
      <c r="O175" s="1254"/>
    </row>
    <row r="176" spans="1:15" x14ac:dyDescent="0.25">
      <c r="A176" s="1264"/>
      <c r="B176" s="1255"/>
      <c r="C176" s="1255"/>
      <c r="D176" s="1255"/>
      <c r="E176" s="1255"/>
      <c r="F176" s="1255"/>
      <c r="G176" s="1255"/>
      <c r="H176" s="1255"/>
      <c r="I176" s="1255"/>
      <c r="J176" s="1255"/>
      <c r="K176" s="1255"/>
      <c r="L176" s="1255"/>
      <c r="M176" s="1255"/>
      <c r="N176" s="1255"/>
      <c r="O176" s="1254"/>
    </row>
    <row r="177" spans="1:15" x14ac:dyDescent="0.25">
      <c r="A177" s="1263" t="s">
        <v>67</v>
      </c>
      <c r="B177" s="1263" t="s">
        <v>112</v>
      </c>
      <c r="C177" s="1263" t="s">
        <v>66</v>
      </c>
      <c r="D177" s="1263" t="s">
        <v>65</v>
      </c>
      <c r="E177" s="1263" t="s">
        <v>81</v>
      </c>
      <c r="F177" s="1263" t="s">
        <v>80</v>
      </c>
      <c r="G177" s="1263" t="s">
        <v>79</v>
      </c>
      <c r="H177" s="1263" t="s">
        <v>78</v>
      </c>
      <c r="I177" s="1263" t="s">
        <v>111</v>
      </c>
      <c r="J177" s="1263" t="s">
        <v>110</v>
      </c>
      <c r="K177" s="1263" t="s">
        <v>109</v>
      </c>
      <c r="L177" s="1263" t="s">
        <v>108</v>
      </c>
      <c r="M177" s="1263" t="s">
        <v>40</v>
      </c>
      <c r="N177" s="1263" t="s">
        <v>58</v>
      </c>
      <c r="O177" s="1254"/>
    </row>
    <row r="178" spans="1:15" x14ac:dyDescent="0.25">
      <c r="A178" s="1262">
        <v>10</v>
      </c>
      <c r="B178" s="1262" t="s">
        <v>250</v>
      </c>
      <c r="C178" s="1262" t="s">
        <v>2206</v>
      </c>
      <c r="D178" s="1273">
        <v>10</v>
      </c>
      <c r="E178" s="1262">
        <v>0.01</v>
      </c>
      <c r="F178" s="1262" t="s">
        <v>241</v>
      </c>
      <c r="G178" s="1262"/>
      <c r="H178" s="1289"/>
      <c r="I178" s="1291"/>
      <c r="J178" s="1290"/>
      <c r="K178" s="1289"/>
      <c r="L178" s="1289"/>
      <c r="M178" s="1288">
        <v>1</v>
      </c>
      <c r="N178" s="1273">
        <f>M178*D178*E178</f>
        <v>0.1</v>
      </c>
      <c r="O178" s="1254"/>
    </row>
    <row r="179" spans="1:15" ht="30" x14ac:dyDescent="0.25">
      <c r="A179" s="1262">
        <v>20</v>
      </c>
      <c r="B179" s="1262" t="s">
        <v>1686</v>
      </c>
      <c r="C179" s="1287" t="s">
        <v>2205</v>
      </c>
      <c r="D179" s="1261">
        <v>125</v>
      </c>
      <c r="E179" s="1286">
        <v>0.02</v>
      </c>
      <c r="F179" s="1286" t="s">
        <v>794</v>
      </c>
      <c r="G179" s="1285"/>
      <c r="H179" s="1278"/>
      <c r="I179" s="1284"/>
      <c r="J179" s="1277"/>
      <c r="K179" s="1283"/>
      <c r="L179" s="1282"/>
      <c r="M179" s="1265">
        <v>1</v>
      </c>
      <c r="N179" s="1261">
        <f>M179*D179*E179</f>
        <v>2.5</v>
      </c>
      <c r="O179" s="1281"/>
    </row>
    <row r="180" spans="1:15" x14ac:dyDescent="0.25">
      <c r="A180" s="1262">
        <v>30</v>
      </c>
      <c r="B180" s="1262" t="s">
        <v>961</v>
      </c>
      <c r="C180" s="1262" t="s">
        <v>2200</v>
      </c>
      <c r="D180" s="1261">
        <v>0</v>
      </c>
      <c r="E180" s="1280"/>
      <c r="F180" s="1262"/>
      <c r="G180" s="1262"/>
      <c r="H180" s="1278"/>
      <c r="I180" s="1276"/>
      <c r="J180" s="1279"/>
      <c r="K180" s="1278"/>
      <c r="L180" s="1277"/>
      <c r="M180" s="1276"/>
      <c r="N180" s="1261">
        <f>M180*D180*E180</f>
        <v>0</v>
      </c>
      <c r="O180" s="1254"/>
    </row>
    <row r="181" spans="1:15" x14ac:dyDescent="0.25">
      <c r="A181" s="1259"/>
      <c r="B181" s="1256"/>
      <c r="C181" s="1256" t="s">
        <v>2197</v>
      </c>
      <c r="D181" s="1256"/>
      <c r="E181" s="1256"/>
      <c r="F181" s="1256"/>
      <c r="G181" s="1256"/>
      <c r="H181" s="1256"/>
      <c r="I181" s="1256"/>
      <c r="J181" s="1256"/>
      <c r="K181" s="1256"/>
      <c r="L181" s="1256"/>
      <c r="M181" s="1263" t="s">
        <v>58</v>
      </c>
      <c r="N181" s="1257">
        <f>SUM(N178:N180)</f>
        <v>2.6</v>
      </c>
      <c r="O181" s="1254"/>
    </row>
    <row r="182" spans="1:15" x14ac:dyDescent="0.25">
      <c r="A182" s="1264"/>
      <c r="B182" s="1255"/>
      <c r="C182" s="1255"/>
      <c r="D182" s="1255"/>
      <c r="E182" s="1255"/>
      <c r="F182" s="1255"/>
      <c r="G182" s="1255"/>
      <c r="H182" s="1255"/>
      <c r="I182" s="1255"/>
      <c r="J182" s="1255"/>
      <c r="K182" s="1255"/>
      <c r="L182" s="1255"/>
      <c r="M182" s="1255"/>
      <c r="N182" s="1255"/>
      <c r="O182" s="1254"/>
    </row>
    <row r="183" spans="1:15" x14ac:dyDescent="0.25">
      <c r="A183" s="1263" t="s">
        <v>67</v>
      </c>
      <c r="B183" s="1263" t="s">
        <v>106</v>
      </c>
      <c r="C183" s="1263" t="s">
        <v>66</v>
      </c>
      <c r="D183" s="1263" t="s">
        <v>65</v>
      </c>
      <c r="E183" s="1263" t="s">
        <v>64</v>
      </c>
      <c r="F183" s="1263" t="s">
        <v>40</v>
      </c>
      <c r="G183" s="1263" t="s">
        <v>105</v>
      </c>
      <c r="H183" s="1263" t="s">
        <v>104</v>
      </c>
      <c r="I183" s="1263" t="s">
        <v>58</v>
      </c>
      <c r="J183" s="1256"/>
      <c r="K183" s="1256"/>
      <c r="L183" s="1256"/>
      <c r="M183" s="1256"/>
      <c r="N183" s="1256"/>
      <c r="O183" s="1269"/>
    </row>
    <row r="184" spans="1:15" x14ac:dyDescent="0.25">
      <c r="A184" s="1262">
        <v>10</v>
      </c>
      <c r="B184" s="1262" t="s">
        <v>103</v>
      </c>
      <c r="C184" s="1262" t="s">
        <v>2021</v>
      </c>
      <c r="D184" s="1273">
        <v>0.15</v>
      </c>
      <c r="E184" s="1262" t="s">
        <v>101</v>
      </c>
      <c r="F184" s="1270">
        <v>10</v>
      </c>
      <c r="G184" s="1270"/>
      <c r="H184" s="1270"/>
      <c r="I184" s="1273">
        <f t="shared" ref="I184:I191" si="4">IF(H184="",D184*F184,D184*F184*H184)</f>
        <v>1.5</v>
      </c>
      <c r="J184" s="1255"/>
      <c r="K184" s="1255"/>
      <c r="L184" s="1255"/>
      <c r="M184" s="1255"/>
      <c r="N184" s="1255"/>
      <c r="O184" s="1254"/>
    </row>
    <row r="185" spans="1:15" x14ac:dyDescent="0.25">
      <c r="A185" s="1262">
        <v>20</v>
      </c>
      <c r="B185" s="1274" t="s">
        <v>243</v>
      </c>
      <c r="C185" s="1262" t="s">
        <v>2204</v>
      </c>
      <c r="D185" s="1273">
        <v>5.25</v>
      </c>
      <c r="E185" s="1274" t="s">
        <v>241</v>
      </c>
      <c r="F185" s="1275">
        <v>5.0000000000000001E-3</v>
      </c>
      <c r="G185" s="1262"/>
      <c r="H185" s="1262"/>
      <c r="I185" s="1273">
        <f t="shared" si="4"/>
        <v>2.6249999999999999E-2</v>
      </c>
      <c r="J185" s="1255"/>
      <c r="K185" s="1255"/>
      <c r="L185" s="1255"/>
      <c r="M185" s="1255"/>
      <c r="N185" s="1255"/>
      <c r="O185" s="1254"/>
    </row>
    <row r="186" spans="1:15" x14ac:dyDescent="0.25">
      <c r="A186" s="1262">
        <v>30</v>
      </c>
      <c r="B186" s="1274" t="s">
        <v>2203</v>
      </c>
      <c r="C186" s="1262" t="s">
        <v>2202</v>
      </c>
      <c r="D186" s="1273">
        <v>0.7</v>
      </c>
      <c r="E186" s="1262" t="s">
        <v>999</v>
      </c>
      <c r="F186" s="1270">
        <v>4</v>
      </c>
      <c r="G186" s="1262"/>
      <c r="H186" s="1262"/>
      <c r="I186" s="1273">
        <f t="shared" si="4"/>
        <v>2.8</v>
      </c>
      <c r="J186" s="1260"/>
      <c r="K186" s="1260"/>
      <c r="L186" s="1260"/>
      <c r="M186" s="1260"/>
      <c r="N186" s="1260"/>
      <c r="O186" s="1271"/>
    </row>
    <row r="187" spans="1:15" x14ac:dyDescent="0.25">
      <c r="A187" s="1262">
        <v>40</v>
      </c>
      <c r="B187" s="1274" t="s">
        <v>145</v>
      </c>
      <c r="C187" s="1262" t="s">
        <v>2201</v>
      </c>
      <c r="D187" s="1273">
        <v>0.13</v>
      </c>
      <c r="E187" s="1262" t="s">
        <v>64</v>
      </c>
      <c r="F187" s="1270">
        <v>4</v>
      </c>
      <c r="G187" s="1262"/>
      <c r="H187" s="1262"/>
      <c r="I187" s="1273">
        <f t="shared" si="4"/>
        <v>0.52</v>
      </c>
      <c r="J187" s="1260"/>
      <c r="K187" s="1260"/>
      <c r="L187" s="1260"/>
      <c r="M187" s="1260"/>
      <c r="N187" s="1260"/>
      <c r="O187" s="1271"/>
    </row>
    <row r="188" spans="1:15" x14ac:dyDescent="0.25">
      <c r="A188" s="1262">
        <v>50</v>
      </c>
      <c r="B188" s="1274" t="s">
        <v>961</v>
      </c>
      <c r="C188" s="1262" t="s">
        <v>2200</v>
      </c>
      <c r="D188" s="1273">
        <v>0.8</v>
      </c>
      <c r="E188" s="1262" t="s">
        <v>345</v>
      </c>
      <c r="F188" s="1270">
        <v>2</v>
      </c>
      <c r="G188" s="1262"/>
      <c r="H188" s="1262"/>
      <c r="I188" s="1273">
        <f t="shared" si="4"/>
        <v>1.6</v>
      </c>
      <c r="J188" s="1260"/>
      <c r="K188" s="1260"/>
      <c r="L188" s="1260"/>
      <c r="M188" s="1260"/>
      <c r="N188" s="1260"/>
      <c r="O188" s="1271"/>
    </row>
    <row r="189" spans="1:15" x14ac:dyDescent="0.25">
      <c r="A189" s="1262">
        <v>60</v>
      </c>
      <c r="B189" s="1274" t="s">
        <v>167</v>
      </c>
      <c r="C189" s="1262" t="s">
        <v>2199</v>
      </c>
      <c r="D189" s="1273">
        <v>0.38</v>
      </c>
      <c r="E189" s="1262" t="s">
        <v>64</v>
      </c>
      <c r="F189" s="1270">
        <v>1</v>
      </c>
      <c r="G189" s="1262"/>
      <c r="H189" s="1262"/>
      <c r="I189" s="1273">
        <f t="shared" si="4"/>
        <v>0.38</v>
      </c>
      <c r="J189" s="1260"/>
      <c r="K189" s="1260"/>
      <c r="L189" s="1260"/>
      <c r="M189" s="1260"/>
      <c r="N189" s="1260"/>
      <c r="O189" s="1271"/>
    </row>
    <row r="190" spans="1:15" x14ac:dyDescent="0.25">
      <c r="A190" s="1262">
        <v>70</v>
      </c>
      <c r="B190" s="1272" t="s">
        <v>163</v>
      </c>
      <c r="C190" s="1262" t="s">
        <v>2198</v>
      </c>
      <c r="D190" s="1261">
        <v>0.75</v>
      </c>
      <c r="E190" s="1262" t="s">
        <v>64</v>
      </c>
      <c r="F190" s="1270">
        <v>4</v>
      </c>
      <c r="G190" s="1262"/>
      <c r="H190" s="1262"/>
      <c r="I190" s="1261">
        <f t="shared" si="4"/>
        <v>3</v>
      </c>
      <c r="J190" s="1260"/>
      <c r="K190" s="1260"/>
      <c r="L190" s="1260"/>
      <c r="M190" s="1260"/>
      <c r="N190" s="1260"/>
      <c r="O190" s="1271"/>
    </row>
    <row r="191" spans="1:15" x14ac:dyDescent="0.25">
      <c r="A191" s="1262">
        <v>80</v>
      </c>
      <c r="B191" s="1262" t="s">
        <v>162</v>
      </c>
      <c r="C191" s="1262" t="s">
        <v>2198</v>
      </c>
      <c r="D191" s="1261">
        <v>0.25</v>
      </c>
      <c r="E191" s="1262" t="s">
        <v>64</v>
      </c>
      <c r="F191" s="1270">
        <v>4</v>
      </c>
      <c r="G191" s="1270"/>
      <c r="H191" s="1270"/>
      <c r="I191" s="1261">
        <f t="shared" si="4"/>
        <v>1</v>
      </c>
      <c r="J191" s="1260"/>
      <c r="K191" s="1260"/>
      <c r="L191" s="1260"/>
      <c r="M191" s="1260"/>
      <c r="N191" s="1260"/>
      <c r="O191" s="1269"/>
    </row>
    <row r="192" spans="1:15" x14ac:dyDescent="0.25">
      <c r="A192" s="1259"/>
      <c r="B192" s="1256"/>
      <c r="C192" s="1256" t="s">
        <v>2197</v>
      </c>
      <c r="D192" s="1256"/>
      <c r="E192" s="1256"/>
      <c r="F192" s="1256"/>
      <c r="G192" s="1256"/>
      <c r="H192" s="1258" t="s">
        <v>58</v>
      </c>
      <c r="I192" s="1257">
        <f>SUM(I184:I191)</f>
        <v>10.826249999999998</v>
      </c>
      <c r="J192" s="1255"/>
      <c r="K192" s="1255"/>
      <c r="L192" s="1255"/>
      <c r="M192" s="1255"/>
      <c r="N192" s="1255"/>
      <c r="O192" s="1254"/>
    </row>
    <row r="193" spans="1:15" x14ac:dyDescent="0.25">
      <c r="A193" s="1264"/>
      <c r="B193" s="1255"/>
      <c r="C193" s="1255"/>
      <c r="D193" s="1255"/>
      <c r="E193" s="1255"/>
      <c r="F193" s="1255"/>
      <c r="G193" s="1255"/>
      <c r="H193" s="1255"/>
      <c r="I193" s="1255"/>
      <c r="J193" s="1255"/>
      <c r="K193" s="1255"/>
      <c r="L193" s="1255"/>
      <c r="M193" s="1255"/>
      <c r="N193" s="1255"/>
      <c r="O193" s="1254"/>
    </row>
    <row r="194" spans="1:15" x14ac:dyDescent="0.25">
      <c r="A194" s="1263" t="s">
        <v>67</v>
      </c>
      <c r="B194" s="1263" t="s">
        <v>82</v>
      </c>
      <c r="C194" s="1263" t="s">
        <v>66</v>
      </c>
      <c r="D194" s="1263" t="s">
        <v>65</v>
      </c>
      <c r="E194" s="1263" t="s">
        <v>81</v>
      </c>
      <c r="F194" s="1263" t="s">
        <v>80</v>
      </c>
      <c r="G194" s="1263" t="s">
        <v>79</v>
      </c>
      <c r="H194" s="1263" t="s">
        <v>78</v>
      </c>
      <c r="I194" s="1263" t="s">
        <v>40</v>
      </c>
      <c r="J194" s="1263" t="s">
        <v>58</v>
      </c>
      <c r="K194" s="1255"/>
      <c r="L194" s="1255"/>
      <c r="M194" s="1255"/>
      <c r="N194" s="1255"/>
      <c r="O194" s="1254"/>
    </row>
    <row r="195" spans="1:15" x14ac:dyDescent="0.25">
      <c r="A195" s="1262">
        <v>10</v>
      </c>
      <c r="B195" s="1262" t="s">
        <v>72</v>
      </c>
      <c r="C195" s="1262" t="s">
        <v>2196</v>
      </c>
      <c r="D195" s="1267">
        <v>0.08</v>
      </c>
      <c r="E195" s="1268">
        <v>6</v>
      </c>
      <c r="F195" s="1268" t="s">
        <v>68</v>
      </c>
      <c r="G195" s="1268"/>
      <c r="H195" s="1268"/>
      <c r="I195" s="1265">
        <v>4</v>
      </c>
      <c r="J195" s="1261">
        <f>I195*D195</f>
        <v>0.32</v>
      </c>
      <c r="K195" s="1255"/>
      <c r="L195" s="1255"/>
      <c r="M195" s="1255"/>
      <c r="N195" s="1255"/>
      <c r="O195" s="1254"/>
    </row>
    <row r="196" spans="1:15" x14ac:dyDescent="0.25">
      <c r="A196" s="1262">
        <v>20</v>
      </c>
      <c r="B196" s="1262" t="s">
        <v>75</v>
      </c>
      <c r="C196" s="1262" t="s">
        <v>2196</v>
      </c>
      <c r="D196" s="1267">
        <v>0.45</v>
      </c>
      <c r="E196" s="1262">
        <v>6</v>
      </c>
      <c r="F196" s="1266" t="s">
        <v>68</v>
      </c>
      <c r="G196" s="1262"/>
      <c r="H196" s="1262"/>
      <c r="I196" s="1265">
        <v>4</v>
      </c>
      <c r="J196" s="1261">
        <f>I196*D196</f>
        <v>1.8</v>
      </c>
      <c r="K196" s="1255"/>
      <c r="L196" s="1255"/>
      <c r="M196" s="1255"/>
      <c r="N196" s="1255"/>
      <c r="O196" s="1254"/>
    </row>
    <row r="197" spans="1:15" x14ac:dyDescent="0.25">
      <c r="A197" s="1262">
        <v>30</v>
      </c>
      <c r="B197" s="1262" t="s">
        <v>74</v>
      </c>
      <c r="C197" s="1262" t="s">
        <v>2196</v>
      </c>
      <c r="D197" s="1267">
        <v>0.01</v>
      </c>
      <c r="E197" s="1262">
        <v>6</v>
      </c>
      <c r="F197" s="1266" t="s">
        <v>68</v>
      </c>
      <c r="G197" s="1262"/>
      <c r="H197" s="1262"/>
      <c r="I197" s="1265">
        <v>8</v>
      </c>
      <c r="J197" s="1261">
        <f>I197*D197</f>
        <v>0.08</v>
      </c>
      <c r="K197" s="1255"/>
      <c r="L197" s="1255"/>
      <c r="M197" s="1255"/>
      <c r="N197" s="1255"/>
      <c r="O197" s="1254"/>
    </row>
    <row r="198" spans="1:15" x14ac:dyDescent="0.25">
      <c r="A198" s="1259"/>
      <c r="B198" s="1256"/>
      <c r="C198" s="1256"/>
      <c r="D198" s="1256"/>
      <c r="E198" s="1256"/>
      <c r="F198" s="1256"/>
      <c r="G198" s="1256"/>
      <c r="H198" s="1256"/>
      <c r="I198" s="1258" t="s">
        <v>58</v>
      </c>
      <c r="J198" s="1257">
        <f>SUM(J195:J197)</f>
        <v>2.2000000000000002</v>
      </c>
      <c r="K198" s="1255"/>
      <c r="L198" s="1255"/>
      <c r="M198" s="1255"/>
      <c r="N198" s="1255"/>
      <c r="O198" s="1254"/>
    </row>
    <row r="199" spans="1:15" x14ac:dyDescent="0.25">
      <c r="A199" s="1264"/>
      <c r="B199" s="1255"/>
      <c r="C199" s="1255"/>
      <c r="D199" s="1255"/>
      <c r="E199" s="1255"/>
      <c r="F199" s="1255"/>
      <c r="G199" s="1255"/>
      <c r="H199" s="1255"/>
      <c r="I199" s="1255"/>
      <c r="J199" s="1255"/>
      <c r="K199" s="1255"/>
      <c r="L199" s="1255"/>
      <c r="M199" s="1255"/>
      <c r="N199" s="1255"/>
      <c r="O199" s="1254"/>
    </row>
    <row r="200" spans="1:15" x14ac:dyDescent="0.25">
      <c r="A200" s="1263" t="s">
        <v>67</v>
      </c>
      <c r="B200" s="1263" t="s">
        <v>13</v>
      </c>
      <c r="C200" s="1263" t="s">
        <v>66</v>
      </c>
      <c r="D200" s="1263" t="s">
        <v>65</v>
      </c>
      <c r="E200" s="1263" t="s">
        <v>64</v>
      </c>
      <c r="F200" s="1263" t="s">
        <v>40</v>
      </c>
      <c r="G200" s="1263" t="s">
        <v>63</v>
      </c>
      <c r="H200" s="1263" t="s">
        <v>62</v>
      </c>
      <c r="I200" s="1263" t="s">
        <v>58</v>
      </c>
      <c r="J200" s="1256"/>
      <c r="K200" s="1255"/>
      <c r="L200" s="1255"/>
      <c r="M200" s="1255"/>
      <c r="N200" s="1255"/>
      <c r="O200" s="1254"/>
    </row>
    <row r="201" spans="1:15" x14ac:dyDescent="0.25">
      <c r="A201" s="1262">
        <v>10</v>
      </c>
      <c r="B201" s="1262" t="s">
        <v>61</v>
      </c>
      <c r="C201" s="1262" t="s">
        <v>2021</v>
      </c>
      <c r="D201" s="1261">
        <v>500</v>
      </c>
      <c r="E201" s="1262" t="s">
        <v>59</v>
      </c>
      <c r="F201" s="1262">
        <v>16</v>
      </c>
      <c r="G201" s="1262">
        <v>3000</v>
      </c>
      <c r="H201" s="1262">
        <v>1</v>
      </c>
      <c r="I201" s="1261">
        <f>D201*F201/G201*H201</f>
        <v>2.6666666666666665</v>
      </c>
      <c r="J201" s="1260"/>
      <c r="K201" s="1255"/>
      <c r="L201" s="1255"/>
      <c r="M201" s="1255"/>
      <c r="N201" s="1255"/>
      <c r="O201" s="1254"/>
    </row>
    <row r="202" spans="1:15" x14ac:dyDescent="0.25">
      <c r="A202" s="1259"/>
      <c r="B202" s="1256"/>
      <c r="C202" s="1256"/>
      <c r="D202" s="1256"/>
      <c r="E202" s="1256"/>
      <c r="F202" s="1256"/>
      <c r="G202" s="1256"/>
      <c r="H202" s="1258" t="s">
        <v>58</v>
      </c>
      <c r="I202" s="1257">
        <f>SUM(I201)</f>
        <v>2.6666666666666665</v>
      </c>
      <c r="J202" s="1256"/>
      <c r="K202" s="1255"/>
      <c r="L202" s="1255"/>
      <c r="M202" s="1255"/>
      <c r="N202" s="1255"/>
      <c r="O202" s="1254"/>
    </row>
    <row r="203" spans="1:15" ht="15.75" thickBot="1" x14ac:dyDescent="0.3">
      <c r="A203" s="1253"/>
      <c r="B203" s="1252"/>
      <c r="C203" s="1252"/>
      <c r="D203" s="1252"/>
      <c r="E203" s="1252"/>
      <c r="F203" s="1252"/>
      <c r="G203" s="1252"/>
      <c r="H203" s="1252"/>
      <c r="I203" s="1252"/>
      <c r="J203" s="1252"/>
      <c r="K203" s="1252"/>
      <c r="L203" s="1252"/>
      <c r="M203" s="1252"/>
      <c r="N203" s="1252"/>
      <c r="O203" s="1251"/>
    </row>
  </sheetData>
  <sheetProtection selectLockedCells="1" selectUnlockedCells="1"/>
  <pageMargins left="0.7" right="0.7" top="0.75" bottom="0.75" header="0.51180555555555551" footer="0.3"/>
  <pageSetup paperSize="9" scale="61" firstPageNumber="0" fitToHeight="0" orientation="landscape" horizontalDpi="300" verticalDpi="300" r:id="rId1"/>
  <headerFooter alignWithMargins="0">
    <oddFooter>&amp;C&amp;P</oddFooter>
  </headerFooter>
  <rowBreaks count="4" manualBreakCount="4">
    <brk id="47" max="16383" man="1"/>
    <brk id="90" max="16383" man="1"/>
    <brk id="139" max="16383" man="1"/>
    <brk id="161" max="16383" man="1"/>
  </rowBreak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24"/>
    <pageSetUpPr fitToPage="1"/>
  </sheetPr>
  <dimension ref="A1:IV372"/>
  <sheetViews>
    <sheetView zoomScale="80" zoomScaleNormal="80" zoomScaleSheetLayoutView="80" workbookViewId="0"/>
  </sheetViews>
  <sheetFormatPr baseColWidth="10" defaultColWidth="7.42578125" defaultRowHeight="15" x14ac:dyDescent="0.25"/>
  <cols>
    <col min="1" max="1" width="11.140625" style="1250" customWidth="1"/>
    <col min="2" max="2" width="34.85546875" style="1250" customWidth="1"/>
    <col min="3" max="3" width="25.42578125" style="1250" customWidth="1"/>
    <col min="4" max="4" width="12.85546875" style="1250" customWidth="1"/>
    <col min="5" max="5" width="9.7109375" style="1250" customWidth="1"/>
    <col min="6" max="6" width="9.28515625" style="1250" customWidth="1"/>
    <col min="7" max="7" width="21.5703125" style="1250" customWidth="1"/>
    <col min="8" max="8" width="8.7109375" style="1250" customWidth="1"/>
    <col min="9" max="9" width="18" style="1250" customWidth="1"/>
    <col min="10" max="10" width="13.5703125" style="1250" customWidth="1"/>
    <col min="11" max="11" width="12.5703125" style="1250" customWidth="1"/>
    <col min="12" max="12" width="9.140625" style="1250" customWidth="1"/>
    <col min="13" max="14" width="12.5703125" style="1250" customWidth="1"/>
    <col min="15" max="15" width="3.140625" style="1250" customWidth="1"/>
    <col min="16" max="16384" width="7.42578125" style="1250"/>
  </cols>
  <sheetData>
    <row r="1" spans="1:256" x14ac:dyDescent="0.25">
      <c r="A1" s="1301"/>
      <c r="B1" s="1300"/>
      <c r="C1" s="1300"/>
      <c r="D1" s="1300"/>
      <c r="E1" s="1300"/>
      <c r="F1" s="1300"/>
      <c r="G1" s="1300"/>
      <c r="H1" s="1300"/>
      <c r="I1" s="1300"/>
      <c r="J1" s="1300"/>
      <c r="K1" s="1300"/>
      <c r="L1" s="1300"/>
      <c r="M1" s="1300"/>
      <c r="N1" s="1300"/>
      <c r="O1" s="1299"/>
      <c r="P1" s="1302"/>
      <c r="Q1" s="1302"/>
      <c r="R1" s="1302"/>
      <c r="S1" s="1302"/>
      <c r="T1" s="1302"/>
      <c r="U1" s="1302"/>
      <c r="V1" s="1302"/>
      <c r="W1" s="1302"/>
      <c r="X1" s="1302"/>
      <c r="Y1" s="1302"/>
      <c r="Z1" s="1302"/>
      <c r="AA1" s="1302"/>
      <c r="AB1" s="1302"/>
      <c r="AC1" s="1302"/>
      <c r="AD1" s="1302"/>
      <c r="AE1" s="1302"/>
      <c r="AF1" s="1302"/>
      <c r="AG1" s="1302"/>
      <c r="AH1" s="1302"/>
      <c r="AI1" s="1302"/>
      <c r="AJ1" s="1302"/>
      <c r="AK1" s="1302"/>
      <c r="AL1" s="1302"/>
      <c r="AM1" s="1302"/>
      <c r="AN1" s="1302"/>
      <c r="AO1" s="1302"/>
      <c r="AP1" s="1302"/>
      <c r="AQ1" s="1302"/>
      <c r="AR1" s="1302"/>
      <c r="AS1" s="1302"/>
      <c r="AT1" s="1302"/>
      <c r="AU1" s="1302"/>
      <c r="AV1" s="1302"/>
      <c r="AW1" s="1302"/>
      <c r="AX1" s="1302"/>
      <c r="AY1" s="1302"/>
      <c r="AZ1" s="1302"/>
      <c r="BA1" s="1302"/>
      <c r="BB1" s="1302"/>
      <c r="BC1" s="1302"/>
      <c r="BD1" s="1302"/>
      <c r="BE1" s="1302"/>
      <c r="BF1" s="1302"/>
      <c r="BG1" s="1302"/>
      <c r="BH1" s="1302"/>
      <c r="BI1" s="1302"/>
      <c r="BJ1" s="1302"/>
      <c r="BK1" s="1302"/>
      <c r="BL1" s="1302"/>
      <c r="BM1" s="1302"/>
      <c r="BN1" s="1302"/>
      <c r="BO1" s="1302"/>
      <c r="BP1" s="1302"/>
      <c r="BQ1" s="1302"/>
      <c r="BR1" s="1302"/>
      <c r="BS1" s="1302"/>
      <c r="BT1" s="1302"/>
      <c r="BU1" s="1302"/>
      <c r="BV1" s="1302"/>
      <c r="BW1" s="1302"/>
      <c r="BX1" s="1302"/>
      <c r="BY1" s="1302"/>
      <c r="BZ1" s="1302"/>
      <c r="CA1" s="1302"/>
      <c r="CB1" s="1302"/>
      <c r="CC1" s="1302"/>
      <c r="CD1" s="1302"/>
      <c r="CE1" s="1302"/>
      <c r="CF1" s="1302"/>
      <c r="CG1" s="1302"/>
      <c r="CH1" s="1302"/>
      <c r="CI1" s="1302"/>
      <c r="CJ1" s="1302"/>
      <c r="CK1" s="1302"/>
      <c r="CL1" s="1302"/>
      <c r="CM1" s="1302"/>
      <c r="CN1" s="1302"/>
      <c r="CO1" s="1302"/>
      <c r="CP1" s="1302"/>
      <c r="CQ1" s="1302"/>
      <c r="CR1" s="1302"/>
      <c r="CS1" s="1302"/>
      <c r="CT1" s="1302"/>
      <c r="CU1" s="1302"/>
      <c r="CV1" s="1302"/>
      <c r="CW1" s="1302"/>
      <c r="CX1" s="1302"/>
      <c r="CY1" s="1302"/>
      <c r="CZ1" s="1302"/>
      <c r="DA1" s="1302"/>
      <c r="DB1" s="1302"/>
      <c r="DC1" s="1302"/>
      <c r="DD1" s="1302"/>
      <c r="DE1" s="1302"/>
      <c r="DF1" s="1302"/>
      <c r="DG1" s="1302"/>
      <c r="DH1" s="1302"/>
      <c r="DI1" s="1302"/>
      <c r="DJ1" s="1302"/>
      <c r="DK1" s="1302"/>
      <c r="DL1" s="1302"/>
      <c r="DM1" s="1302"/>
      <c r="DN1" s="1302"/>
      <c r="DO1" s="1302"/>
      <c r="DP1" s="1302"/>
      <c r="DQ1" s="1302"/>
      <c r="DR1" s="1302"/>
      <c r="DS1" s="1302"/>
      <c r="DT1" s="1302"/>
      <c r="DU1" s="1302"/>
      <c r="DV1" s="1302"/>
      <c r="DW1" s="1302"/>
      <c r="DX1" s="1302"/>
      <c r="DY1" s="1302"/>
      <c r="DZ1" s="1302"/>
      <c r="EA1" s="1302"/>
      <c r="EB1" s="1302"/>
      <c r="EC1" s="1302"/>
      <c r="ED1" s="1302"/>
      <c r="EE1" s="1302"/>
      <c r="EF1" s="1302"/>
      <c r="EG1" s="1302"/>
      <c r="EH1" s="1302"/>
      <c r="EI1" s="1302"/>
      <c r="EJ1" s="1302"/>
      <c r="EK1" s="1302"/>
      <c r="EL1" s="1302"/>
      <c r="EM1" s="1302"/>
      <c r="EN1" s="1302"/>
      <c r="EO1" s="1302"/>
      <c r="EP1" s="1302"/>
      <c r="EQ1" s="1302"/>
      <c r="ER1" s="1302"/>
      <c r="ES1" s="1302"/>
      <c r="ET1" s="1302"/>
      <c r="EU1" s="1302"/>
      <c r="EV1" s="1302"/>
      <c r="EW1" s="1302"/>
      <c r="EX1" s="1302"/>
      <c r="EY1" s="1302"/>
      <c r="EZ1" s="1302"/>
      <c r="FA1" s="1302"/>
      <c r="FB1" s="1302"/>
      <c r="FC1" s="1302"/>
      <c r="FD1" s="1302"/>
      <c r="FE1" s="1302"/>
      <c r="FF1" s="1302"/>
      <c r="FG1" s="1302"/>
      <c r="FH1" s="1302"/>
      <c r="FI1" s="1302"/>
      <c r="FJ1" s="1302"/>
      <c r="FK1" s="1302"/>
      <c r="FL1" s="1302"/>
      <c r="FM1" s="1302"/>
      <c r="FN1" s="1302"/>
      <c r="FO1" s="1302"/>
      <c r="FP1" s="1302"/>
      <c r="FQ1" s="1302"/>
      <c r="FR1" s="1302"/>
      <c r="FS1" s="1302"/>
      <c r="FT1" s="1302"/>
      <c r="FU1" s="1302"/>
      <c r="FV1" s="1302"/>
      <c r="FW1" s="1302"/>
      <c r="FX1" s="1302"/>
      <c r="FY1" s="1302"/>
      <c r="FZ1" s="1302"/>
      <c r="GA1" s="1302"/>
      <c r="GB1" s="1302"/>
      <c r="GC1" s="1302"/>
      <c r="GD1" s="1302"/>
      <c r="GE1" s="1302"/>
      <c r="GF1" s="1302"/>
      <c r="GG1" s="1302"/>
      <c r="GH1" s="1302"/>
      <c r="GI1" s="1302"/>
      <c r="GJ1" s="1302"/>
      <c r="GK1" s="1302"/>
      <c r="GL1" s="1302"/>
      <c r="GM1" s="1302"/>
      <c r="GN1" s="1302"/>
      <c r="GO1" s="1302"/>
      <c r="GP1" s="1302"/>
      <c r="GQ1" s="1302"/>
      <c r="GR1" s="1302"/>
      <c r="GS1" s="1302"/>
      <c r="GT1" s="1302"/>
      <c r="GU1" s="1302"/>
      <c r="GV1" s="1302"/>
      <c r="GW1" s="1302"/>
      <c r="GX1" s="1302"/>
      <c r="GY1" s="1302"/>
      <c r="GZ1" s="1302"/>
      <c r="HA1" s="1302"/>
      <c r="HB1" s="1302"/>
      <c r="HC1" s="1302"/>
      <c r="HD1" s="1302"/>
      <c r="HE1" s="1302"/>
      <c r="HF1" s="1302"/>
      <c r="HG1" s="1302"/>
      <c r="HH1" s="1302"/>
      <c r="HI1" s="1302"/>
      <c r="HJ1" s="1302"/>
      <c r="HK1" s="1302"/>
      <c r="HL1" s="1302"/>
      <c r="HM1" s="1302"/>
      <c r="HN1" s="1302"/>
      <c r="HO1" s="1302"/>
      <c r="HP1" s="1302"/>
      <c r="HQ1" s="1302"/>
      <c r="HR1" s="1302"/>
      <c r="HS1" s="1302"/>
      <c r="HT1" s="1302"/>
      <c r="HU1" s="1302"/>
      <c r="HV1" s="1302"/>
      <c r="HW1" s="1302"/>
      <c r="HX1" s="1302"/>
      <c r="HY1" s="1302"/>
      <c r="HZ1" s="1302"/>
      <c r="IA1" s="1302"/>
      <c r="IB1" s="1302"/>
      <c r="IC1" s="1302"/>
      <c r="ID1" s="1302"/>
      <c r="IE1" s="1302"/>
      <c r="IF1" s="1302"/>
      <c r="IG1" s="1302"/>
      <c r="IH1" s="1302"/>
      <c r="II1" s="1302"/>
      <c r="IJ1" s="1302"/>
      <c r="IK1" s="1302"/>
      <c r="IL1" s="1302"/>
      <c r="IM1" s="1302"/>
      <c r="IN1" s="1302"/>
      <c r="IO1" s="1302"/>
      <c r="IP1" s="1302"/>
      <c r="IQ1" s="1302"/>
      <c r="IR1" s="1302"/>
      <c r="IS1" s="1302"/>
      <c r="IT1" s="1302"/>
      <c r="IU1" s="1302"/>
      <c r="IV1" s="1302"/>
    </row>
    <row r="2" spans="1:256" x14ac:dyDescent="0.25">
      <c r="A2" s="1263" t="s">
        <v>57</v>
      </c>
      <c r="B2" s="1294" t="s">
        <v>523</v>
      </c>
      <c r="C2" s="1255"/>
      <c r="D2" s="1255"/>
      <c r="E2" s="1255"/>
      <c r="F2" s="1255"/>
      <c r="G2" s="1255"/>
      <c r="H2" s="1255"/>
      <c r="I2" s="1255"/>
      <c r="J2" s="1327" t="s">
        <v>51</v>
      </c>
      <c r="K2" s="1298">
        <v>81</v>
      </c>
      <c r="L2" s="1255"/>
      <c r="M2" s="1263" t="s">
        <v>113</v>
      </c>
      <c r="N2" s="1273">
        <f>N12+I19</f>
        <v>17.810189504</v>
      </c>
      <c r="O2" s="1254"/>
      <c r="P2" s="1302"/>
      <c r="Q2" s="1302"/>
      <c r="R2" s="1302"/>
      <c r="S2" s="1302"/>
      <c r="T2" s="1302"/>
      <c r="U2" s="1302"/>
      <c r="V2" s="1302"/>
      <c r="W2" s="1302"/>
      <c r="X2" s="1302"/>
      <c r="Y2" s="1302"/>
      <c r="Z2" s="1302"/>
      <c r="AA2" s="1302"/>
      <c r="AB2" s="1302"/>
      <c r="AC2" s="1302"/>
      <c r="AD2" s="1302"/>
      <c r="AE2" s="1302"/>
      <c r="AF2" s="1302"/>
      <c r="AG2" s="1302"/>
      <c r="AH2" s="1302"/>
      <c r="AI2" s="1302"/>
      <c r="AJ2" s="1302"/>
      <c r="AK2" s="1302"/>
      <c r="AL2" s="1302"/>
      <c r="AM2" s="1302"/>
      <c r="AN2" s="1302"/>
      <c r="AO2" s="1302"/>
      <c r="AP2" s="1302"/>
      <c r="AQ2" s="1302"/>
      <c r="AR2" s="1302"/>
      <c r="AS2" s="1302"/>
      <c r="AT2" s="1302"/>
      <c r="AU2" s="1302"/>
      <c r="AV2" s="1302"/>
      <c r="AW2" s="1302"/>
      <c r="AX2" s="1302"/>
      <c r="AY2" s="1302"/>
      <c r="AZ2" s="1302"/>
      <c r="BA2" s="1302"/>
      <c r="BB2" s="1302"/>
      <c r="BC2" s="1302"/>
      <c r="BD2" s="1302"/>
      <c r="BE2" s="1302"/>
      <c r="BF2" s="1302"/>
      <c r="BG2" s="1302"/>
      <c r="BH2" s="1302"/>
      <c r="BI2" s="1302"/>
      <c r="BJ2" s="1302"/>
      <c r="BK2" s="1302"/>
      <c r="BL2" s="1302"/>
      <c r="BM2" s="1302"/>
      <c r="BN2" s="1302"/>
      <c r="BO2" s="1302"/>
      <c r="BP2" s="1302"/>
      <c r="BQ2" s="1302"/>
      <c r="BR2" s="1302"/>
      <c r="BS2" s="1302"/>
      <c r="BT2" s="1302"/>
      <c r="BU2" s="1302"/>
      <c r="BV2" s="1302"/>
      <c r="BW2" s="1302"/>
      <c r="BX2" s="1302"/>
      <c r="BY2" s="1302"/>
      <c r="BZ2" s="1302"/>
      <c r="CA2" s="1302"/>
      <c r="CB2" s="1302"/>
      <c r="CC2" s="1302"/>
      <c r="CD2" s="1302"/>
      <c r="CE2" s="1302"/>
      <c r="CF2" s="1302"/>
      <c r="CG2" s="1302"/>
      <c r="CH2" s="1302"/>
      <c r="CI2" s="1302"/>
      <c r="CJ2" s="1302"/>
      <c r="CK2" s="1302"/>
      <c r="CL2" s="1302"/>
      <c r="CM2" s="1302"/>
      <c r="CN2" s="1302"/>
      <c r="CO2" s="1302"/>
      <c r="CP2" s="1302"/>
      <c r="CQ2" s="1302"/>
      <c r="CR2" s="1302"/>
      <c r="CS2" s="1302"/>
      <c r="CT2" s="1302"/>
      <c r="CU2" s="1302"/>
      <c r="CV2" s="1302"/>
      <c r="CW2" s="1302"/>
      <c r="CX2" s="1302"/>
      <c r="CY2" s="1302"/>
      <c r="CZ2" s="1302"/>
      <c r="DA2" s="1302"/>
      <c r="DB2" s="1302"/>
      <c r="DC2" s="1302"/>
      <c r="DD2" s="1302"/>
      <c r="DE2" s="1302"/>
      <c r="DF2" s="1302"/>
      <c r="DG2" s="1302"/>
      <c r="DH2" s="1302"/>
      <c r="DI2" s="1302"/>
      <c r="DJ2" s="1302"/>
      <c r="DK2" s="1302"/>
      <c r="DL2" s="1302"/>
      <c r="DM2" s="1302"/>
      <c r="DN2" s="1302"/>
      <c r="DO2" s="1302"/>
      <c r="DP2" s="1302"/>
      <c r="DQ2" s="1302"/>
      <c r="DR2" s="1302"/>
      <c r="DS2" s="1302"/>
      <c r="DT2" s="1302"/>
      <c r="DU2" s="1302"/>
      <c r="DV2" s="1302"/>
      <c r="DW2" s="1302"/>
      <c r="DX2" s="1302"/>
      <c r="DY2" s="1302"/>
      <c r="DZ2" s="1302"/>
      <c r="EA2" s="1302"/>
      <c r="EB2" s="1302"/>
      <c r="EC2" s="1302"/>
      <c r="ED2" s="1302"/>
      <c r="EE2" s="1302"/>
      <c r="EF2" s="1302"/>
      <c r="EG2" s="1302"/>
      <c r="EH2" s="1302"/>
      <c r="EI2" s="1302"/>
      <c r="EJ2" s="1302"/>
      <c r="EK2" s="1302"/>
      <c r="EL2" s="1302"/>
      <c r="EM2" s="1302"/>
      <c r="EN2" s="1302"/>
      <c r="EO2" s="1302"/>
      <c r="EP2" s="1302"/>
      <c r="EQ2" s="1302"/>
      <c r="ER2" s="1302"/>
      <c r="ES2" s="1302"/>
      <c r="ET2" s="1302"/>
      <c r="EU2" s="1302"/>
      <c r="EV2" s="1302"/>
      <c r="EW2" s="1302"/>
      <c r="EX2" s="1302"/>
      <c r="EY2" s="1302"/>
      <c r="EZ2" s="1302"/>
      <c r="FA2" s="1302"/>
      <c r="FB2" s="1302"/>
      <c r="FC2" s="1302"/>
      <c r="FD2" s="1302"/>
      <c r="FE2" s="1302"/>
      <c r="FF2" s="1302"/>
      <c r="FG2" s="1302"/>
      <c r="FH2" s="1302"/>
      <c r="FI2" s="1302"/>
      <c r="FJ2" s="1302"/>
      <c r="FK2" s="1302"/>
      <c r="FL2" s="1302"/>
      <c r="FM2" s="1302"/>
      <c r="FN2" s="1302"/>
      <c r="FO2" s="1302"/>
      <c r="FP2" s="1302"/>
      <c r="FQ2" s="1302"/>
      <c r="FR2" s="1302"/>
      <c r="FS2" s="1302"/>
      <c r="FT2" s="1302"/>
      <c r="FU2" s="1302"/>
      <c r="FV2" s="1302"/>
      <c r="FW2" s="1302"/>
      <c r="FX2" s="1302"/>
      <c r="FY2" s="1302"/>
      <c r="FZ2" s="1302"/>
      <c r="GA2" s="1302"/>
      <c r="GB2" s="1302"/>
      <c r="GC2" s="1302"/>
      <c r="GD2" s="1302"/>
      <c r="GE2" s="1302"/>
      <c r="GF2" s="1302"/>
      <c r="GG2" s="1302"/>
      <c r="GH2" s="1302"/>
      <c r="GI2" s="1302"/>
      <c r="GJ2" s="1302"/>
      <c r="GK2" s="1302"/>
      <c r="GL2" s="1302"/>
      <c r="GM2" s="1302"/>
      <c r="GN2" s="1302"/>
      <c r="GO2" s="1302"/>
      <c r="GP2" s="1302"/>
      <c r="GQ2" s="1302"/>
      <c r="GR2" s="1302"/>
      <c r="GS2" s="1302"/>
      <c r="GT2" s="1302"/>
      <c r="GU2" s="1302"/>
      <c r="GV2" s="1302"/>
      <c r="GW2" s="1302"/>
      <c r="GX2" s="1302"/>
      <c r="GY2" s="1302"/>
      <c r="GZ2" s="1302"/>
      <c r="HA2" s="1302"/>
      <c r="HB2" s="1302"/>
      <c r="HC2" s="1302"/>
      <c r="HD2" s="1302"/>
      <c r="HE2" s="1302"/>
      <c r="HF2" s="1302"/>
      <c r="HG2" s="1302"/>
      <c r="HH2" s="1302"/>
      <c r="HI2" s="1302"/>
      <c r="HJ2" s="1302"/>
      <c r="HK2" s="1302"/>
      <c r="HL2" s="1302"/>
      <c r="HM2" s="1302"/>
      <c r="HN2" s="1302"/>
      <c r="HO2" s="1302"/>
      <c r="HP2" s="1302"/>
      <c r="HQ2" s="1302"/>
      <c r="HR2" s="1302"/>
      <c r="HS2" s="1302"/>
      <c r="HT2" s="1302"/>
      <c r="HU2" s="1302"/>
      <c r="HV2" s="1302"/>
      <c r="HW2" s="1302"/>
      <c r="HX2" s="1302"/>
      <c r="HY2" s="1302"/>
      <c r="HZ2" s="1302"/>
      <c r="IA2" s="1302"/>
      <c r="IB2" s="1302"/>
      <c r="IC2" s="1302"/>
      <c r="ID2" s="1302"/>
      <c r="IE2" s="1302"/>
      <c r="IF2" s="1302"/>
      <c r="IG2" s="1302"/>
      <c r="IH2" s="1302"/>
      <c r="II2" s="1302"/>
      <c r="IJ2" s="1302"/>
      <c r="IK2" s="1302"/>
      <c r="IL2" s="1302"/>
      <c r="IM2" s="1302"/>
      <c r="IN2" s="1302"/>
      <c r="IO2" s="1302"/>
      <c r="IP2" s="1302"/>
      <c r="IQ2" s="1302"/>
      <c r="IR2" s="1302"/>
      <c r="IS2" s="1302"/>
      <c r="IT2" s="1302"/>
      <c r="IU2" s="1302"/>
      <c r="IV2" s="1302"/>
    </row>
    <row r="3" spans="1:256" x14ac:dyDescent="0.25">
      <c r="A3" s="1263" t="s">
        <v>125</v>
      </c>
      <c r="B3" s="1297" t="s">
        <v>2210</v>
      </c>
      <c r="C3" s="1255"/>
      <c r="D3" s="1263" t="s">
        <v>122</v>
      </c>
      <c r="E3" s="1326" t="s">
        <v>522</v>
      </c>
      <c r="F3" s="1255"/>
      <c r="G3" s="1255"/>
      <c r="H3" s="1255"/>
      <c r="I3" s="1255"/>
      <c r="J3" s="1255"/>
      <c r="K3" s="1255"/>
      <c r="L3" s="1255"/>
      <c r="M3" s="1263" t="s">
        <v>124</v>
      </c>
      <c r="N3" s="1298">
        <v>1</v>
      </c>
      <c r="O3" s="1254"/>
      <c r="P3" s="1302"/>
      <c r="Q3" s="1302"/>
      <c r="R3" s="1302"/>
      <c r="S3" s="1302"/>
      <c r="T3" s="1302"/>
      <c r="U3" s="1302"/>
      <c r="V3" s="1302"/>
      <c r="W3" s="1302"/>
      <c r="X3" s="1302"/>
      <c r="Y3" s="1302"/>
      <c r="Z3" s="1302"/>
      <c r="AA3" s="1302"/>
      <c r="AB3" s="1302"/>
      <c r="AC3" s="1302"/>
      <c r="AD3" s="1302"/>
      <c r="AE3" s="1302"/>
      <c r="AF3" s="1302"/>
      <c r="AG3" s="1302"/>
      <c r="AH3" s="1302"/>
      <c r="AI3" s="1302"/>
      <c r="AJ3" s="1302"/>
      <c r="AK3" s="1302"/>
      <c r="AL3" s="1302"/>
      <c r="AM3" s="1302"/>
      <c r="AN3" s="1302"/>
      <c r="AO3" s="1302"/>
      <c r="AP3" s="1302"/>
      <c r="AQ3" s="1302"/>
      <c r="AR3" s="1302"/>
      <c r="AS3" s="1302"/>
      <c r="AT3" s="1302"/>
      <c r="AU3" s="1302"/>
      <c r="AV3" s="1302"/>
      <c r="AW3" s="1302"/>
      <c r="AX3" s="1302"/>
      <c r="AY3" s="1302"/>
      <c r="AZ3" s="1302"/>
      <c r="BA3" s="1302"/>
      <c r="BB3" s="1302"/>
      <c r="BC3" s="1302"/>
      <c r="BD3" s="1302"/>
      <c r="BE3" s="1302"/>
      <c r="BF3" s="1302"/>
      <c r="BG3" s="1302"/>
      <c r="BH3" s="1302"/>
      <c r="BI3" s="1302"/>
      <c r="BJ3" s="1302"/>
      <c r="BK3" s="1302"/>
      <c r="BL3" s="1302"/>
      <c r="BM3" s="1302"/>
      <c r="BN3" s="1302"/>
      <c r="BO3" s="1302"/>
      <c r="BP3" s="1302"/>
      <c r="BQ3" s="1302"/>
      <c r="BR3" s="1302"/>
      <c r="BS3" s="1302"/>
      <c r="BT3" s="1302"/>
      <c r="BU3" s="1302"/>
      <c r="BV3" s="1302"/>
      <c r="BW3" s="1302"/>
      <c r="BX3" s="1302"/>
      <c r="BY3" s="1302"/>
      <c r="BZ3" s="1302"/>
      <c r="CA3" s="1302"/>
      <c r="CB3" s="1302"/>
      <c r="CC3" s="1302"/>
      <c r="CD3" s="1302"/>
      <c r="CE3" s="1302"/>
      <c r="CF3" s="1302"/>
      <c r="CG3" s="1302"/>
      <c r="CH3" s="1302"/>
      <c r="CI3" s="1302"/>
      <c r="CJ3" s="1302"/>
      <c r="CK3" s="1302"/>
      <c r="CL3" s="1302"/>
      <c r="CM3" s="1302"/>
      <c r="CN3" s="1302"/>
      <c r="CO3" s="1302"/>
      <c r="CP3" s="1302"/>
      <c r="CQ3" s="1302"/>
      <c r="CR3" s="1302"/>
      <c r="CS3" s="1302"/>
      <c r="CT3" s="1302"/>
      <c r="CU3" s="1302"/>
      <c r="CV3" s="1302"/>
      <c r="CW3" s="1302"/>
      <c r="CX3" s="1302"/>
      <c r="CY3" s="1302"/>
      <c r="CZ3" s="1302"/>
      <c r="DA3" s="1302"/>
      <c r="DB3" s="1302"/>
      <c r="DC3" s="1302"/>
      <c r="DD3" s="1302"/>
      <c r="DE3" s="1302"/>
      <c r="DF3" s="1302"/>
      <c r="DG3" s="1302"/>
      <c r="DH3" s="1302"/>
      <c r="DI3" s="1302"/>
      <c r="DJ3" s="1302"/>
      <c r="DK3" s="1302"/>
      <c r="DL3" s="1302"/>
      <c r="DM3" s="1302"/>
      <c r="DN3" s="1302"/>
      <c r="DO3" s="1302"/>
      <c r="DP3" s="1302"/>
      <c r="DQ3" s="1302"/>
      <c r="DR3" s="1302"/>
      <c r="DS3" s="1302"/>
      <c r="DT3" s="1302"/>
      <c r="DU3" s="1302"/>
      <c r="DV3" s="1302"/>
      <c r="DW3" s="1302"/>
      <c r="DX3" s="1302"/>
      <c r="DY3" s="1302"/>
      <c r="DZ3" s="1302"/>
      <c r="EA3" s="1302"/>
      <c r="EB3" s="1302"/>
      <c r="EC3" s="1302"/>
      <c r="ED3" s="1302"/>
      <c r="EE3" s="1302"/>
      <c r="EF3" s="1302"/>
      <c r="EG3" s="1302"/>
      <c r="EH3" s="1302"/>
      <c r="EI3" s="1302"/>
      <c r="EJ3" s="1302"/>
      <c r="EK3" s="1302"/>
      <c r="EL3" s="1302"/>
      <c r="EM3" s="1302"/>
      <c r="EN3" s="1302"/>
      <c r="EO3" s="1302"/>
      <c r="EP3" s="1302"/>
      <c r="EQ3" s="1302"/>
      <c r="ER3" s="1302"/>
      <c r="ES3" s="1302"/>
      <c r="ET3" s="1302"/>
      <c r="EU3" s="1302"/>
      <c r="EV3" s="1302"/>
      <c r="EW3" s="1302"/>
      <c r="EX3" s="1302"/>
      <c r="EY3" s="1302"/>
      <c r="EZ3" s="1302"/>
      <c r="FA3" s="1302"/>
      <c r="FB3" s="1302"/>
      <c r="FC3" s="1302"/>
      <c r="FD3" s="1302"/>
      <c r="FE3" s="1302"/>
      <c r="FF3" s="1302"/>
      <c r="FG3" s="1302"/>
      <c r="FH3" s="1302"/>
      <c r="FI3" s="1302"/>
      <c r="FJ3" s="1302"/>
      <c r="FK3" s="1302"/>
      <c r="FL3" s="1302"/>
      <c r="FM3" s="1302"/>
      <c r="FN3" s="1302"/>
      <c r="FO3" s="1302"/>
      <c r="FP3" s="1302"/>
      <c r="FQ3" s="1302"/>
      <c r="FR3" s="1302"/>
      <c r="FS3" s="1302"/>
      <c r="FT3" s="1302"/>
      <c r="FU3" s="1302"/>
      <c r="FV3" s="1302"/>
      <c r="FW3" s="1302"/>
      <c r="FX3" s="1302"/>
      <c r="FY3" s="1302"/>
      <c r="FZ3" s="1302"/>
      <c r="GA3" s="1302"/>
      <c r="GB3" s="1302"/>
      <c r="GC3" s="1302"/>
      <c r="GD3" s="1302"/>
      <c r="GE3" s="1302"/>
      <c r="GF3" s="1302"/>
      <c r="GG3" s="1302"/>
      <c r="GH3" s="1302"/>
      <c r="GI3" s="1302"/>
      <c r="GJ3" s="1302"/>
      <c r="GK3" s="1302"/>
      <c r="GL3" s="1302"/>
      <c r="GM3" s="1302"/>
      <c r="GN3" s="1302"/>
      <c r="GO3" s="1302"/>
      <c r="GP3" s="1302"/>
      <c r="GQ3" s="1302"/>
      <c r="GR3" s="1302"/>
      <c r="GS3" s="1302"/>
      <c r="GT3" s="1302"/>
      <c r="GU3" s="1302"/>
      <c r="GV3" s="1302"/>
      <c r="GW3" s="1302"/>
      <c r="GX3" s="1302"/>
      <c r="GY3" s="1302"/>
      <c r="GZ3" s="1302"/>
      <c r="HA3" s="1302"/>
      <c r="HB3" s="1302"/>
      <c r="HC3" s="1302"/>
      <c r="HD3" s="1302"/>
      <c r="HE3" s="1302"/>
      <c r="HF3" s="1302"/>
      <c r="HG3" s="1302"/>
      <c r="HH3" s="1302"/>
      <c r="HI3" s="1302"/>
      <c r="HJ3" s="1302"/>
      <c r="HK3" s="1302"/>
      <c r="HL3" s="1302"/>
      <c r="HM3" s="1302"/>
      <c r="HN3" s="1302"/>
      <c r="HO3" s="1302"/>
      <c r="HP3" s="1302"/>
      <c r="HQ3" s="1302"/>
      <c r="HR3" s="1302"/>
      <c r="HS3" s="1302"/>
      <c r="HT3" s="1302"/>
      <c r="HU3" s="1302"/>
      <c r="HV3" s="1302"/>
      <c r="HW3" s="1302"/>
      <c r="HX3" s="1302"/>
      <c r="HY3" s="1302"/>
      <c r="HZ3" s="1302"/>
      <c r="IA3" s="1302"/>
      <c r="IB3" s="1302"/>
      <c r="IC3" s="1302"/>
      <c r="ID3" s="1302"/>
      <c r="IE3" s="1302"/>
      <c r="IF3" s="1302"/>
      <c r="IG3" s="1302"/>
      <c r="IH3" s="1302"/>
      <c r="II3" s="1302"/>
      <c r="IJ3" s="1302"/>
      <c r="IK3" s="1302"/>
      <c r="IL3" s="1302"/>
      <c r="IM3" s="1302"/>
      <c r="IN3" s="1302"/>
      <c r="IO3" s="1302"/>
      <c r="IP3" s="1302"/>
      <c r="IQ3" s="1302"/>
      <c r="IR3" s="1302"/>
      <c r="IS3" s="1302"/>
      <c r="IT3" s="1302"/>
      <c r="IU3" s="1302"/>
      <c r="IV3" s="1302"/>
    </row>
    <row r="4" spans="1:256" x14ac:dyDescent="0.25">
      <c r="A4" s="1263" t="s">
        <v>123</v>
      </c>
      <c r="B4" s="1326" t="str">
        <f>HYPERLINK("#MS_A0001",'MS Assemblies'!B4)</f>
        <v>Firewall</v>
      </c>
      <c r="C4" s="1255"/>
      <c r="D4" s="1263" t="s">
        <v>119</v>
      </c>
      <c r="E4" s="1255"/>
      <c r="F4" s="1255"/>
      <c r="G4" s="1255"/>
      <c r="H4" s="1255"/>
      <c r="I4" s="1255"/>
      <c r="J4" s="1325" t="s">
        <v>122</v>
      </c>
      <c r="K4" s="1255"/>
      <c r="L4" s="1255"/>
      <c r="M4" s="1255"/>
      <c r="N4" s="1255"/>
      <c r="O4" s="1254"/>
      <c r="P4" s="1302"/>
      <c r="Q4" s="1302"/>
      <c r="R4" s="1302"/>
      <c r="S4" s="1302"/>
      <c r="T4" s="1302"/>
      <c r="U4" s="1302"/>
      <c r="V4" s="1302"/>
      <c r="W4" s="1302"/>
      <c r="X4" s="1302"/>
      <c r="Y4" s="1302"/>
      <c r="Z4" s="1302"/>
      <c r="AA4" s="1302"/>
      <c r="AB4" s="1302"/>
      <c r="AC4" s="1302"/>
      <c r="AD4" s="1302"/>
      <c r="AE4" s="1302"/>
      <c r="AF4" s="1302"/>
      <c r="AG4" s="1302"/>
      <c r="AH4" s="1302"/>
      <c r="AI4" s="1302"/>
      <c r="AJ4" s="1302"/>
      <c r="AK4" s="1302"/>
      <c r="AL4" s="1302"/>
      <c r="AM4" s="1302"/>
      <c r="AN4" s="1302"/>
      <c r="AO4" s="1302"/>
      <c r="AP4" s="1302"/>
      <c r="AQ4" s="1302"/>
      <c r="AR4" s="1302"/>
      <c r="AS4" s="1302"/>
      <c r="AT4" s="1302"/>
      <c r="AU4" s="1302"/>
      <c r="AV4" s="1302"/>
      <c r="AW4" s="1302"/>
      <c r="AX4" s="1302"/>
      <c r="AY4" s="1302"/>
      <c r="AZ4" s="1302"/>
      <c r="BA4" s="1302"/>
      <c r="BB4" s="1302"/>
      <c r="BC4" s="1302"/>
      <c r="BD4" s="1302"/>
      <c r="BE4" s="1302"/>
      <c r="BF4" s="1302"/>
      <c r="BG4" s="1302"/>
      <c r="BH4" s="1302"/>
      <c r="BI4" s="1302"/>
      <c r="BJ4" s="1302"/>
      <c r="BK4" s="1302"/>
      <c r="BL4" s="1302"/>
      <c r="BM4" s="1302"/>
      <c r="BN4" s="1302"/>
      <c r="BO4" s="1302"/>
      <c r="BP4" s="1302"/>
      <c r="BQ4" s="1302"/>
      <c r="BR4" s="1302"/>
      <c r="BS4" s="1302"/>
      <c r="BT4" s="1302"/>
      <c r="BU4" s="1302"/>
      <c r="BV4" s="1302"/>
      <c r="BW4" s="1302"/>
      <c r="BX4" s="1302"/>
      <c r="BY4" s="1302"/>
      <c r="BZ4" s="1302"/>
      <c r="CA4" s="1302"/>
      <c r="CB4" s="1302"/>
      <c r="CC4" s="1302"/>
      <c r="CD4" s="1302"/>
      <c r="CE4" s="1302"/>
      <c r="CF4" s="1302"/>
      <c r="CG4" s="1302"/>
      <c r="CH4" s="1302"/>
      <c r="CI4" s="1302"/>
      <c r="CJ4" s="1302"/>
      <c r="CK4" s="1302"/>
      <c r="CL4" s="1302"/>
      <c r="CM4" s="1302"/>
      <c r="CN4" s="1302"/>
      <c r="CO4" s="1302"/>
      <c r="CP4" s="1302"/>
      <c r="CQ4" s="1302"/>
      <c r="CR4" s="1302"/>
      <c r="CS4" s="1302"/>
      <c r="CT4" s="1302"/>
      <c r="CU4" s="1302"/>
      <c r="CV4" s="1302"/>
      <c r="CW4" s="1302"/>
      <c r="CX4" s="1302"/>
      <c r="CY4" s="1302"/>
      <c r="CZ4" s="1302"/>
      <c r="DA4" s="1302"/>
      <c r="DB4" s="1302"/>
      <c r="DC4" s="1302"/>
      <c r="DD4" s="1302"/>
      <c r="DE4" s="1302"/>
      <c r="DF4" s="1302"/>
      <c r="DG4" s="1302"/>
      <c r="DH4" s="1302"/>
      <c r="DI4" s="1302"/>
      <c r="DJ4" s="1302"/>
      <c r="DK4" s="1302"/>
      <c r="DL4" s="1302"/>
      <c r="DM4" s="1302"/>
      <c r="DN4" s="1302"/>
      <c r="DO4" s="1302"/>
      <c r="DP4" s="1302"/>
      <c r="DQ4" s="1302"/>
      <c r="DR4" s="1302"/>
      <c r="DS4" s="1302"/>
      <c r="DT4" s="1302"/>
      <c r="DU4" s="1302"/>
      <c r="DV4" s="1302"/>
      <c r="DW4" s="1302"/>
      <c r="DX4" s="1302"/>
      <c r="DY4" s="1302"/>
      <c r="DZ4" s="1302"/>
      <c r="EA4" s="1302"/>
      <c r="EB4" s="1302"/>
      <c r="EC4" s="1302"/>
      <c r="ED4" s="1302"/>
      <c r="EE4" s="1302"/>
      <c r="EF4" s="1302"/>
      <c r="EG4" s="1302"/>
      <c r="EH4" s="1302"/>
      <c r="EI4" s="1302"/>
      <c r="EJ4" s="1302"/>
      <c r="EK4" s="1302"/>
      <c r="EL4" s="1302"/>
      <c r="EM4" s="1302"/>
      <c r="EN4" s="1302"/>
      <c r="EO4" s="1302"/>
      <c r="EP4" s="1302"/>
      <c r="EQ4" s="1302"/>
      <c r="ER4" s="1302"/>
      <c r="ES4" s="1302"/>
      <c r="ET4" s="1302"/>
      <c r="EU4" s="1302"/>
      <c r="EV4" s="1302"/>
      <c r="EW4" s="1302"/>
      <c r="EX4" s="1302"/>
      <c r="EY4" s="1302"/>
      <c r="EZ4" s="1302"/>
      <c r="FA4" s="1302"/>
      <c r="FB4" s="1302"/>
      <c r="FC4" s="1302"/>
      <c r="FD4" s="1302"/>
      <c r="FE4" s="1302"/>
      <c r="FF4" s="1302"/>
      <c r="FG4" s="1302"/>
      <c r="FH4" s="1302"/>
      <c r="FI4" s="1302"/>
      <c r="FJ4" s="1302"/>
      <c r="FK4" s="1302"/>
      <c r="FL4" s="1302"/>
      <c r="FM4" s="1302"/>
      <c r="FN4" s="1302"/>
      <c r="FO4" s="1302"/>
      <c r="FP4" s="1302"/>
      <c r="FQ4" s="1302"/>
      <c r="FR4" s="1302"/>
      <c r="FS4" s="1302"/>
      <c r="FT4" s="1302"/>
      <c r="FU4" s="1302"/>
      <c r="FV4" s="1302"/>
      <c r="FW4" s="1302"/>
      <c r="FX4" s="1302"/>
      <c r="FY4" s="1302"/>
      <c r="FZ4" s="1302"/>
      <c r="GA4" s="1302"/>
      <c r="GB4" s="1302"/>
      <c r="GC4" s="1302"/>
      <c r="GD4" s="1302"/>
      <c r="GE4" s="1302"/>
      <c r="GF4" s="1302"/>
      <c r="GG4" s="1302"/>
      <c r="GH4" s="1302"/>
      <c r="GI4" s="1302"/>
      <c r="GJ4" s="1302"/>
      <c r="GK4" s="1302"/>
      <c r="GL4" s="1302"/>
      <c r="GM4" s="1302"/>
      <c r="GN4" s="1302"/>
      <c r="GO4" s="1302"/>
      <c r="GP4" s="1302"/>
      <c r="GQ4" s="1302"/>
      <c r="GR4" s="1302"/>
      <c r="GS4" s="1302"/>
      <c r="GT4" s="1302"/>
      <c r="GU4" s="1302"/>
      <c r="GV4" s="1302"/>
      <c r="GW4" s="1302"/>
      <c r="GX4" s="1302"/>
      <c r="GY4" s="1302"/>
      <c r="GZ4" s="1302"/>
      <c r="HA4" s="1302"/>
      <c r="HB4" s="1302"/>
      <c r="HC4" s="1302"/>
      <c r="HD4" s="1302"/>
      <c r="HE4" s="1302"/>
      <c r="HF4" s="1302"/>
      <c r="HG4" s="1302"/>
      <c r="HH4" s="1302"/>
      <c r="HI4" s="1302"/>
      <c r="HJ4" s="1302"/>
      <c r="HK4" s="1302"/>
      <c r="HL4" s="1302"/>
      <c r="HM4" s="1302"/>
      <c r="HN4" s="1302"/>
      <c r="HO4" s="1302"/>
      <c r="HP4" s="1302"/>
      <c r="HQ4" s="1302"/>
      <c r="HR4" s="1302"/>
      <c r="HS4" s="1302"/>
      <c r="HT4" s="1302"/>
      <c r="HU4" s="1302"/>
      <c r="HV4" s="1302"/>
      <c r="HW4" s="1302"/>
      <c r="HX4" s="1302"/>
      <c r="HY4" s="1302"/>
      <c r="HZ4" s="1302"/>
      <c r="IA4" s="1302"/>
      <c r="IB4" s="1302"/>
      <c r="IC4" s="1302"/>
      <c r="ID4" s="1302"/>
      <c r="IE4" s="1302"/>
      <c r="IF4" s="1302"/>
      <c r="IG4" s="1302"/>
      <c r="IH4" s="1302"/>
      <c r="II4" s="1302"/>
      <c r="IJ4" s="1302"/>
      <c r="IK4" s="1302"/>
      <c r="IL4" s="1302"/>
      <c r="IM4" s="1302"/>
      <c r="IN4" s="1302"/>
      <c r="IO4" s="1302"/>
      <c r="IP4" s="1302"/>
      <c r="IQ4" s="1302"/>
      <c r="IR4" s="1302"/>
      <c r="IS4" s="1302"/>
      <c r="IT4" s="1302"/>
      <c r="IU4" s="1302"/>
      <c r="IV4" s="1302"/>
    </row>
    <row r="5" spans="1:256" x14ac:dyDescent="0.25">
      <c r="A5" s="1263" t="s">
        <v>114</v>
      </c>
      <c r="B5" s="1296" t="s">
        <v>2341</v>
      </c>
      <c r="C5" s="1255"/>
      <c r="D5" s="1263" t="s">
        <v>116</v>
      </c>
      <c r="E5" s="1255"/>
      <c r="F5" s="1255"/>
      <c r="G5" s="1255"/>
      <c r="H5" s="1255"/>
      <c r="I5" s="1255"/>
      <c r="J5" s="1325" t="s">
        <v>119</v>
      </c>
      <c r="K5" s="1255"/>
      <c r="L5" s="1255"/>
      <c r="M5" s="1263" t="s">
        <v>118</v>
      </c>
      <c r="N5" s="1273">
        <f>N3*N2</f>
        <v>17.810189504</v>
      </c>
      <c r="O5" s="1254"/>
      <c r="P5" s="1302"/>
      <c r="Q5" s="1302"/>
      <c r="R5" s="1302"/>
      <c r="S5" s="1302"/>
      <c r="T5" s="1302"/>
      <c r="U5" s="1302"/>
      <c r="V5" s="1302"/>
      <c r="W5" s="1302"/>
      <c r="X5" s="1302"/>
      <c r="Y5" s="1302"/>
      <c r="Z5" s="1302"/>
      <c r="AA5" s="1302"/>
      <c r="AB5" s="1302"/>
      <c r="AC5" s="1302"/>
      <c r="AD5" s="1302"/>
      <c r="AE5" s="1302"/>
      <c r="AF5" s="1302"/>
      <c r="AG5" s="1302"/>
      <c r="AH5" s="1302"/>
      <c r="AI5" s="1302"/>
      <c r="AJ5" s="1302"/>
      <c r="AK5" s="1302"/>
      <c r="AL5" s="1302"/>
      <c r="AM5" s="1302"/>
      <c r="AN5" s="1302"/>
      <c r="AO5" s="1302"/>
      <c r="AP5" s="1302"/>
      <c r="AQ5" s="1302"/>
      <c r="AR5" s="1302"/>
      <c r="AS5" s="1302"/>
      <c r="AT5" s="1302"/>
      <c r="AU5" s="1302"/>
      <c r="AV5" s="1302"/>
      <c r="AW5" s="1302"/>
      <c r="AX5" s="1302"/>
      <c r="AY5" s="1302"/>
      <c r="AZ5" s="1302"/>
      <c r="BA5" s="1302"/>
      <c r="BB5" s="1302"/>
      <c r="BC5" s="1302"/>
      <c r="BD5" s="1302"/>
      <c r="BE5" s="1302"/>
      <c r="BF5" s="1302"/>
      <c r="BG5" s="1302"/>
      <c r="BH5" s="1302"/>
      <c r="BI5" s="1302"/>
      <c r="BJ5" s="1302"/>
      <c r="BK5" s="1302"/>
      <c r="BL5" s="1302"/>
      <c r="BM5" s="1302"/>
      <c r="BN5" s="1302"/>
      <c r="BO5" s="1302"/>
      <c r="BP5" s="1302"/>
      <c r="BQ5" s="1302"/>
      <c r="BR5" s="1302"/>
      <c r="BS5" s="1302"/>
      <c r="BT5" s="1302"/>
      <c r="BU5" s="1302"/>
      <c r="BV5" s="1302"/>
      <c r="BW5" s="1302"/>
      <c r="BX5" s="1302"/>
      <c r="BY5" s="1302"/>
      <c r="BZ5" s="1302"/>
      <c r="CA5" s="1302"/>
      <c r="CB5" s="1302"/>
      <c r="CC5" s="1302"/>
      <c r="CD5" s="1302"/>
      <c r="CE5" s="1302"/>
      <c r="CF5" s="1302"/>
      <c r="CG5" s="1302"/>
      <c r="CH5" s="1302"/>
      <c r="CI5" s="1302"/>
      <c r="CJ5" s="1302"/>
      <c r="CK5" s="1302"/>
      <c r="CL5" s="1302"/>
      <c r="CM5" s="1302"/>
      <c r="CN5" s="1302"/>
      <c r="CO5" s="1302"/>
      <c r="CP5" s="1302"/>
      <c r="CQ5" s="1302"/>
      <c r="CR5" s="1302"/>
      <c r="CS5" s="1302"/>
      <c r="CT5" s="1302"/>
      <c r="CU5" s="1302"/>
      <c r="CV5" s="1302"/>
      <c r="CW5" s="1302"/>
      <c r="CX5" s="1302"/>
      <c r="CY5" s="1302"/>
      <c r="CZ5" s="1302"/>
      <c r="DA5" s="1302"/>
      <c r="DB5" s="1302"/>
      <c r="DC5" s="1302"/>
      <c r="DD5" s="1302"/>
      <c r="DE5" s="1302"/>
      <c r="DF5" s="1302"/>
      <c r="DG5" s="1302"/>
      <c r="DH5" s="1302"/>
      <c r="DI5" s="1302"/>
      <c r="DJ5" s="1302"/>
      <c r="DK5" s="1302"/>
      <c r="DL5" s="1302"/>
      <c r="DM5" s="1302"/>
      <c r="DN5" s="1302"/>
      <c r="DO5" s="1302"/>
      <c r="DP5" s="1302"/>
      <c r="DQ5" s="1302"/>
      <c r="DR5" s="1302"/>
      <c r="DS5" s="1302"/>
      <c r="DT5" s="1302"/>
      <c r="DU5" s="1302"/>
      <c r="DV5" s="1302"/>
      <c r="DW5" s="1302"/>
      <c r="DX5" s="1302"/>
      <c r="DY5" s="1302"/>
      <c r="DZ5" s="1302"/>
      <c r="EA5" s="1302"/>
      <c r="EB5" s="1302"/>
      <c r="EC5" s="1302"/>
      <c r="ED5" s="1302"/>
      <c r="EE5" s="1302"/>
      <c r="EF5" s="1302"/>
      <c r="EG5" s="1302"/>
      <c r="EH5" s="1302"/>
      <c r="EI5" s="1302"/>
      <c r="EJ5" s="1302"/>
      <c r="EK5" s="1302"/>
      <c r="EL5" s="1302"/>
      <c r="EM5" s="1302"/>
      <c r="EN5" s="1302"/>
      <c r="EO5" s="1302"/>
      <c r="EP5" s="1302"/>
      <c r="EQ5" s="1302"/>
      <c r="ER5" s="1302"/>
      <c r="ES5" s="1302"/>
      <c r="ET5" s="1302"/>
      <c r="EU5" s="1302"/>
      <c r="EV5" s="1302"/>
      <c r="EW5" s="1302"/>
      <c r="EX5" s="1302"/>
      <c r="EY5" s="1302"/>
      <c r="EZ5" s="1302"/>
      <c r="FA5" s="1302"/>
      <c r="FB5" s="1302"/>
      <c r="FC5" s="1302"/>
      <c r="FD5" s="1302"/>
      <c r="FE5" s="1302"/>
      <c r="FF5" s="1302"/>
      <c r="FG5" s="1302"/>
      <c r="FH5" s="1302"/>
      <c r="FI5" s="1302"/>
      <c r="FJ5" s="1302"/>
      <c r="FK5" s="1302"/>
      <c r="FL5" s="1302"/>
      <c r="FM5" s="1302"/>
      <c r="FN5" s="1302"/>
      <c r="FO5" s="1302"/>
      <c r="FP5" s="1302"/>
      <c r="FQ5" s="1302"/>
      <c r="FR5" s="1302"/>
      <c r="FS5" s="1302"/>
      <c r="FT5" s="1302"/>
      <c r="FU5" s="1302"/>
      <c r="FV5" s="1302"/>
      <c r="FW5" s="1302"/>
      <c r="FX5" s="1302"/>
      <c r="FY5" s="1302"/>
      <c r="FZ5" s="1302"/>
      <c r="GA5" s="1302"/>
      <c r="GB5" s="1302"/>
      <c r="GC5" s="1302"/>
      <c r="GD5" s="1302"/>
      <c r="GE5" s="1302"/>
      <c r="GF5" s="1302"/>
      <c r="GG5" s="1302"/>
      <c r="GH5" s="1302"/>
      <c r="GI5" s="1302"/>
      <c r="GJ5" s="1302"/>
      <c r="GK5" s="1302"/>
      <c r="GL5" s="1302"/>
      <c r="GM5" s="1302"/>
      <c r="GN5" s="1302"/>
      <c r="GO5" s="1302"/>
      <c r="GP5" s="1302"/>
      <c r="GQ5" s="1302"/>
      <c r="GR5" s="1302"/>
      <c r="GS5" s="1302"/>
      <c r="GT5" s="1302"/>
      <c r="GU5" s="1302"/>
      <c r="GV5" s="1302"/>
      <c r="GW5" s="1302"/>
      <c r="GX5" s="1302"/>
      <c r="GY5" s="1302"/>
      <c r="GZ5" s="1302"/>
      <c r="HA5" s="1302"/>
      <c r="HB5" s="1302"/>
      <c r="HC5" s="1302"/>
      <c r="HD5" s="1302"/>
      <c r="HE5" s="1302"/>
      <c r="HF5" s="1302"/>
      <c r="HG5" s="1302"/>
      <c r="HH5" s="1302"/>
      <c r="HI5" s="1302"/>
      <c r="HJ5" s="1302"/>
      <c r="HK5" s="1302"/>
      <c r="HL5" s="1302"/>
      <c r="HM5" s="1302"/>
      <c r="HN5" s="1302"/>
      <c r="HO5" s="1302"/>
      <c r="HP5" s="1302"/>
      <c r="HQ5" s="1302"/>
      <c r="HR5" s="1302"/>
      <c r="HS5" s="1302"/>
      <c r="HT5" s="1302"/>
      <c r="HU5" s="1302"/>
      <c r="HV5" s="1302"/>
      <c r="HW5" s="1302"/>
      <c r="HX5" s="1302"/>
      <c r="HY5" s="1302"/>
      <c r="HZ5" s="1302"/>
      <c r="IA5" s="1302"/>
      <c r="IB5" s="1302"/>
      <c r="IC5" s="1302"/>
      <c r="ID5" s="1302"/>
      <c r="IE5" s="1302"/>
      <c r="IF5" s="1302"/>
      <c r="IG5" s="1302"/>
      <c r="IH5" s="1302"/>
      <c r="II5" s="1302"/>
      <c r="IJ5" s="1302"/>
      <c r="IK5" s="1302"/>
      <c r="IL5" s="1302"/>
      <c r="IM5" s="1302"/>
      <c r="IN5" s="1302"/>
      <c r="IO5" s="1302"/>
      <c r="IP5" s="1302"/>
      <c r="IQ5" s="1302"/>
      <c r="IR5" s="1302"/>
      <c r="IS5" s="1302"/>
      <c r="IT5" s="1302"/>
      <c r="IU5" s="1302"/>
      <c r="IV5" s="1302"/>
    </row>
    <row r="6" spans="1:256" x14ac:dyDescent="0.25">
      <c r="A6" s="1263" t="s">
        <v>121</v>
      </c>
      <c r="B6" s="1296" t="s">
        <v>2340</v>
      </c>
      <c r="C6" s="1255"/>
      <c r="D6" s="1255"/>
      <c r="E6" s="1255"/>
      <c r="F6" s="1255"/>
      <c r="G6" s="1255"/>
      <c r="H6" s="1255"/>
      <c r="I6" s="1255"/>
      <c r="J6" s="1325" t="s">
        <v>116</v>
      </c>
      <c r="K6" s="1255"/>
      <c r="L6" s="1255"/>
      <c r="M6" s="1255"/>
      <c r="N6" s="1255"/>
      <c r="O6" s="1254"/>
      <c r="P6" s="1302"/>
      <c r="Q6" s="1302"/>
      <c r="R6" s="1302"/>
      <c r="S6" s="1302"/>
      <c r="T6" s="1302"/>
      <c r="U6" s="1302"/>
      <c r="V6" s="1302"/>
      <c r="W6" s="1302"/>
      <c r="X6" s="1302"/>
      <c r="Y6" s="1302"/>
      <c r="Z6" s="1302"/>
      <c r="AA6" s="1302"/>
      <c r="AB6" s="1302"/>
      <c r="AC6" s="1302"/>
      <c r="AD6" s="1302"/>
      <c r="AE6" s="1302"/>
      <c r="AF6" s="1302"/>
      <c r="AG6" s="1302"/>
      <c r="AH6" s="1302"/>
      <c r="AI6" s="1302"/>
      <c r="AJ6" s="1302"/>
      <c r="AK6" s="1302"/>
      <c r="AL6" s="1302"/>
      <c r="AM6" s="1302"/>
      <c r="AN6" s="1302"/>
      <c r="AO6" s="1302"/>
      <c r="AP6" s="1302"/>
      <c r="AQ6" s="1302"/>
      <c r="AR6" s="1302"/>
      <c r="AS6" s="1302"/>
      <c r="AT6" s="1302"/>
      <c r="AU6" s="1302"/>
      <c r="AV6" s="1302"/>
      <c r="AW6" s="1302"/>
      <c r="AX6" s="1302"/>
      <c r="AY6" s="1302"/>
      <c r="AZ6" s="1302"/>
      <c r="BA6" s="1302"/>
      <c r="BB6" s="1302"/>
      <c r="BC6" s="1302"/>
      <c r="BD6" s="1302"/>
      <c r="BE6" s="1302"/>
      <c r="BF6" s="1302"/>
      <c r="BG6" s="1302"/>
      <c r="BH6" s="1302"/>
      <c r="BI6" s="1302"/>
      <c r="BJ6" s="1302"/>
      <c r="BK6" s="1302"/>
      <c r="BL6" s="1302"/>
      <c r="BM6" s="1302"/>
      <c r="BN6" s="1302"/>
      <c r="BO6" s="1302"/>
      <c r="BP6" s="1302"/>
      <c r="BQ6" s="1302"/>
      <c r="BR6" s="1302"/>
      <c r="BS6" s="1302"/>
      <c r="BT6" s="1302"/>
      <c r="BU6" s="1302"/>
      <c r="BV6" s="1302"/>
      <c r="BW6" s="1302"/>
      <c r="BX6" s="1302"/>
      <c r="BY6" s="1302"/>
      <c r="BZ6" s="1302"/>
      <c r="CA6" s="1302"/>
      <c r="CB6" s="1302"/>
      <c r="CC6" s="1302"/>
      <c r="CD6" s="1302"/>
      <c r="CE6" s="1302"/>
      <c r="CF6" s="1302"/>
      <c r="CG6" s="1302"/>
      <c r="CH6" s="1302"/>
      <c r="CI6" s="1302"/>
      <c r="CJ6" s="1302"/>
      <c r="CK6" s="1302"/>
      <c r="CL6" s="1302"/>
      <c r="CM6" s="1302"/>
      <c r="CN6" s="1302"/>
      <c r="CO6" s="1302"/>
      <c r="CP6" s="1302"/>
      <c r="CQ6" s="1302"/>
      <c r="CR6" s="1302"/>
      <c r="CS6" s="1302"/>
      <c r="CT6" s="1302"/>
      <c r="CU6" s="1302"/>
      <c r="CV6" s="1302"/>
      <c r="CW6" s="1302"/>
      <c r="CX6" s="1302"/>
      <c r="CY6" s="1302"/>
      <c r="CZ6" s="1302"/>
      <c r="DA6" s="1302"/>
      <c r="DB6" s="1302"/>
      <c r="DC6" s="1302"/>
      <c r="DD6" s="1302"/>
      <c r="DE6" s="1302"/>
      <c r="DF6" s="1302"/>
      <c r="DG6" s="1302"/>
      <c r="DH6" s="1302"/>
      <c r="DI6" s="1302"/>
      <c r="DJ6" s="1302"/>
      <c r="DK6" s="1302"/>
      <c r="DL6" s="1302"/>
      <c r="DM6" s="1302"/>
      <c r="DN6" s="1302"/>
      <c r="DO6" s="1302"/>
      <c r="DP6" s="1302"/>
      <c r="DQ6" s="1302"/>
      <c r="DR6" s="1302"/>
      <c r="DS6" s="1302"/>
      <c r="DT6" s="1302"/>
      <c r="DU6" s="1302"/>
      <c r="DV6" s="1302"/>
      <c r="DW6" s="1302"/>
      <c r="DX6" s="1302"/>
      <c r="DY6" s="1302"/>
      <c r="DZ6" s="1302"/>
      <c r="EA6" s="1302"/>
      <c r="EB6" s="1302"/>
      <c r="EC6" s="1302"/>
      <c r="ED6" s="1302"/>
      <c r="EE6" s="1302"/>
      <c r="EF6" s="1302"/>
      <c r="EG6" s="1302"/>
      <c r="EH6" s="1302"/>
      <c r="EI6" s="1302"/>
      <c r="EJ6" s="1302"/>
      <c r="EK6" s="1302"/>
      <c r="EL6" s="1302"/>
      <c r="EM6" s="1302"/>
      <c r="EN6" s="1302"/>
      <c r="EO6" s="1302"/>
      <c r="EP6" s="1302"/>
      <c r="EQ6" s="1302"/>
      <c r="ER6" s="1302"/>
      <c r="ES6" s="1302"/>
      <c r="ET6" s="1302"/>
      <c r="EU6" s="1302"/>
      <c r="EV6" s="1302"/>
      <c r="EW6" s="1302"/>
      <c r="EX6" s="1302"/>
      <c r="EY6" s="1302"/>
      <c r="EZ6" s="1302"/>
      <c r="FA6" s="1302"/>
      <c r="FB6" s="1302"/>
      <c r="FC6" s="1302"/>
      <c r="FD6" s="1302"/>
      <c r="FE6" s="1302"/>
      <c r="FF6" s="1302"/>
      <c r="FG6" s="1302"/>
      <c r="FH6" s="1302"/>
      <c r="FI6" s="1302"/>
      <c r="FJ6" s="1302"/>
      <c r="FK6" s="1302"/>
      <c r="FL6" s="1302"/>
      <c r="FM6" s="1302"/>
      <c r="FN6" s="1302"/>
      <c r="FO6" s="1302"/>
      <c r="FP6" s="1302"/>
      <c r="FQ6" s="1302"/>
      <c r="FR6" s="1302"/>
      <c r="FS6" s="1302"/>
      <c r="FT6" s="1302"/>
      <c r="FU6" s="1302"/>
      <c r="FV6" s="1302"/>
      <c r="FW6" s="1302"/>
      <c r="FX6" s="1302"/>
      <c r="FY6" s="1302"/>
      <c r="FZ6" s="1302"/>
      <c r="GA6" s="1302"/>
      <c r="GB6" s="1302"/>
      <c r="GC6" s="1302"/>
      <c r="GD6" s="1302"/>
      <c r="GE6" s="1302"/>
      <c r="GF6" s="1302"/>
      <c r="GG6" s="1302"/>
      <c r="GH6" s="1302"/>
      <c r="GI6" s="1302"/>
      <c r="GJ6" s="1302"/>
      <c r="GK6" s="1302"/>
      <c r="GL6" s="1302"/>
      <c r="GM6" s="1302"/>
      <c r="GN6" s="1302"/>
      <c r="GO6" s="1302"/>
      <c r="GP6" s="1302"/>
      <c r="GQ6" s="1302"/>
      <c r="GR6" s="1302"/>
      <c r="GS6" s="1302"/>
      <c r="GT6" s="1302"/>
      <c r="GU6" s="1302"/>
      <c r="GV6" s="1302"/>
      <c r="GW6" s="1302"/>
      <c r="GX6" s="1302"/>
      <c r="GY6" s="1302"/>
      <c r="GZ6" s="1302"/>
      <c r="HA6" s="1302"/>
      <c r="HB6" s="1302"/>
      <c r="HC6" s="1302"/>
      <c r="HD6" s="1302"/>
      <c r="HE6" s="1302"/>
      <c r="HF6" s="1302"/>
      <c r="HG6" s="1302"/>
      <c r="HH6" s="1302"/>
      <c r="HI6" s="1302"/>
      <c r="HJ6" s="1302"/>
      <c r="HK6" s="1302"/>
      <c r="HL6" s="1302"/>
      <c r="HM6" s="1302"/>
      <c r="HN6" s="1302"/>
      <c r="HO6" s="1302"/>
      <c r="HP6" s="1302"/>
      <c r="HQ6" s="1302"/>
      <c r="HR6" s="1302"/>
      <c r="HS6" s="1302"/>
      <c r="HT6" s="1302"/>
      <c r="HU6" s="1302"/>
      <c r="HV6" s="1302"/>
      <c r="HW6" s="1302"/>
      <c r="HX6" s="1302"/>
      <c r="HY6" s="1302"/>
      <c r="HZ6" s="1302"/>
      <c r="IA6" s="1302"/>
      <c r="IB6" s="1302"/>
      <c r="IC6" s="1302"/>
      <c r="ID6" s="1302"/>
      <c r="IE6" s="1302"/>
      <c r="IF6" s="1302"/>
      <c r="IG6" s="1302"/>
      <c r="IH6" s="1302"/>
      <c r="II6" s="1302"/>
      <c r="IJ6" s="1302"/>
      <c r="IK6" s="1302"/>
      <c r="IL6" s="1302"/>
      <c r="IM6" s="1302"/>
      <c r="IN6" s="1302"/>
      <c r="IO6" s="1302"/>
      <c r="IP6" s="1302"/>
      <c r="IQ6" s="1302"/>
      <c r="IR6" s="1302"/>
      <c r="IS6" s="1302"/>
      <c r="IT6" s="1302"/>
      <c r="IU6" s="1302"/>
      <c r="IV6" s="1302"/>
    </row>
    <row r="7" spans="1:256" x14ac:dyDescent="0.25">
      <c r="A7" s="1263" t="s">
        <v>117</v>
      </c>
      <c r="B7" s="1294" t="s">
        <v>23</v>
      </c>
      <c r="C7" s="1255"/>
      <c r="D7" s="1255"/>
      <c r="E7" s="1255"/>
      <c r="F7" s="1255"/>
      <c r="G7" s="1255"/>
      <c r="H7" s="1255"/>
      <c r="I7" s="1255"/>
      <c r="J7" s="1255"/>
      <c r="K7" s="1255"/>
      <c r="L7" s="1255"/>
      <c r="M7" s="1255"/>
      <c r="N7" s="1255"/>
      <c r="O7" s="1254"/>
      <c r="P7" s="1302"/>
      <c r="Q7" s="1302"/>
      <c r="R7" s="1302"/>
      <c r="S7" s="1302"/>
      <c r="T7" s="1302"/>
      <c r="U7" s="1302"/>
      <c r="V7" s="1302"/>
      <c r="W7" s="1302"/>
      <c r="X7" s="1302"/>
      <c r="Y7" s="1302"/>
      <c r="Z7" s="1302"/>
      <c r="AA7" s="1302"/>
      <c r="AB7" s="1302"/>
      <c r="AC7" s="1302"/>
      <c r="AD7" s="1302"/>
      <c r="AE7" s="1302"/>
      <c r="AF7" s="1302"/>
      <c r="AG7" s="1302"/>
      <c r="AH7" s="1302"/>
      <c r="AI7" s="1302"/>
      <c r="AJ7" s="1302"/>
      <c r="AK7" s="1302"/>
      <c r="AL7" s="1302"/>
      <c r="AM7" s="1302"/>
      <c r="AN7" s="1302"/>
      <c r="AO7" s="1302"/>
      <c r="AP7" s="1302"/>
      <c r="AQ7" s="1302"/>
      <c r="AR7" s="1302"/>
      <c r="AS7" s="1302"/>
      <c r="AT7" s="1302"/>
      <c r="AU7" s="1302"/>
      <c r="AV7" s="1302"/>
      <c r="AW7" s="1302"/>
      <c r="AX7" s="1302"/>
      <c r="AY7" s="1302"/>
      <c r="AZ7" s="1302"/>
      <c r="BA7" s="1302"/>
      <c r="BB7" s="1302"/>
      <c r="BC7" s="1302"/>
      <c r="BD7" s="1302"/>
      <c r="BE7" s="1302"/>
      <c r="BF7" s="1302"/>
      <c r="BG7" s="1302"/>
      <c r="BH7" s="1302"/>
      <c r="BI7" s="1302"/>
      <c r="BJ7" s="1302"/>
      <c r="BK7" s="1302"/>
      <c r="BL7" s="1302"/>
      <c r="BM7" s="1302"/>
      <c r="BN7" s="1302"/>
      <c r="BO7" s="1302"/>
      <c r="BP7" s="1302"/>
      <c r="BQ7" s="1302"/>
      <c r="BR7" s="1302"/>
      <c r="BS7" s="1302"/>
      <c r="BT7" s="1302"/>
      <c r="BU7" s="1302"/>
      <c r="BV7" s="1302"/>
      <c r="BW7" s="1302"/>
      <c r="BX7" s="1302"/>
      <c r="BY7" s="1302"/>
      <c r="BZ7" s="1302"/>
      <c r="CA7" s="1302"/>
      <c r="CB7" s="1302"/>
      <c r="CC7" s="1302"/>
      <c r="CD7" s="1302"/>
      <c r="CE7" s="1302"/>
      <c r="CF7" s="1302"/>
      <c r="CG7" s="1302"/>
      <c r="CH7" s="1302"/>
      <c r="CI7" s="1302"/>
      <c r="CJ7" s="1302"/>
      <c r="CK7" s="1302"/>
      <c r="CL7" s="1302"/>
      <c r="CM7" s="1302"/>
      <c r="CN7" s="1302"/>
      <c r="CO7" s="1302"/>
      <c r="CP7" s="1302"/>
      <c r="CQ7" s="1302"/>
      <c r="CR7" s="1302"/>
      <c r="CS7" s="1302"/>
      <c r="CT7" s="1302"/>
      <c r="CU7" s="1302"/>
      <c r="CV7" s="1302"/>
      <c r="CW7" s="1302"/>
      <c r="CX7" s="1302"/>
      <c r="CY7" s="1302"/>
      <c r="CZ7" s="1302"/>
      <c r="DA7" s="1302"/>
      <c r="DB7" s="1302"/>
      <c r="DC7" s="1302"/>
      <c r="DD7" s="1302"/>
      <c r="DE7" s="1302"/>
      <c r="DF7" s="1302"/>
      <c r="DG7" s="1302"/>
      <c r="DH7" s="1302"/>
      <c r="DI7" s="1302"/>
      <c r="DJ7" s="1302"/>
      <c r="DK7" s="1302"/>
      <c r="DL7" s="1302"/>
      <c r="DM7" s="1302"/>
      <c r="DN7" s="1302"/>
      <c r="DO7" s="1302"/>
      <c r="DP7" s="1302"/>
      <c r="DQ7" s="1302"/>
      <c r="DR7" s="1302"/>
      <c r="DS7" s="1302"/>
      <c r="DT7" s="1302"/>
      <c r="DU7" s="1302"/>
      <c r="DV7" s="1302"/>
      <c r="DW7" s="1302"/>
      <c r="DX7" s="1302"/>
      <c r="DY7" s="1302"/>
      <c r="DZ7" s="1302"/>
      <c r="EA7" s="1302"/>
      <c r="EB7" s="1302"/>
      <c r="EC7" s="1302"/>
      <c r="ED7" s="1302"/>
      <c r="EE7" s="1302"/>
      <c r="EF7" s="1302"/>
      <c r="EG7" s="1302"/>
      <c r="EH7" s="1302"/>
      <c r="EI7" s="1302"/>
      <c r="EJ7" s="1302"/>
      <c r="EK7" s="1302"/>
      <c r="EL7" s="1302"/>
      <c r="EM7" s="1302"/>
      <c r="EN7" s="1302"/>
      <c r="EO7" s="1302"/>
      <c r="EP7" s="1302"/>
      <c r="EQ7" s="1302"/>
      <c r="ER7" s="1302"/>
      <c r="ES7" s="1302"/>
      <c r="ET7" s="1302"/>
      <c r="EU7" s="1302"/>
      <c r="EV7" s="1302"/>
      <c r="EW7" s="1302"/>
      <c r="EX7" s="1302"/>
      <c r="EY7" s="1302"/>
      <c r="EZ7" s="1302"/>
      <c r="FA7" s="1302"/>
      <c r="FB7" s="1302"/>
      <c r="FC7" s="1302"/>
      <c r="FD7" s="1302"/>
      <c r="FE7" s="1302"/>
      <c r="FF7" s="1302"/>
      <c r="FG7" s="1302"/>
      <c r="FH7" s="1302"/>
      <c r="FI7" s="1302"/>
      <c r="FJ7" s="1302"/>
      <c r="FK7" s="1302"/>
      <c r="FL7" s="1302"/>
      <c r="FM7" s="1302"/>
      <c r="FN7" s="1302"/>
      <c r="FO7" s="1302"/>
      <c r="FP7" s="1302"/>
      <c r="FQ7" s="1302"/>
      <c r="FR7" s="1302"/>
      <c r="FS7" s="1302"/>
      <c r="FT7" s="1302"/>
      <c r="FU7" s="1302"/>
      <c r="FV7" s="1302"/>
      <c r="FW7" s="1302"/>
      <c r="FX7" s="1302"/>
      <c r="FY7" s="1302"/>
      <c r="FZ7" s="1302"/>
      <c r="GA7" s="1302"/>
      <c r="GB7" s="1302"/>
      <c r="GC7" s="1302"/>
      <c r="GD7" s="1302"/>
      <c r="GE7" s="1302"/>
      <c r="GF7" s="1302"/>
      <c r="GG7" s="1302"/>
      <c r="GH7" s="1302"/>
      <c r="GI7" s="1302"/>
      <c r="GJ7" s="1302"/>
      <c r="GK7" s="1302"/>
      <c r="GL7" s="1302"/>
      <c r="GM7" s="1302"/>
      <c r="GN7" s="1302"/>
      <c r="GO7" s="1302"/>
      <c r="GP7" s="1302"/>
      <c r="GQ7" s="1302"/>
      <c r="GR7" s="1302"/>
      <c r="GS7" s="1302"/>
      <c r="GT7" s="1302"/>
      <c r="GU7" s="1302"/>
      <c r="GV7" s="1302"/>
      <c r="GW7" s="1302"/>
      <c r="GX7" s="1302"/>
      <c r="GY7" s="1302"/>
      <c r="GZ7" s="1302"/>
      <c r="HA7" s="1302"/>
      <c r="HB7" s="1302"/>
      <c r="HC7" s="1302"/>
      <c r="HD7" s="1302"/>
      <c r="HE7" s="1302"/>
      <c r="HF7" s="1302"/>
      <c r="HG7" s="1302"/>
      <c r="HH7" s="1302"/>
      <c r="HI7" s="1302"/>
      <c r="HJ7" s="1302"/>
      <c r="HK7" s="1302"/>
      <c r="HL7" s="1302"/>
      <c r="HM7" s="1302"/>
      <c r="HN7" s="1302"/>
      <c r="HO7" s="1302"/>
      <c r="HP7" s="1302"/>
      <c r="HQ7" s="1302"/>
      <c r="HR7" s="1302"/>
      <c r="HS7" s="1302"/>
      <c r="HT7" s="1302"/>
      <c r="HU7" s="1302"/>
      <c r="HV7" s="1302"/>
      <c r="HW7" s="1302"/>
      <c r="HX7" s="1302"/>
      <c r="HY7" s="1302"/>
      <c r="HZ7" s="1302"/>
      <c r="IA7" s="1302"/>
      <c r="IB7" s="1302"/>
      <c r="IC7" s="1302"/>
      <c r="ID7" s="1302"/>
      <c r="IE7" s="1302"/>
      <c r="IF7" s="1302"/>
      <c r="IG7" s="1302"/>
      <c r="IH7" s="1302"/>
      <c r="II7" s="1302"/>
      <c r="IJ7" s="1302"/>
      <c r="IK7" s="1302"/>
      <c r="IL7" s="1302"/>
      <c r="IM7" s="1302"/>
      <c r="IN7" s="1302"/>
      <c r="IO7" s="1302"/>
      <c r="IP7" s="1302"/>
      <c r="IQ7" s="1302"/>
      <c r="IR7" s="1302"/>
      <c r="IS7" s="1302"/>
      <c r="IT7" s="1302"/>
      <c r="IU7" s="1302"/>
      <c r="IV7" s="1302"/>
    </row>
    <row r="8" spans="1:256" x14ac:dyDescent="0.25">
      <c r="A8" s="1263" t="s">
        <v>115</v>
      </c>
      <c r="B8" s="1294" t="s">
        <v>2339</v>
      </c>
      <c r="C8" s="1255"/>
      <c r="D8" s="1255"/>
      <c r="E8" s="1255"/>
      <c r="F8" s="1255"/>
      <c r="G8" s="1255"/>
      <c r="H8" s="1255"/>
      <c r="I8" s="1255"/>
      <c r="J8" s="1255"/>
      <c r="K8" s="1255"/>
      <c r="L8" s="1255"/>
      <c r="M8" s="1255"/>
      <c r="N8" s="1255"/>
      <c r="O8" s="1254"/>
      <c r="P8" s="1302"/>
      <c r="Q8" s="1302"/>
      <c r="R8" s="1302"/>
      <c r="S8" s="1302"/>
      <c r="T8" s="1302"/>
      <c r="U8" s="1302"/>
      <c r="V8" s="1302"/>
      <c r="W8" s="1302"/>
      <c r="X8" s="1302"/>
      <c r="Y8" s="1302"/>
      <c r="Z8" s="1302"/>
      <c r="AA8" s="1302"/>
      <c r="AB8" s="1302"/>
      <c r="AC8" s="1302"/>
      <c r="AD8" s="1302"/>
      <c r="AE8" s="1302"/>
      <c r="AF8" s="1302"/>
      <c r="AG8" s="1302"/>
      <c r="AH8" s="1302"/>
      <c r="AI8" s="1302"/>
      <c r="AJ8" s="1302"/>
      <c r="AK8" s="1302"/>
      <c r="AL8" s="1302"/>
      <c r="AM8" s="1302"/>
      <c r="AN8" s="1302"/>
      <c r="AO8" s="1302"/>
      <c r="AP8" s="1302"/>
      <c r="AQ8" s="1302"/>
      <c r="AR8" s="1302"/>
      <c r="AS8" s="1302"/>
      <c r="AT8" s="1302"/>
      <c r="AU8" s="1302"/>
      <c r="AV8" s="1302"/>
      <c r="AW8" s="1302"/>
      <c r="AX8" s="1302"/>
      <c r="AY8" s="1302"/>
      <c r="AZ8" s="1302"/>
      <c r="BA8" s="1302"/>
      <c r="BB8" s="1302"/>
      <c r="BC8" s="1302"/>
      <c r="BD8" s="1302"/>
      <c r="BE8" s="1302"/>
      <c r="BF8" s="1302"/>
      <c r="BG8" s="1302"/>
      <c r="BH8" s="1302"/>
      <c r="BI8" s="1302"/>
      <c r="BJ8" s="1302"/>
      <c r="BK8" s="1302"/>
      <c r="BL8" s="1302"/>
      <c r="BM8" s="1302"/>
      <c r="BN8" s="1302"/>
      <c r="BO8" s="1302"/>
      <c r="BP8" s="1302"/>
      <c r="BQ8" s="1302"/>
      <c r="BR8" s="1302"/>
      <c r="BS8" s="1302"/>
      <c r="BT8" s="1302"/>
      <c r="BU8" s="1302"/>
      <c r="BV8" s="1302"/>
      <c r="BW8" s="1302"/>
      <c r="BX8" s="1302"/>
      <c r="BY8" s="1302"/>
      <c r="BZ8" s="1302"/>
      <c r="CA8" s="1302"/>
      <c r="CB8" s="1302"/>
      <c r="CC8" s="1302"/>
      <c r="CD8" s="1302"/>
      <c r="CE8" s="1302"/>
      <c r="CF8" s="1302"/>
      <c r="CG8" s="1302"/>
      <c r="CH8" s="1302"/>
      <c r="CI8" s="1302"/>
      <c r="CJ8" s="1302"/>
      <c r="CK8" s="1302"/>
      <c r="CL8" s="1302"/>
      <c r="CM8" s="1302"/>
      <c r="CN8" s="1302"/>
      <c r="CO8" s="1302"/>
      <c r="CP8" s="1302"/>
      <c r="CQ8" s="1302"/>
      <c r="CR8" s="1302"/>
      <c r="CS8" s="1302"/>
      <c r="CT8" s="1302"/>
      <c r="CU8" s="1302"/>
      <c r="CV8" s="1302"/>
      <c r="CW8" s="1302"/>
      <c r="CX8" s="1302"/>
      <c r="CY8" s="1302"/>
      <c r="CZ8" s="1302"/>
      <c r="DA8" s="1302"/>
      <c r="DB8" s="1302"/>
      <c r="DC8" s="1302"/>
      <c r="DD8" s="1302"/>
      <c r="DE8" s="1302"/>
      <c r="DF8" s="1302"/>
      <c r="DG8" s="1302"/>
      <c r="DH8" s="1302"/>
      <c r="DI8" s="1302"/>
      <c r="DJ8" s="1302"/>
      <c r="DK8" s="1302"/>
      <c r="DL8" s="1302"/>
      <c r="DM8" s="1302"/>
      <c r="DN8" s="1302"/>
      <c r="DO8" s="1302"/>
      <c r="DP8" s="1302"/>
      <c r="DQ8" s="1302"/>
      <c r="DR8" s="1302"/>
      <c r="DS8" s="1302"/>
      <c r="DT8" s="1302"/>
      <c r="DU8" s="1302"/>
      <c r="DV8" s="1302"/>
      <c r="DW8" s="1302"/>
      <c r="DX8" s="1302"/>
      <c r="DY8" s="1302"/>
      <c r="DZ8" s="1302"/>
      <c r="EA8" s="1302"/>
      <c r="EB8" s="1302"/>
      <c r="EC8" s="1302"/>
      <c r="ED8" s="1302"/>
      <c r="EE8" s="1302"/>
      <c r="EF8" s="1302"/>
      <c r="EG8" s="1302"/>
      <c r="EH8" s="1302"/>
      <c r="EI8" s="1302"/>
      <c r="EJ8" s="1302"/>
      <c r="EK8" s="1302"/>
      <c r="EL8" s="1302"/>
      <c r="EM8" s="1302"/>
      <c r="EN8" s="1302"/>
      <c r="EO8" s="1302"/>
      <c r="EP8" s="1302"/>
      <c r="EQ8" s="1302"/>
      <c r="ER8" s="1302"/>
      <c r="ES8" s="1302"/>
      <c r="ET8" s="1302"/>
      <c r="EU8" s="1302"/>
      <c r="EV8" s="1302"/>
      <c r="EW8" s="1302"/>
      <c r="EX8" s="1302"/>
      <c r="EY8" s="1302"/>
      <c r="EZ8" s="1302"/>
      <c r="FA8" s="1302"/>
      <c r="FB8" s="1302"/>
      <c r="FC8" s="1302"/>
      <c r="FD8" s="1302"/>
      <c r="FE8" s="1302"/>
      <c r="FF8" s="1302"/>
      <c r="FG8" s="1302"/>
      <c r="FH8" s="1302"/>
      <c r="FI8" s="1302"/>
      <c r="FJ8" s="1302"/>
      <c r="FK8" s="1302"/>
      <c r="FL8" s="1302"/>
      <c r="FM8" s="1302"/>
      <c r="FN8" s="1302"/>
      <c r="FO8" s="1302"/>
      <c r="FP8" s="1302"/>
      <c r="FQ8" s="1302"/>
      <c r="FR8" s="1302"/>
      <c r="FS8" s="1302"/>
      <c r="FT8" s="1302"/>
      <c r="FU8" s="1302"/>
      <c r="FV8" s="1302"/>
      <c r="FW8" s="1302"/>
      <c r="FX8" s="1302"/>
      <c r="FY8" s="1302"/>
      <c r="FZ8" s="1302"/>
      <c r="GA8" s="1302"/>
      <c r="GB8" s="1302"/>
      <c r="GC8" s="1302"/>
      <c r="GD8" s="1302"/>
      <c r="GE8" s="1302"/>
      <c r="GF8" s="1302"/>
      <c r="GG8" s="1302"/>
      <c r="GH8" s="1302"/>
      <c r="GI8" s="1302"/>
      <c r="GJ8" s="1302"/>
      <c r="GK8" s="1302"/>
      <c r="GL8" s="1302"/>
      <c r="GM8" s="1302"/>
      <c r="GN8" s="1302"/>
      <c r="GO8" s="1302"/>
      <c r="GP8" s="1302"/>
      <c r="GQ8" s="1302"/>
      <c r="GR8" s="1302"/>
      <c r="GS8" s="1302"/>
      <c r="GT8" s="1302"/>
      <c r="GU8" s="1302"/>
      <c r="GV8" s="1302"/>
      <c r="GW8" s="1302"/>
      <c r="GX8" s="1302"/>
      <c r="GY8" s="1302"/>
      <c r="GZ8" s="1302"/>
      <c r="HA8" s="1302"/>
      <c r="HB8" s="1302"/>
      <c r="HC8" s="1302"/>
      <c r="HD8" s="1302"/>
      <c r="HE8" s="1302"/>
      <c r="HF8" s="1302"/>
      <c r="HG8" s="1302"/>
      <c r="HH8" s="1302"/>
      <c r="HI8" s="1302"/>
      <c r="HJ8" s="1302"/>
      <c r="HK8" s="1302"/>
      <c r="HL8" s="1302"/>
      <c r="HM8" s="1302"/>
      <c r="HN8" s="1302"/>
      <c r="HO8" s="1302"/>
      <c r="HP8" s="1302"/>
      <c r="HQ8" s="1302"/>
      <c r="HR8" s="1302"/>
      <c r="HS8" s="1302"/>
      <c r="HT8" s="1302"/>
      <c r="HU8" s="1302"/>
      <c r="HV8" s="1302"/>
      <c r="HW8" s="1302"/>
      <c r="HX8" s="1302"/>
      <c r="HY8" s="1302"/>
      <c r="HZ8" s="1302"/>
      <c r="IA8" s="1302"/>
      <c r="IB8" s="1302"/>
      <c r="IC8" s="1302"/>
      <c r="ID8" s="1302"/>
      <c r="IE8" s="1302"/>
      <c r="IF8" s="1302"/>
      <c r="IG8" s="1302"/>
      <c r="IH8" s="1302"/>
      <c r="II8" s="1302"/>
      <c r="IJ8" s="1302"/>
      <c r="IK8" s="1302"/>
      <c r="IL8" s="1302"/>
      <c r="IM8" s="1302"/>
      <c r="IN8" s="1302"/>
      <c r="IO8" s="1302"/>
      <c r="IP8" s="1302"/>
      <c r="IQ8" s="1302"/>
      <c r="IR8" s="1302"/>
      <c r="IS8" s="1302"/>
      <c r="IT8" s="1302"/>
      <c r="IU8" s="1302"/>
      <c r="IV8" s="1302"/>
    </row>
    <row r="9" spans="1:256" x14ac:dyDescent="0.25">
      <c r="A9" s="1324"/>
      <c r="B9" s="1323"/>
      <c r="C9" s="1323"/>
      <c r="D9" s="1323"/>
      <c r="E9" s="1323"/>
      <c r="F9" s="1255"/>
      <c r="G9" s="1255"/>
      <c r="H9" s="1255"/>
      <c r="I9" s="1255"/>
      <c r="J9" s="1255"/>
      <c r="K9" s="1255"/>
      <c r="L9" s="1255"/>
      <c r="M9" s="1255"/>
      <c r="N9" s="1255"/>
      <c r="O9" s="1254"/>
      <c r="P9" s="1302"/>
      <c r="Q9" s="1302"/>
      <c r="R9" s="1302"/>
      <c r="S9" s="1302"/>
      <c r="T9" s="1302"/>
      <c r="U9" s="1302"/>
      <c r="V9" s="1302"/>
      <c r="W9" s="1302"/>
      <c r="X9" s="1302"/>
      <c r="Y9" s="1302"/>
      <c r="Z9" s="1302"/>
      <c r="AA9" s="1302"/>
      <c r="AB9" s="1302"/>
      <c r="AC9" s="1302"/>
      <c r="AD9" s="1302"/>
      <c r="AE9" s="1302"/>
      <c r="AF9" s="1302"/>
      <c r="AG9" s="1302"/>
      <c r="AH9" s="1302"/>
      <c r="AI9" s="1302"/>
      <c r="AJ9" s="1302"/>
      <c r="AK9" s="1302"/>
      <c r="AL9" s="1302"/>
      <c r="AM9" s="1302"/>
      <c r="AN9" s="1302"/>
      <c r="AO9" s="1302"/>
      <c r="AP9" s="1302"/>
      <c r="AQ9" s="1302"/>
      <c r="AR9" s="1302"/>
      <c r="AS9" s="1302"/>
      <c r="AT9" s="1302"/>
      <c r="AU9" s="1302"/>
      <c r="AV9" s="1302"/>
      <c r="AW9" s="1302"/>
      <c r="AX9" s="1302"/>
      <c r="AY9" s="1302"/>
      <c r="AZ9" s="1302"/>
      <c r="BA9" s="1302"/>
      <c r="BB9" s="1302"/>
      <c r="BC9" s="1302"/>
      <c r="BD9" s="1302"/>
      <c r="BE9" s="1302"/>
      <c r="BF9" s="1302"/>
      <c r="BG9" s="1302"/>
      <c r="BH9" s="1302"/>
      <c r="BI9" s="1302"/>
      <c r="BJ9" s="1302"/>
      <c r="BK9" s="1302"/>
      <c r="BL9" s="1302"/>
      <c r="BM9" s="1302"/>
      <c r="BN9" s="1302"/>
      <c r="BO9" s="1302"/>
      <c r="BP9" s="1302"/>
      <c r="BQ9" s="1302"/>
      <c r="BR9" s="1302"/>
      <c r="BS9" s="1302"/>
      <c r="BT9" s="1302"/>
      <c r="BU9" s="1302"/>
      <c r="BV9" s="1302"/>
      <c r="BW9" s="1302"/>
      <c r="BX9" s="1302"/>
      <c r="BY9" s="1302"/>
      <c r="BZ9" s="1302"/>
      <c r="CA9" s="1302"/>
      <c r="CB9" s="1302"/>
      <c r="CC9" s="1302"/>
      <c r="CD9" s="1302"/>
      <c r="CE9" s="1302"/>
      <c r="CF9" s="1302"/>
      <c r="CG9" s="1302"/>
      <c r="CH9" s="1302"/>
      <c r="CI9" s="1302"/>
      <c r="CJ9" s="1302"/>
      <c r="CK9" s="1302"/>
      <c r="CL9" s="1302"/>
      <c r="CM9" s="1302"/>
      <c r="CN9" s="1302"/>
      <c r="CO9" s="1302"/>
      <c r="CP9" s="1302"/>
      <c r="CQ9" s="1302"/>
      <c r="CR9" s="1302"/>
      <c r="CS9" s="1302"/>
      <c r="CT9" s="1302"/>
      <c r="CU9" s="1302"/>
      <c r="CV9" s="1302"/>
      <c r="CW9" s="1302"/>
      <c r="CX9" s="1302"/>
      <c r="CY9" s="1302"/>
      <c r="CZ9" s="1302"/>
      <c r="DA9" s="1302"/>
      <c r="DB9" s="1302"/>
      <c r="DC9" s="1302"/>
      <c r="DD9" s="1302"/>
      <c r="DE9" s="1302"/>
      <c r="DF9" s="1302"/>
      <c r="DG9" s="1302"/>
      <c r="DH9" s="1302"/>
      <c r="DI9" s="1302"/>
      <c r="DJ9" s="1302"/>
      <c r="DK9" s="1302"/>
      <c r="DL9" s="1302"/>
      <c r="DM9" s="1302"/>
      <c r="DN9" s="1302"/>
      <c r="DO9" s="1302"/>
      <c r="DP9" s="1302"/>
      <c r="DQ9" s="1302"/>
      <c r="DR9" s="1302"/>
      <c r="DS9" s="1302"/>
      <c r="DT9" s="1302"/>
      <c r="DU9" s="1302"/>
      <c r="DV9" s="1302"/>
      <c r="DW9" s="1302"/>
      <c r="DX9" s="1302"/>
      <c r="DY9" s="1302"/>
      <c r="DZ9" s="1302"/>
      <c r="EA9" s="1302"/>
      <c r="EB9" s="1302"/>
      <c r="EC9" s="1302"/>
      <c r="ED9" s="1302"/>
      <c r="EE9" s="1302"/>
      <c r="EF9" s="1302"/>
      <c r="EG9" s="1302"/>
      <c r="EH9" s="1302"/>
      <c r="EI9" s="1302"/>
      <c r="EJ9" s="1302"/>
      <c r="EK9" s="1302"/>
      <c r="EL9" s="1302"/>
      <c r="EM9" s="1302"/>
      <c r="EN9" s="1302"/>
      <c r="EO9" s="1302"/>
      <c r="EP9" s="1302"/>
      <c r="EQ9" s="1302"/>
      <c r="ER9" s="1302"/>
      <c r="ES9" s="1302"/>
      <c r="ET9" s="1302"/>
      <c r="EU9" s="1302"/>
      <c r="EV9" s="1302"/>
      <c r="EW9" s="1302"/>
      <c r="EX9" s="1302"/>
      <c r="EY9" s="1302"/>
      <c r="EZ9" s="1302"/>
      <c r="FA9" s="1302"/>
      <c r="FB9" s="1302"/>
      <c r="FC9" s="1302"/>
      <c r="FD9" s="1302"/>
      <c r="FE9" s="1302"/>
      <c r="FF9" s="1302"/>
      <c r="FG9" s="1302"/>
      <c r="FH9" s="1302"/>
      <c r="FI9" s="1302"/>
      <c r="FJ9" s="1302"/>
      <c r="FK9" s="1302"/>
      <c r="FL9" s="1302"/>
      <c r="FM9" s="1302"/>
      <c r="FN9" s="1302"/>
      <c r="FO9" s="1302"/>
      <c r="FP9" s="1302"/>
      <c r="FQ9" s="1302"/>
      <c r="FR9" s="1302"/>
      <c r="FS9" s="1302"/>
      <c r="FT9" s="1302"/>
      <c r="FU9" s="1302"/>
      <c r="FV9" s="1302"/>
      <c r="FW9" s="1302"/>
      <c r="FX9" s="1302"/>
      <c r="FY9" s="1302"/>
      <c r="FZ9" s="1302"/>
      <c r="GA9" s="1302"/>
      <c r="GB9" s="1302"/>
      <c r="GC9" s="1302"/>
      <c r="GD9" s="1302"/>
      <c r="GE9" s="1302"/>
      <c r="GF9" s="1302"/>
      <c r="GG9" s="1302"/>
      <c r="GH9" s="1302"/>
      <c r="GI9" s="1302"/>
      <c r="GJ9" s="1302"/>
      <c r="GK9" s="1302"/>
      <c r="GL9" s="1302"/>
      <c r="GM9" s="1302"/>
      <c r="GN9" s="1302"/>
      <c r="GO9" s="1302"/>
      <c r="GP9" s="1302"/>
      <c r="GQ9" s="1302"/>
      <c r="GR9" s="1302"/>
      <c r="GS9" s="1302"/>
      <c r="GT9" s="1302"/>
      <c r="GU9" s="1302"/>
      <c r="GV9" s="1302"/>
      <c r="GW9" s="1302"/>
      <c r="GX9" s="1302"/>
      <c r="GY9" s="1302"/>
      <c r="GZ9" s="1302"/>
      <c r="HA9" s="1302"/>
      <c r="HB9" s="1302"/>
      <c r="HC9" s="1302"/>
      <c r="HD9" s="1302"/>
      <c r="HE9" s="1302"/>
      <c r="HF9" s="1302"/>
      <c r="HG9" s="1302"/>
      <c r="HH9" s="1302"/>
      <c r="HI9" s="1302"/>
      <c r="HJ9" s="1302"/>
      <c r="HK9" s="1302"/>
      <c r="HL9" s="1302"/>
      <c r="HM9" s="1302"/>
      <c r="HN9" s="1302"/>
      <c r="HO9" s="1302"/>
      <c r="HP9" s="1302"/>
      <c r="HQ9" s="1302"/>
      <c r="HR9" s="1302"/>
      <c r="HS9" s="1302"/>
      <c r="HT9" s="1302"/>
      <c r="HU9" s="1302"/>
      <c r="HV9" s="1302"/>
      <c r="HW9" s="1302"/>
      <c r="HX9" s="1302"/>
      <c r="HY9" s="1302"/>
      <c r="HZ9" s="1302"/>
      <c r="IA9" s="1302"/>
      <c r="IB9" s="1302"/>
      <c r="IC9" s="1302"/>
      <c r="ID9" s="1302"/>
      <c r="IE9" s="1302"/>
      <c r="IF9" s="1302"/>
      <c r="IG9" s="1302"/>
      <c r="IH9" s="1302"/>
      <c r="II9" s="1302"/>
      <c r="IJ9" s="1302"/>
      <c r="IK9" s="1302"/>
      <c r="IL9" s="1302"/>
      <c r="IM9" s="1302"/>
      <c r="IN9" s="1302"/>
      <c r="IO9" s="1302"/>
      <c r="IP9" s="1302"/>
      <c r="IQ9" s="1302"/>
      <c r="IR9" s="1302"/>
      <c r="IS9" s="1302"/>
      <c r="IT9" s="1302"/>
      <c r="IU9" s="1302"/>
      <c r="IV9" s="1302"/>
    </row>
    <row r="10" spans="1:256" x14ac:dyDescent="0.25">
      <c r="A10" s="1322" t="s">
        <v>67</v>
      </c>
      <c r="B10" s="1321" t="s">
        <v>112</v>
      </c>
      <c r="C10" s="1321" t="s">
        <v>66</v>
      </c>
      <c r="D10" s="1321" t="s">
        <v>65</v>
      </c>
      <c r="E10" s="1321" t="s">
        <v>81</v>
      </c>
      <c r="F10" s="1263" t="s">
        <v>80</v>
      </c>
      <c r="G10" s="1263" t="s">
        <v>79</v>
      </c>
      <c r="H10" s="1263" t="s">
        <v>78</v>
      </c>
      <c r="I10" s="1263" t="s">
        <v>111</v>
      </c>
      <c r="J10" s="1263" t="s">
        <v>110</v>
      </c>
      <c r="K10" s="1263" t="s">
        <v>109</v>
      </c>
      <c r="L10" s="1263" t="s">
        <v>108</v>
      </c>
      <c r="M10" s="1263" t="s">
        <v>40</v>
      </c>
      <c r="N10" s="1263" t="s">
        <v>58</v>
      </c>
      <c r="O10" s="1254"/>
      <c r="P10" s="1302"/>
      <c r="Q10" s="1302"/>
      <c r="R10" s="1302"/>
      <c r="S10" s="1302"/>
      <c r="T10" s="1302"/>
      <c r="U10" s="1302"/>
      <c r="V10" s="1302"/>
      <c r="W10" s="1302"/>
      <c r="X10" s="1302"/>
      <c r="Y10" s="1302"/>
      <c r="Z10" s="1302"/>
      <c r="AA10" s="1302"/>
      <c r="AB10" s="1302"/>
      <c r="AC10" s="1302"/>
      <c r="AD10" s="1302"/>
      <c r="AE10" s="1302"/>
      <c r="AF10" s="1302"/>
      <c r="AG10" s="1302"/>
      <c r="AH10" s="1302"/>
      <c r="AI10" s="1302"/>
      <c r="AJ10" s="1302"/>
      <c r="AK10" s="1302"/>
      <c r="AL10" s="1302"/>
      <c r="AM10" s="1302"/>
      <c r="AN10" s="1302"/>
      <c r="AO10" s="1302"/>
      <c r="AP10" s="1302"/>
      <c r="AQ10" s="1302"/>
      <c r="AR10" s="1302"/>
      <c r="AS10" s="1302"/>
      <c r="AT10" s="1302"/>
      <c r="AU10" s="1302"/>
      <c r="AV10" s="1302"/>
      <c r="AW10" s="1302"/>
      <c r="AX10" s="1302"/>
      <c r="AY10" s="1302"/>
      <c r="AZ10" s="1302"/>
      <c r="BA10" s="1302"/>
      <c r="BB10" s="1302"/>
      <c r="BC10" s="1302"/>
      <c r="BD10" s="1302"/>
      <c r="BE10" s="1302"/>
      <c r="BF10" s="1302"/>
      <c r="BG10" s="1302"/>
      <c r="BH10" s="1302"/>
      <c r="BI10" s="1302"/>
      <c r="BJ10" s="1302"/>
      <c r="BK10" s="1302"/>
      <c r="BL10" s="1302"/>
      <c r="BM10" s="1302"/>
      <c r="BN10" s="1302"/>
      <c r="BO10" s="1302"/>
      <c r="BP10" s="1302"/>
      <c r="BQ10" s="1302"/>
      <c r="BR10" s="1302"/>
      <c r="BS10" s="1302"/>
      <c r="BT10" s="1302"/>
      <c r="BU10" s="1302"/>
      <c r="BV10" s="1302"/>
      <c r="BW10" s="1302"/>
      <c r="BX10" s="1302"/>
      <c r="BY10" s="1302"/>
      <c r="BZ10" s="1302"/>
      <c r="CA10" s="1302"/>
      <c r="CB10" s="1302"/>
      <c r="CC10" s="1302"/>
      <c r="CD10" s="1302"/>
      <c r="CE10" s="1302"/>
      <c r="CF10" s="1302"/>
      <c r="CG10" s="1302"/>
      <c r="CH10" s="1302"/>
      <c r="CI10" s="1302"/>
      <c r="CJ10" s="1302"/>
      <c r="CK10" s="1302"/>
      <c r="CL10" s="1302"/>
      <c r="CM10" s="1302"/>
      <c r="CN10" s="1302"/>
      <c r="CO10" s="1302"/>
      <c r="CP10" s="1302"/>
      <c r="CQ10" s="1302"/>
      <c r="CR10" s="1302"/>
      <c r="CS10" s="1302"/>
      <c r="CT10" s="1302"/>
      <c r="CU10" s="1302"/>
      <c r="CV10" s="1302"/>
      <c r="CW10" s="1302"/>
      <c r="CX10" s="1302"/>
      <c r="CY10" s="1302"/>
      <c r="CZ10" s="1302"/>
      <c r="DA10" s="1302"/>
      <c r="DB10" s="1302"/>
      <c r="DC10" s="1302"/>
      <c r="DD10" s="1302"/>
      <c r="DE10" s="1302"/>
      <c r="DF10" s="1302"/>
      <c r="DG10" s="1302"/>
      <c r="DH10" s="1302"/>
      <c r="DI10" s="1302"/>
      <c r="DJ10" s="1302"/>
      <c r="DK10" s="1302"/>
      <c r="DL10" s="1302"/>
      <c r="DM10" s="1302"/>
      <c r="DN10" s="1302"/>
      <c r="DO10" s="1302"/>
      <c r="DP10" s="1302"/>
      <c r="DQ10" s="1302"/>
      <c r="DR10" s="1302"/>
      <c r="DS10" s="1302"/>
      <c r="DT10" s="1302"/>
      <c r="DU10" s="1302"/>
      <c r="DV10" s="1302"/>
      <c r="DW10" s="1302"/>
      <c r="DX10" s="1302"/>
      <c r="DY10" s="1302"/>
      <c r="DZ10" s="1302"/>
      <c r="EA10" s="1302"/>
      <c r="EB10" s="1302"/>
      <c r="EC10" s="1302"/>
      <c r="ED10" s="1302"/>
      <c r="EE10" s="1302"/>
      <c r="EF10" s="1302"/>
      <c r="EG10" s="1302"/>
      <c r="EH10" s="1302"/>
      <c r="EI10" s="1302"/>
      <c r="EJ10" s="1302"/>
      <c r="EK10" s="1302"/>
      <c r="EL10" s="1302"/>
      <c r="EM10" s="1302"/>
      <c r="EN10" s="1302"/>
      <c r="EO10" s="1302"/>
      <c r="EP10" s="1302"/>
      <c r="EQ10" s="1302"/>
      <c r="ER10" s="1302"/>
      <c r="ES10" s="1302"/>
      <c r="ET10" s="1302"/>
      <c r="EU10" s="1302"/>
      <c r="EV10" s="1302"/>
      <c r="EW10" s="1302"/>
      <c r="EX10" s="1302"/>
      <c r="EY10" s="1302"/>
      <c r="EZ10" s="1302"/>
      <c r="FA10" s="1302"/>
      <c r="FB10" s="1302"/>
      <c r="FC10" s="1302"/>
      <c r="FD10" s="1302"/>
      <c r="FE10" s="1302"/>
      <c r="FF10" s="1302"/>
      <c r="FG10" s="1302"/>
      <c r="FH10" s="1302"/>
      <c r="FI10" s="1302"/>
      <c r="FJ10" s="1302"/>
      <c r="FK10" s="1302"/>
      <c r="FL10" s="1302"/>
      <c r="FM10" s="1302"/>
      <c r="FN10" s="1302"/>
      <c r="FO10" s="1302"/>
      <c r="FP10" s="1302"/>
      <c r="FQ10" s="1302"/>
      <c r="FR10" s="1302"/>
      <c r="FS10" s="1302"/>
      <c r="FT10" s="1302"/>
      <c r="FU10" s="1302"/>
      <c r="FV10" s="1302"/>
      <c r="FW10" s="1302"/>
      <c r="FX10" s="1302"/>
      <c r="FY10" s="1302"/>
      <c r="FZ10" s="1302"/>
      <c r="GA10" s="1302"/>
      <c r="GB10" s="1302"/>
      <c r="GC10" s="1302"/>
      <c r="GD10" s="1302"/>
      <c r="GE10" s="1302"/>
      <c r="GF10" s="1302"/>
      <c r="GG10" s="1302"/>
      <c r="GH10" s="1302"/>
      <c r="GI10" s="1302"/>
      <c r="GJ10" s="1302"/>
      <c r="GK10" s="1302"/>
      <c r="GL10" s="1302"/>
      <c r="GM10" s="1302"/>
      <c r="GN10" s="1302"/>
      <c r="GO10" s="1302"/>
      <c r="GP10" s="1302"/>
      <c r="GQ10" s="1302"/>
      <c r="GR10" s="1302"/>
      <c r="GS10" s="1302"/>
      <c r="GT10" s="1302"/>
      <c r="GU10" s="1302"/>
      <c r="GV10" s="1302"/>
      <c r="GW10" s="1302"/>
      <c r="GX10" s="1302"/>
      <c r="GY10" s="1302"/>
      <c r="GZ10" s="1302"/>
      <c r="HA10" s="1302"/>
      <c r="HB10" s="1302"/>
      <c r="HC10" s="1302"/>
      <c r="HD10" s="1302"/>
      <c r="HE10" s="1302"/>
      <c r="HF10" s="1302"/>
      <c r="HG10" s="1302"/>
      <c r="HH10" s="1302"/>
      <c r="HI10" s="1302"/>
      <c r="HJ10" s="1302"/>
      <c r="HK10" s="1302"/>
      <c r="HL10" s="1302"/>
      <c r="HM10" s="1302"/>
      <c r="HN10" s="1302"/>
      <c r="HO10" s="1302"/>
      <c r="HP10" s="1302"/>
      <c r="HQ10" s="1302"/>
      <c r="HR10" s="1302"/>
      <c r="HS10" s="1302"/>
      <c r="HT10" s="1302"/>
      <c r="HU10" s="1302"/>
      <c r="HV10" s="1302"/>
      <c r="HW10" s="1302"/>
      <c r="HX10" s="1302"/>
      <c r="HY10" s="1302"/>
      <c r="HZ10" s="1302"/>
      <c r="IA10" s="1302"/>
      <c r="IB10" s="1302"/>
      <c r="IC10" s="1302"/>
      <c r="ID10" s="1302"/>
      <c r="IE10" s="1302"/>
      <c r="IF10" s="1302"/>
      <c r="IG10" s="1302"/>
      <c r="IH10" s="1302"/>
      <c r="II10" s="1302"/>
      <c r="IJ10" s="1302"/>
      <c r="IK10" s="1302"/>
      <c r="IL10" s="1302"/>
      <c r="IM10" s="1302"/>
      <c r="IN10" s="1302"/>
      <c r="IO10" s="1302"/>
      <c r="IP10" s="1302"/>
      <c r="IQ10" s="1302"/>
      <c r="IR10" s="1302"/>
      <c r="IS10" s="1302"/>
      <c r="IT10" s="1302"/>
      <c r="IU10" s="1302"/>
      <c r="IV10" s="1302"/>
    </row>
    <row r="11" spans="1:256" s="1338" customFormat="1" ht="30" x14ac:dyDescent="0.25">
      <c r="A11" s="1286">
        <v>10</v>
      </c>
      <c r="B11" s="1320" t="s">
        <v>683</v>
      </c>
      <c r="C11" s="1286" t="s">
        <v>682</v>
      </c>
      <c r="D11" s="1261">
        <v>4.2</v>
      </c>
      <c r="E11" s="1286">
        <v>727</v>
      </c>
      <c r="F11" s="1286" t="s">
        <v>68</v>
      </c>
      <c r="G11" s="1286">
        <v>1</v>
      </c>
      <c r="H11" s="1320" t="s">
        <v>68</v>
      </c>
      <c r="I11" s="1319" t="s">
        <v>2338</v>
      </c>
      <c r="J11" s="1318">
        <f>(E11*10^-3)*(G11*10^-3)</f>
        <v>7.27E-4</v>
      </c>
      <c r="K11" s="1317">
        <v>0.73599999999999999</v>
      </c>
      <c r="L11" s="1316">
        <v>2710</v>
      </c>
      <c r="M11" s="1276">
        <v>1</v>
      </c>
      <c r="N11" s="1261">
        <f>IF(J11="",D11*M11,D11*J11*K11*L11*M11)</f>
        <v>6.0901895039999996</v>
      </c>
      <c r="O11" s="1281"/>
    </row>
    <row r="12" spans="1:256" x14ac:dyDescent="0.25">
      <c r="A12" s="1259"/>
      <c r="B12" s="1256"/>
      <c r="C12" s="1256" t="s">
        <v>2197</v>
      </c>
      <c r="D12" s="1256"/>
      <c r="E12" s="1256"/>
      <c r="F12" s="1256"/>
      <c r="G12" s="1256"/>
      <c r="H12" s="1256"/>
      <c r="I12" s="1256"/>
      <c r="J12" s="1256"/>
      <c r="K12" s="1256"/>
      <c r="L12" s="1256"/>
      <c r="M12" s="1258" t="s">
        <v>58</v>
      </c>
      <c r="N12" s="1305">
        <f>SUM(N11:N11)</f>
        <v>6.0901895039999996</v>
      </c>
      <c r="O12" s="1254"/>
      <c r="P12" s="1302"/>
      <c r="Q12" s="1302"/>
      <c r="R12" s="1302"/>
      <c r="S12" s="1302"/>
      <c r="T12" s="1302"/>
      <c r="U12" s="1302"/>
      <c r="V12" s="1302"/>
      <c r="W12" s="1302"/>
      <c r="X12" s="1302"/>
      <c r="Y12" s="1302"/>
      <c r="Z12" s="1302"/>
      <c r="AA12" s="1302"/>
      <c r="AB12" s="1302"/>
      <c r="AC12" s="1302"/>
      <c r="AD12" s="1302"/>
      <c r="AE12" s="1302"/>
      <c r="AF12" s="1302"/>
      <c r="AG12" s="1302"/>
      <c r="AH12" s="1302"/>
      <c r="AI12" s="1302"/>
      <c r="AJ12" s="1302"/>
      <c r="AK12" s="1302"/>
      <c r="AL12" s="1302"/>
      <c r="AM12" s="1302"/>
      <c r="AN12" s="1302"/>
      <c r="AO12" s="1302"/>
      <c r="AP12" s="1302"/>
      <c r="AQ12" s="1302"/>
      <c r="AR12" s="1302"/>
      <c r="AS12" s="1302"/>
      <c r="AT12" s="1302"/>
      <c r="AU12" s="1302"/>
      <c r="AV12" s="1302"/>
      <c r="AW12" s="1302"/>
      <c r="AX12" s="1302"/>
      <c r="AY12" s="1302"/>
      <c r="AZ12" s="1302"/>
      <c r="BA12" s="1302"/>
      <c r="BB12" s="1302"/>
      <c r="BC12" s="1302"/>
      <c r="BD12" s="1302"/>
      <c r="BE12" s="1302"/>
      <c r="BF12" s="1302"/>
      <c r="BG12" s="1302"/>
      <c r="BH12" s="1302"/>
      <c r="BI12" s="1302"/>
      <c r="BJ12" s="1302"/>
      <c r="BK12" s="1302"/>
      <c r="BL12" s="1302"/>
      <c r="BM12" s="1302"/>
      <c r="BN12" s="1302"/>
      <c r="BO12" s="1302"/>
      <c r="BP12" s="1302"/>
      <c r="BQ12" s="1302"/>
      <c r="BR12" s="1302"/>
      <c r="BS12" s="1302"/>
      <c r="BT12" s="1302"/>
      <c r="BU12" s="1302"/>
      <c r="BV12" s="1302"/>
      <c r="BW12" s="1302"/>
      <c r="BX12" s="1302"/>
      <c r="BY12" s="1302"/>
      <c r="BZ12" s="1302"/>
      <c r="CA12" s="1302"/>
      <c r="CB12" s="1302"/>
      <c r="CC12" s="1302"/>
      <c r="CD12" s="1302"/>
      <c r="CE12" s="1302"/>
      <c r="CF12" s="1302"/>
      <c r="CG12" s="1302"/>
      <c r="CH12" s="1302"/>
      <c r="CI12" s="1302"/>
      <c r="CJ12" s="1302"/>
      <c r="CK12" s="1302"/>
      <c r="CL12" s="1302"/>
      <c r="CM12" s="1302"/>
      <c r="CN12" s="1302"/>
      <c r="CO12" s="1302"/>
      <c r="CP12" s="1302"/>
      <c r="CQ12" s="1302"/>
      <c r="CR12" s="1302"/>
      <c r="CS12" s="1302"/>
      <c r="CT12" s="1302"/>
      <c r="CU12" s="1302"/>
      <c r="CV12" s="1302"/>
      <c r="CW12" s="1302"/>
      <c r="CX12" s="1302"/>
      <c r="CY12" s="1302"/>
      <c r="CZ12" s="1302"/>
      <c r="DA12" s="1302"/>
      <c r="DB12" s="1302"/>
      <c r="DC12" s="1302"/>
      <c r="DD12" s="1302"/>
      <c r="DE12" s="1302"/>
      <c r="DF12" s="1302"/>
      <c r="DG12" s="1302"/>
      <c r="DH12" s="1302"/>
      <c r="DI12" s="1302"/>
      <c r="DJ12" s="1302"/>
      <c r="DK12" s="1302"/>
      <c r="DL12" s="1302"/>
      <c r="DM12" s="1302"/>
      <c r="DN12" s="1302"/>
      <c r="DO12" s="1302"/>
      <c r="DP12" s="1302"/>
      <c r="DQ12" s="1302"/>
      <c r="DR12" s="1302"/>
      <c r="DS12" s="1302"/>
      <c r="DT12" s="1302"/>
      <c r="DU12" s="1302"/>
      <c r="DV12" s="1302"/>
      <c r="DW12" s="1302"/>
      <c r="DX12" s="1302"/>
      <c r="DY12" s="1302"/>
      <c r="DZ12" s="1302"/>
      <c r="EA12" s="1302"/>
      <c r="EB12" s="1302"/>
      <c r="EC12" s="1302"/>
      <c r="ED12" s="1302"/>
      <c r="EE12" s="1302"/>
      <c r="EF12" s="1302"/>
      <c r="EG12" s="1302"/>
      <c r="EH12" s="1302"/>
      <c r="EI12" s="1302"/>
      <c r="EJ12" s="1302"/>
      <c r="EK12" s="1302"/>
      <c r="EL12" s="1302"/>
      <c r="EM12" s="1302"/>
      <c r="EN12" s="1302"/>
      <c r="EO12" s="1302"/>
      <c r="EP12" s="1302"/>
      <c r="EQ12" s="1302"/>
      <c r="ER12" s="1302"/>
      <c r="ES12" s="1302"/>
      <c r="ET12" s="1302"/>
      <c r="EU12" s="1302"/>
      <c r="EV12" s="1302"/>
      <c r="EW12" s="1302"/>
      <c r="EX12" s="1302"/>
      <c r="EY12" s="1302"/>
      <c r="EZ12" s="1302"/>
      <c r="FA12" s="1302"/>
      <c r="FB12" s="1302"/>
      <c r="FC12" s="1302"/>
      <c r="FD12" s="1302"/>
      <c r="FE12" s="1302"/>
      <c r="FF12" s="1302"/>
      <c r="FG12" s="1302"/>
      <c r="FH12" s="1302"/>
      <c r="FI12" s="1302"/>
      <c r="FJ12" s="1302"/>
      <c r="FK12" s="1302"/>
      <c r="FL12" s="1302"/>
      <c r="FM12" s="1302"/>
      <c r="FN12" s="1302"/>
      <c r="FO12" s="1302"/>
      <c r="FP12" s="1302"/>
      <c r="FQ12" s="1302"/>
      <c r="FR12" s="1302"/>
      <c r="FS12" s="1302"/>
      <c r="FT12" s="1302"/>
      <c r="FU12" s="1302"/>
      <c r="FV12" s="1302"/>
      <c r="FW12" s="1302"/>
      <c r="FX12" s="1302"/>
      <c r="FY12" s="1302"/>
      <c r="FZ12" s="1302"/>
      <c r="GA12" s="1302"/>
      <c r="GB12" s="1302"/>
      <c r="GC12" s="1302"/>
      <c r="GD12" s="1302"/>
      <c r="GE12" s="1302"/>
      <c r="GF12" s="1302"/>
      <c r="GG12" s="1302"/>
      <c r="GH12" s="1302"/>
      <c r="GI12" s="1302"/>
      <c r="GJ12" s="1302"/>
      <c r="GK12" s="1302"/>
      <c r="GL12" s="1302"/>
      <c r="GM12" s="1302"/>
      <c r="GN12" s="1302"/>
      <c r="GO12" s="1302"/>
      <c r="GP12" s="1302"/>
      <c r="GQ12" s="1302"/>
      <c r="GR12" s="1302"/>
      <c r="GS12" s="1302"/>
      <c r="GT12" s="1302"/>
      <c r="GU12" s="1302"/>
      <c r="GV12" s="1302"/>
      <c r="GW12" s="1302"/>
      <c r="GX12" s="1302"/>
      <c r="GY12" s="1302"/>
      <c r="GZ12" s="1302"/>
      <c r="HA12" s="1302"/>
      <c r="HB12" s="1302"/>
      <c r="HC12" s="1302"/>
      <c r="HD12" s="1302"/>
      <c r="HE12" s="1302"/>
      <c r="HF12" s="1302"/>
      <c r="HG12" s="1302"/>
      <c r="HH12" s="1302"/>
      <c r="HI12" s="1302"/>
      <c r="HJ12" s="1302"/>
      <c r="HK12" s="1302"/>
      <c r="HL12" s="1302"/>
      <c r="HM12" s="1302"/>
      <c r="HN12" s="1302"/>
      <c r="HO12" s="1302"/>
      <c r="HP12" s="1302"/>
      <c r="HQ12" s="1302"/>
      <c r="HR12" s="1302"/>
      <c r="HS12" s="1302"/>
      <c r="HT12" s="1302"/>
      <c r="HU12" s="1302"/>
      <c r="HV12" s="1302"/>
      <c r="HW12" s="1302"/>
      <c r="HX12" s="1302"/>
      <c r="HY12" s="1302"/>
      <c r="HZ12" s="1302"/>
      <c r="IA12" s="1302"/>
      <c r="IB12" s="1302"/>
      <c r="IC12" s="1302"/>
      <c r="ID12" s="1302"/>
      <c r="IE12" s="1302"/>
      <c r="IF12" s="1302"/>
      <c r="IG12" s="1302"/>
      <c r="IH12" s="1302"/>
      <c r="II12" s="1302"/>
      <c r="IJ12" s="1302"/>
      <c r="IK12" s="1302"/>
      <c r="IL12" s="1302"/>
      <c r="IM12" s="1302"/>
      <c r="IN12" s="1302"/>
      <c r="IO12" s="1302"/>
      <c r="IP12" s="1302"/>
      <c r="IQ12" s="1302"/>
      <c r="IR12" s="1302"/>
      <c r="IS12" s="1302"/>
      <c r="IT12" s="1302"/>
      <c r="IU12" s="1302"/>
      <c r="IV12" s="1302"/>
    </row>
    <row r="13" spans="1:256" x14ac:dyDescent="0.25">
      <c r="A13" s="1264"/>
      <c r="B13" s="1255"/>
      <c r="C13" s="1255"/>
      <c r="D13" s="1255"/>
      <c r="E13" s="1255"/>
      <c r="F13" s="1255"/>
      <c r="G13" s="1255"/>
      <c r="H13" s="1255"/>
      <c r="I13" s="1255"/>
      <c r="J13" s="1255"/>
      <c r="K13" s="1255"/>
      <c r="L13" s="1255"/>
      <c r="M13" s="1255"/>
      <c r="N13" s="1255"/>
      <c r="O13" s="1254"/>
      <c r="P13" s="1302"/>
      <c r="Q13" s="1302"/>
      <c r="R13" s="1302"/>
      <c r="S13" s="1302"/>
      <c r="T13" s="1302"/>
      <c r="U13" s="1302"/>
      <c r="V13" s="1302"/>
      <c r="W13" s="1302"/>
      <c r="X13" s="1302"/>
      <c r="Y13" s="1302"/>
      <c r="Z13" s="1302"/>
      <c r="AA13" s="1302"/>
      <c r="AB13" s="1302"/>
      <c r="AC13" s="1302"/>
      <c r="AD13" s="1302"/>
      <c r="AE13" s="1302"/>
      <c r="AF13" s="1302"/>
      <c r="AG13" s="1302"/>
      <c r="AH13" s="1302"/>
      <c r="AI13" s="1302"/>
      <c r="AJ13" s="1302"/>
      <c r="AK13" s="1302"/>
      <c r="AL13" s="1302"/>
      <c r="AM13" s="1302"/>
      <c r="AN13" s="1302"/>
      <c r="AO13" s="1302"/>
      <c r="AP13" s="1302"/>
      <c r="AQ13" s="1302"/>
      <c r="AR13" s="1302"/>
      <c r="AS13" s="1302"/>
      <c r="AT13" s="1302"/>
      <c r="AU13" s="1302"/>
      <c r="AV13" s="1302"/>
      <c r="AW13" s="1302"/>
      <c r="AX13" s="1302"/>
      <c r="AY13" s="1302"/>
      <c r="AZ13" s="1302"/>
      <c r="BA13" s="1302"/>
      <c r="BB13" s="1302"/>
      <c r="BC13" s="1302"/>
      <c r="BD13" s="1302"/>
      <c r="BE13" s="1302"/>
      <c r="BF13" s="1302"/>
      <c r="BG13" s="1302"/>
      <c r="BH13" s="1302"/>
      <c r="BI13" s="1302"/>
      <c r="BJ13" s="1302"/>
      <c r="BK13" s="1302"/>
      <c r="BL13" s="1302"/>
      <c r="BM13" s="1302"/>
      <c r="BN13" s="1302"/>
      <c r="BO13" s="1302"/>
      <c r="BP13" s="1302"/>
      <c r="BQ13" s="1302"/>
      <c r="BR13" s="1302"/>
      <c r="BS13" s="1302"/>
      <c r="BT13" s="1302"/>
      <c r="BU13" s="1302"/>
      <c r="BV13" s="1302"/>
      <c r="BW13" s="1302"/>
      <c r="BX13" s="1302"/>
      <c r="BY13" s="1302"/>
      <c r="BZ13" s="1302"/>
      <c r="CA13" s="1302"/>
      <c r="CB13" s="1302"/>
      <c r="CC13" s="1302"/>
      <c r="CD13" s="1302"/>
      <c r="CE13" s="1302"/>
      <c r="CF13" s="1302"/>
      <c r="CG13" s="1302"/>
      <c r="CH13" s="1302"/>
      <c r="CI13" s="1302"/>
      <c r="CJ13" s="1302"/>
      <c r="CK13" s="1302"/>
      <c r="CL13" s="1302"/>
      <c r="CM13" s="1302"/>
      <c r="CN13" s="1302"/>
      <c r="CO13" s="1302"/>
      <c r="CP13" s="1302"/>
      <c r="CQ13" s="1302"/>
      <c r="CR13" s="1302"/>
      <c r="CS13" s="1302"/>
      <c r="CT13" s="1302"/>
      <c r="CU13" s="1302"/>
      <c r="CV13" s="1302"/>
      <c r="CW13" s="1302"/>
      <c r="CX13" s="1302"/>
      <c r="CY13" s="1302"/>
      <c r="CZ13" s="1302"/>
      <c r="DA13" s="1302"/>
      <c r="DB13" s="1302"/>
      <c r="DC13" s="1302"/>
      <c r="DD13" s="1302"/>
      <c r="DE13" s="1302"/>
      <c r="DF13" s="1302"/>
      <c r="DG13" s="1302"/>
      <c r="DH13" s="1302"/>
      <c r="DI13" s="1302"/>
      <c r="DJ13" s="1302"/>
      <c r="DK13" s="1302"/>
      <c r="DL13" s="1302"/>
      <c r="DM13" s="1302"/>
      <c r="DN13" s="1302"/>
      <c r="DO13" s="1302"/>
      <c r="DP13" s="1302"/>
      <c r="DQ13" s="1302"/>
      <c r="DR13" s="1302"/>
      <c r="DS13" s="1302"/>
      <c r="DT13" s="1302"/>
      <c r="DU13" s="1302"/>
      <c r="DV13" s="1302"/>
      <c r="DW13" s="1302"/>
      <c r="DX13" s="1302"/>
      <c r="DY13" s="1302"/>
      <c r="DZ13" s="1302"/>
      <c r="EA13" s="1302"/>
      <c r="EB13" s="1302"/>
      <c r="EC13" s="1302"/>
      <c r="ED13" s="1302"/>
      <c r="EE13" s="1302"/>
      <c r="EF13" s="1302"/>
      <c r="EG13" s="1302"/>
      <c r="EH13" s="1302"/>
      <c r="EI13" s="1302"/>
      <c r="EJ13" s="1302"/>
      <c r="EK13" s="1302"/>
      <c r="EL13" s="1302"/>
      <c r="EM13" s="1302"/>
      <c r="EN13" s="1302"/>
      <c r="EO13" s="1302"/>
      <c r="EP13" s="1302"/>
      <c r="EQ13" s="1302"/>
      <c r="ER13" s="1302"/>
      <c r="ES13" s="1302"/>
      <c r="ET13" s="1302"/>
      <c r="EU13" s="1302"/>
      <c r="EV13" s="1302"/>
      <c r="EW13" s="1302"/>
      <c r="EX13" s="1302"/>
      <c r="EY13" s="1302"/>
      <c r="EZ13" s="1302"/>
      <c r="FA13" s="1302"/>
      <c r="FB13" s="1302"/>
      <c r="FC13" s="1302"/>
      <c r="FD13" s="1302"/>
      <c r="FE13" s="1302"/>
      <c r="FF13" s="1302"/>
      <c r="FG13" s="1302"/>
      <c r="FH13" s="1302"/>
      <c r="FI13" s="1302"/>
      <c r="FJ13" s="1302"/>
      <c r="FK13" s="1302"/>
      <c r="FL13" s="1302"/>
      <c r="FM13" s="1302"/>
      <c r="FN13" s="1302"/>
      <c r="FO13" s="1302"/>
      <c r="FP13" s="1302"/>
      <c r="FQ13" s="1302"/>
      <c r="FR13" s="1302"/>
      <c r="FS13" s="1302"/>
      <c r="FT13" s="1302"/>
      <c r="FU13" s="1302"/>
      <c r="FV13" s="1302"/>
      <c r="FW13" s="1302"/>
      <c r="FX13" s="1302"/>
      <c r="FY13" s="1302"/>
      <c r="FZ13" s="1302"/>
      <c r="GA13" s="1302"/>
      <c r="GB13" s="1302"/>
      <c r="GC13" s="1302"/>
      <c r="GD13" s="1302"/>
      <c r="GE13" s="1302"/>
      <c r="GF13" s="1302"/>
      <c r="GG13" s="1302"/>
      <c r="GH13" s="1302"/>
      <c r="GI13" s="1302"/>
      <c r="GJ13" s="1302"/>
      <c r="GK13" s="1302"/>
      <c r="GL13" s="1302"/>
      <c r="GM13" s="1302"/>
      <c r="GN13" s="1302"/>
      <c r="GO13" s="1302"/>
      <c r="GP13" s="1302"/>
      <c r="GQ13" s="1302"/>
      <c r="GR13" s="1302"/>
      <c r="GS13" s="1302"/>
      <c r="GT13" s="1302"/>
      <c r="GU13" s="1302"/>
      <c r="GV13" s="1302"/>
      <c r="GW13" s="1302"/>
      <c r="GX13" s="1302"/>
      <c r="GY13" s="1302"/>
      <c r="GZ13" s="1302"/>
      <c r="HA13" s="1302"/>
      <c r="HB13" s="1302"/>
      <c r="HC13" s="1302"/>
      <c r="HD13" s="1302"/>
      <c r="HE13" s="1302"/>
      <c r="HF13" s="1302"/>
      <c r="HG13" s="1302"/>
      <c r="HH13" s="1302"/>
      <c r="HI13" s="1302"/>
      <c r="HJ13" s="1302"/>
      <c r="HK13" s="1302"/>
      <c r="HL13" s="1302"/>
      <c r="HM13" s="1302"/>
      <c r="HN13" s="1302"/>
      <c r="HO13" s="1302"/>
      <c r="HP13" s="1302"/>
      <c r="HQ13" s="1302"/>
      <c r="HR13" s="1302"/>
      <c r="HS13" s="1302"/>
      <c r="HT13" s="1302"/>
      <c r="HU13" s="1302"/>
      <c r="HV13" s="1302"/>
      <c r="HW13" s="1302"/>
      <c r="HX13" s="1302"/>
      <c r="HY13" s="1302"/>
      <c r="HZ13" s="1302"/>
      <c r="IA13" s="1302"/>
      <c r="IB13" s="1302"/>
      <c r="IC13" s="1302"/>
      <c r="ID13" s="1302"/>
      <c r="IE13" s="1302"/>
      <c r="IF13" s="1302"/>
      <c r="IG13" s="1302"/>
      <c r="IH13" s="1302"/>
      <c r="II13" s="1302"/>
      <c r="IJ13" s="1302"/>
      <c r="IK13" s="1302"/>
      <c r="IL13" s="1302"/>
      <c r="IM13" s="1302"/>
      <c r="IN13" s="1302"/>
      <c r="IO13" s="1302"/>
      <c r="IP13" s="1302"/>
      <c r="IQ13" s="1302"/>
      <c r="IR13" s="1302"/>
      <c r="IS13" s="1302"/>
      <c r="IT13" s="1302"/>
      <c r="IU13" s="1302"/>
      <c r="IV13" s="1302"/>
    </row>
    <row r="14" spans="1:256" s="1308" customFormat="1" x14ac:dyDescent="0.25">
      <c r="A14" s="1263" t="s">
        <v>67</v>
      </c>
      <c r="B14" s="1263" t="s">
        <v>106</v>
      </c>
      <c r="C14" s="1263" t="s">
        <v>66</v>
      </c>
      <c r="D14" s="1263" t="s">
        <v>65</v>
      </c>
      <c r="E14" s="1263" t="s">
        <v>64</v>
      </c>
      <c r="F14" s="1263" t="s">
        <v>40</v>
      </c>
      <c r="G14" s="1263" t="s">
        <v>105</v>
      </c>
      <c r="H14" s="1263" t="s">
        <v>104</v>
      </c>
      <c r="I14" s="1263" t="s">
        <v>58</v>
      </c>
      <c r="J14" s="1315"/>
      <c r="K14" s="1315"/>
      <c r="L14" s="1315"/>
      <c r="M14" s="1315"/>
      <c r="N14" s="1315"/>
      <c r="O14" s="1269"/>
    </row>
    <row r="15" spans="1:256" x14ac:dyDescent="0.25">
      <c r="A15" s="1314">
        <v>10</v>
      </c>
      <c r="B15" s="1272" t="s">
        <v>516</v>
      </c>
      <c r="C15" s="1314" t="s">
        <v>802</v>
      </c>
      <c r="D15" s="1313">
        <v>1.3</v>
      </c>
      <c r="E15" s="1272" t="s">
        <v>64</v>
      </c>
      <c r="F15" s="1314">
        <v>1</v>
      </c>
      <c r="G15" s="1314"/>
      <c r="H15" s="1314"/>
      <c r="I15" s="1313">
        <f>IF(H15="",D15*F15,D15*F15*H15)</f>
        <v>1.3</v>
      </c>
      <c r="J15" s="1255"/>
      <c r="K15" s="1255"/>
      <c r="L15" s="1255"/>
      <c r="M15" s="1255"/>
      <c r="N15" s="1255"/>
      <c r="O15" s="1254"/>
      <c r="R15" s="1337"/>
    </row>
    <row r="16" spans="1:256" x14ac:dyDescent="0.25">
      <c r="A16" s="1262">
        <v>20</v>
      </c>
      <c r="B16" s="1272" t="s">
        <v>541</v>
      </c>
      <c r="C16" s="1262" t="s">
        <v>834</v>
      </c>
      <c r="D16" s="1261">
        <v>0.01</v>
      </c>
      <c r="E16" s="1262" t="s">
        <v>101</v>
      </c>
      <c r="F16" s="1292">
        <v>317</v>
      </c>
      <c r="G16" s="1272" t="s">
        <v>870</v>
      </c>
      <c r="H16" s="1270">
        <v>1</v>
      </c>
      <c r="I16" s="1261">
        <f>IF(H16="",D16*F16,D16*F16*H16)</f>
        <v>3.17</v>
      </c>
      <c r="J16" s="1260"/>
      <c r="K16" s="1260"/>
      <c r="L16" s="1260"/>
      <c r="M16" s="1260"/>
      <c r="N16" s="1260"/>
      <c r="O16" s="1271"/>
    </row>
    <row r="17" spans="1:15" x14ac:dyDescent="0.25">
      <c r="A17" s="1270">
        <v>30</v>
      </c>
      <c r="B17" s="1272" t="s">
        <v>539</v>
      </c>
      <c r="C17" s="1270" t="s">
        <v>2306</v>
      </c>
      <c r="D17" s="1261">
        <v>0.25</v>
      </c>
      <c r="E17" s="1262" t="s">
        <v>537</v>
      </c>
      <c r="F17" s="1270">
        <v>1</v>
      </c>
      <c r="G17" s="1270"/>
      <c r="H17" s="1270"/>
      <c r="I17" s="1261">
        <f>IF(H17="",D17*F17,D17*F17*H17)</f>
        <v>0.25</v>
      </c>
      <c r="J17" s="1255"/>
      <c r="K17" s="1255"/>
      <c r="L17" s="1255"/>
      <c r="M17" s="1255"/>
      <c r="N17" s="1255"/>
      <c r="O17" s="1254"/>
    </row>
    <row r="18" spans="1:15" x14ac:dyDescent="0.25">
      <c r="A18" s="1270">
        <v>40</v>
      </c>
      <c r="B18" s="1272" t="s">
        <v>296</v>
      </c>
      <c r="C18" s="1270" t="s">
        <v>2267</v>
      </c>
      <c r="D18" s="1261">
        <v>0.35</v>
      </c>
      <c r="E18" s="1262" t="s">
        <v>294</v>
      </c>
      <c r="F18" s="1270">
        <v>20</v>
      </c>
      <c r="G18" s="1270"/>
      <c r="H18" s="1270"/>
      <c r="I18" s="1261">
        <f>IF(H18="",D18*F18,D18*F18*H18)</f>
        <v>7</v>
      </c>
      <c r="J18" s="1255"/>
      <c r="K18" s="1255"/>
      <c r="L18" s="1255"/>
      <c r="M18" s="1255"/>
      <c r="N18" s="1255"/>
      <c r="O18" s="1254"/>
    </row>
    <row r="19" spans="1:15" x14ac:dyDescent="0.25">
      <c r="A19" s="1259"/>
      <c r="B19" s="1256"/>
      <c r="C19" s="1256"/>
      <c r="D19" s="1256"/>
      <c r="E19" s="1256"/>
      <c r="F19" s="1256"/>
      <c r="G19" s="1256"/>
      <c r="H19" s="1306" t="s">
        <v>58</v>
      </c>
      <c r="I19" s="1305">
        <f>SUM(I15:I18)</f>
        <v>11.719999999999999</v>
      </c>
      <c r="J19" s="1256"/>
      <c r="K19" s="1256"/>
      <c r="L19" s="1256"/>
      <c r="M19" s="1256"/>
      <c r="N19" s="1256"/>
      <c r="O19" s="1254"/>
    </row>
    <row r="20" spans="1:15" x14ac:dyDescent="0.25">
      <c r="A20" s="1259"/>
      <c r="B20" s="1256"/>
      <c r="C20" s="1256"/>
      <c r="D20" s="1256"/>
      <c r="E20" s="1256"/>
      <c r="F20" s="1256"/>
      <c r="G20" s="1256"/>
      <c r="H20" s="1256"/>
      <c r="I20" s="1256"/>
      <c r="J20" s="1256"/>
      <c r="K20" s="1256"/>
      <c r="L20" s="1256"/>
      <c r="M20" s="1256"/>
      <c r="N20" s="1256"/>
      <c r="O20" s="1254"/>
    </row>
    <row r="21" spans="1:15" x14ac:dyDescent="0.25">
      <c r="A21" s="1259"/>
      <c r="B21" s="1256"/>
      <c r="C21" s="1256"/>
      <c r="D21" s="1256"/>
      <c r="E21" s="1256"/>
      <c r="F21" s="1256"/>
      <c r="G21" s="1256"/>
      <c r="H21" s="1256"/>
      <c r="I21" s="1256"/>
      <c r="J21" s="1256"/>
      <c r="K21" s="1256"/>
      <c r="L21" s="1256"/>
      <c r="M21" s="1256"/>
      <c r="N21" s="1256"/>
      <c r="O21" s="1254"/>
    </row>
    <row r="22" spans="1:15" x14ac:dyDescent="0.25">
      <c r="A22" s="1259"/>
      <c r="B22" s="1256"/>
      <c r="C22" s="1256"/>
      <c r="D22" s="1256"/>
      <c r="E22" s="1256"/>
      <c r="F22" s="1256"/>
      <c r="G22" s="1256"/>
      <c r="H22" s="1256"/>
      <c r="I22" s="1256"/>
      <c r="J22" s="1256"/>
      <c r="K22" s="1256"/>
      <c r="L22" s="1256"/>
      <c r="M22" s="1256"/>
      <c r="N22" s="1256"/>
      <c r="O22" s="1254"/>
    </row>
    <row r="23" spans="1:15" x14ac:dyDescent="0.25">
      <c r="A23" s="1259"/>
      <c r="B23" s="1256"/>
      <c r="C23" s="1256"/>
      <c r="D23" s="1256"/>
      <c r="E23" s="1256"/>
      <c r="F23" s="1256"/>
      <c r="G23" s="1256"/>
      <c r="H23" s="1256"/>
      <c r="I23" s="1256"/>
      <c r="J23" s="1256"/>
      <c r="K23" s="1256"/>
      <c r="L23" s="1256"/>
      <c r="M23" s="1256"/>
      <c r="N23" s="1256"/>
      <c r="O23" s="1254"/>
    </row>
    <row r="24" spans="1:15" x14ac:dyDescent="0.25">
      <c r="A24" s="1259"/>
      <c r="B24" s="1256"/>
      <c r="C24" s="1256"/>
      <c r="D24" s="1256"/>
      <c r="E24" s="1256"/>
      <c r="F24" s="1256"/>
      <c r="G24" s="1256"/>
      <c r="H24" s="1256"/>
      <c r="I24" s="1256"/>
      <c r="J24" s="1256"/>
      <c r="K24" s="1256"/>
      <c r="L24" s="1256"/>
      <c r="M24" s="1256"/>
      <c r="N24" s="1256"/>
      <c r="O24" s="1254"/>
    </row>
    <row r="25" spans="1:15" x14ac:dyDescent="0.25">
      <c r="A25" s="1259"/>
      <c r="B25" s="1256"/>
      <c r="C25" s="1256"/>
      <c r="D25" s="1256"/>
      <c r="E25" s="1256"/>
      <c r="F25" s="1256"/>
      <c r="G25" s="1256"/>
      <c r="H25" s="1256"/>
      <c r="I25" s="1256"/>
      <c r="J25" s="1256"/>
      <c r="K25" s="1256"/>
      <c r="L25" s="1256"/>
      <c r="M25" s="1256"/>
      <c r="N25" s="1256"/>
      <c r="O25" s="1254"/>
    </row>
    <row r="26" spans="1:15" x14ac:dyDescent="0.25">
      <c r="A26" s="1259"/>
      <c r="B26" s="1256"/>
      <c r="C26" s="1256"/>
      <c r="D26" s="1256"/>
      <c r="E26" s="1256"/>
      <c r="F26" s="1256"/>
      <c r="G26" s="1256"/>
      <c r="H26" s="1256"/>
      <c r="I26" s="1256"/>
      <c r="J26" s="1256"/>
      <c r="K26" s="1256"/>
      <c r="L26" s="1256"/>
      <c r="M26" s="1256"/>
      <c r="N26" s="1256"/>
      <c r="O26" s="1254"/>
    </row>
    <row r="27" spans="1:15" ht="15.75" thickBot="1" x14ac:dyDescent="0.3">
      <c r="A27" s="1253"/>
      <c r="B27" s="1252"/>
      <c r="C27" s="1252"/>
      <c r="D27" s="1252"/>
      <c r="E27" s="1252"/>
      <c r="F27" s="1252"/>
      <c r="G27" s="1252"/>
      <c r="H27" s="1252"/>
      <c r="I27" s="1252"/>
      <c r="J27" s="1252"/>
      <c r="K27" s="1252"/>
      <c r="L27" s="1252"/>
      <c r="M27" s="1252"/>
      <c r="N27" s="1252"/>
      <c r="O27" s="1251"/>
    </row>
    <row r="28" spans="1:15" ht="15.75" thickBot="1" x14ac:dyDescent="0.3">
      <c r="A28" s="1302"/>
      <c r="B28" s="1302"/>
      <c r="C28" s="1302"/>
      <c r="D28" s="1302"/>
      <c r="E28" s="1302"/>
      <c r="F28" s="1302"/>
      <c r="G28" s="1302"/>
      <c r="H28" s="1302"/>
      <c r="I28" s="1302"/>
      <c r="J28" s="1302"/>
      <c r="K28" s="1302"/>
      <c r="L28" s="1302"/>
      <c r="M28" s="1302"/>
      <c r="N28" s="1302"/>
      <c r="O28" s="1302"/>
    </row>
    <row r="29" spans="1:15" x14ac:dyDescent="0.25">
      <c r="A29" s="1301"/>
      <c r="B29" s="1300"/>
      <c r="C29" s="1300"/>
      <c r="D29" s="1300"/>
      <c r="E29" s="1300"/>
      <c r="F29" s="1300"/>
      <c r="G29" s="1300"/>
      <c r="H29" s="1300"/>
      <c r="I29" s="1300"/>
      <c r="J29" s="1300"/>
      <c r="K29" s="1300"/>
      <c r="L29" s="1300"/>
      <c r="M29" s="1300"/>
      <c r="N29" s="1300"/>
      <c r="O29" s="1299"/>
    </row>
    <row r="30" spans="1:15" x14ac:dyDescent="0.25">
      <c r="A30" s="1263" t="s">
        <v>57</v>
      </c>
      <c r="B30" s="1294" t="s">
        <v>523</v>
      </c>
      <c r="C30" s="1255"/>
      <c r="D30" s="1255"/>
      <c r="E30" s="1255"/>
      <c r="F30" s="1255"/>
      <c r="G30" s="1255"/>
      <c r="H30" s="1255"/>
      <c r="I30" s="1255"/>
      <c r="J30" s="1327" t="s">
        <v>51</v>
      </c>
      <c r="K30" s="1298">
        <v>81</v>
      </c>
      <c r="L30" s="1255"/>
      <c r="M30" s="1263" t="s">
        <v>113</v>
      </c>
      <c r="N30" s="1273">
        <f>N40+I47</f>
        <v>5.092841452</v>
      </c>
      <c r="O30" s="1254"/>
    </row>
    <row r="31" spans="1:15" x14ac:dyDescent="0.25">
      <c r="A31" s="1263" t="s">
        <v>125</v>
      </c>
      <c r="B31" s="1297" t="s">
        <v>2210</v>
      </c>
      <c r="C31" s="1255"/>
      <c r="D31" s="1263" t="s">
        <v>122</v>
      </c>
      <c r="E31" s="1326" t="s">
        <v>522</v>
      </c>
      <c r="F31" s="1255"/>
      <c r="G31" s="1255"/>
      <c r="H31" s="1255"/>
      <c r="I31" s="1255"/>
      <c r="J31" s="1255"/>
      <c r="K31" s="1255"/>
      <c r="L31" s="1255"/>
      <c r="M31" s="1263" t="s">
        <v>124</v>
      </c>
      <c r="N31" s="1298">
        <v>2</v>
      </c>
      <c r="O31" s="1254"/>
    </row>
    <row r="32" spans="1:15" x14ac:dyDescent="0.25">
      <c r="A32" s="1263" t="s">
        <v>123</v>
      </c>
      <c r="B32" s="1326" t="str">
        <f>HYPERLINK("#MS_A0001",'MS Assemblies'!B4)</f>
        <v>Firewall</v>
      </c>
      <c r="C32" s="1255"/>
      <c r="D32" s="1263" t="s">
        <v>119</v>
      </c>
      <c r="E32" s="1255"/>
      <c r="F32" s="1255"/>
      <c r="G32" s="1255"/>
      <c r="H32" s="1255"/>
      <c r="I32" s="1255"/>
      <c r="J32" s="1325" t="s">
        <v>122</v>
      </c>
      <c r="K32" s="1255"/>
      <c r="L32" s="1255"/>
      <c r="M32" s="1255"/>
      <c r="N32" s="1255"/>
      <c r="O32" s="1254"/>
    </row>
    <row r="33" spans="1:15" x14ac:dyDescent="0.25">
      <c r="A33" s="1263" t="s">
        <v>114</v>
      </c>
      <c r="B33" s="1296" t="s">
        <v>2337</v>
      </c>
      <c r="C33" s="1255"/>
      <c r="D33" s="1263" t="s">
        <v>116</v>
      </c>
      <c r="E33" s="1255"/>
      <c r="F33" s="1255"/>
      <c r="G33" s="1255"/>
      <c r="H33" s="1255"/>
      <c r="I33" s="1255"/>
      <c r="J33" s="1325" t="s">
        <v>119</v>
      </c>
      <c r="K33" s="1255"/>
      <c r="L33" s="1255"/>
      <c r="M33" s="1263" t="s">
        <v>118</v>
      </c>
      <c r="N33" s="1273">
        <f>N31*N30</f>
        <v>10.185682904</v>
      </c>
      <c r="O33" s="1254"/>
    </row>
    <row r="34" spans="1:15" x14ac:dyDescent="0.25">
      <c r="A34" s="1263" t="s">
        <v>121</v>
      </c>
      <c r="B34" s="1296" t="s">
        <v>2336</v>
      </c>
      <c r="C34" s="1255"/>
      <c r="D34" s="1255"/>
      <c r="E34" s="1255"/>
      <c r="F34" s="1255"/>
      <c r="G34" s="1255"/>
      <c r="H34" s="1255"/>
      <c r="I34" s="1255"/>
      <c r="J34" s="1325" t="s">
        <v>116</v>
      </c>
      <c r="K34" s="1255"/>
      <c r="L34" s="1255"/>
      <c r="M34" s="1255"/>
      <c r="N34" s="1255"/>
      <c r="O34" s="1254"/>
    </row>
    <row r="35" spans="1:15" x14ac:dyDescent="0.25">
      <c r="A35" s="1263" t="s">
        <v>117</v>
      </c>
      <c r="B35" s="1294" t="s">
        <v>23</v>
      </c>
      <c r="C35" s="1255"/>
      <c r="D35" s="1255"/>
      <c r="E35" s="1255"/>
      <c r="F35" s="1255"/>
      <c r="G35" s="1255"/>
      <c r="H35" s="1255"/>
      <c r="I35" s="1255"/>
      <c r="J35" s="1255"/>
      <c r="K35" s="1255"/>
      <c r="L35" s="1255"/>
      <c r="M35" s="1255"/>
      <c r="N35" s="1255"/>
      <c r="O35" s="1254"/>
    </row>
    <row r="36" spans="1:15" x14ac:dyDescent="0.25">
      <c r="A36" s="1263" t="s">
        <v>115</v>
      </c>
      <c r="B36" s="1294" t="s">
        <v>2332</v>
      </c>
      <c r="C36" s="1255"/>
      <c r="D36" s="1255"/>
      <c r="E36" s="1255"/>
      <c r="F36" s="1255"/>
      <c r="G36" s="1255"/>
      <c r="H36" s="1255"/>
      <c r="I36" s="1255"/>
      <c r="J36" s="1255"/>
      <c r="K36" s="1255"/>
      <c r="L36" s="1255"/>
      <c r="M36" s="1255"/>
      <c r="N36" s="1255"/>
      <c r="O36" s="1254"/>
    </row>
    <row r="37" spans="1:15" x14ac:dyDescent="0.25">
      <c r="A37" s="1324"/>
      <c r="B37" s="1323"/>
      <c r="C37" s="1323"/>
      <c r="D37" s="1323"/>
      <c r="E37" s="1323"/>
      <c r="F37" s="1255"/>
      <c r="G37" s="1255"/>
      <c r="H37" s="1255"/>
      <c r="I37" s="1255"/>
      <c r="J37" s="1255"/>
      <c r="K37" s="1255"/>
      <c r="L37" s="1255"/>
      <c r="M37" s="1255"/>
      <c r="N37" s="1255"/>
      <c r="O37" s="1254"/>
    </row>
    <row r="38" spans="1:15" x14ac:dyDescent="0.25">
      <c r="A38" s="1322" t="s">
        <v>67</v>
      </c>
      <c r="B38" s="1321" t="s">
        <v>112</v>
      </c>
      <c r="C38" s="1321" t="s">
        <v>66</v>
      </c>
      <c r="D38" s="1321" t="s">
        <v>65</v>
      </c>
      <c r="E38" s="1321" t="s">
        <v>81</v>
      </c>
      <c r="F38" s="1263" t="s">
        <v>80</v>
      </c>
      <c r="G38" s="1263" t="s">
        <v>79</v>
      </c>
      <c r="H38" s="1263" t="s">
        <v>78</v>
      </c>
      <c r="I38" s="1263" t="s">
        <v>111</v>
      </c>
      <c r="J38" s="1263" t="s">
        <v>110</v>
      </c>
      <c r="K38" s="1263" t="s">
        <v>109</v>
      </c>
      <c r="L38" s="1263" t="s">
        <v>108</v>
      </c>
      <c r="M38" s="1263" t="s">
        <v>40</v>
      </c>
      <c r="N38" s="1263" t="s">
        <v>58</v>
      </c>
      <c r="O38" s="1254"/>
    </row>
    <row r="39" spans="1:15" ht="30" x14ac:dyDescent="0.25">
      <c r="A39" s="1286">
        <v>10</v>
      </c>
      <c r="B39" s="1320" t="s">
        <v>683</v>
      </c>
      <c r="C39" s="1286" t="s">
        <v>682</v>
      </c>
      <c r="D39" s="1261">
        <v>4.2</v>
      </c>
      <c r="E39" s="1286">
        <v>146</v>
      </c>
      <c r="F39" s="1286" t="s">
        <v>68</v>
      </c>
      <c r="G39" s="1286">
        <v>1</v>
      </c>
      <c r="H39" s="1320" t="s">
        <v>68</v>
      </c>
      <c r="I39" s="1319" t="s">
        <v>2335</v>
      </c>
      <c r="J39" s="1318">
        <f>(E39*10^-3)*(G39*10^-3)</f>
        <v>1.46E-4</v>
      </c>
      <c r="K39" s="1317">
        <v>0.441</v>
      </c>
      <c r="L39" s="1316">
        <v>2710</v>
      </c>
      <c r="M39" s="1276">
        <v>1</v>
      </c>
      <c r="N39" s="1261">
        <f>IF(J39="",D39*M39,D39*J39*K39*L39*M39)</f>
        <v>0.73284145200000006</v>
      </c>
      <c r="O39" s="1281"/>
    </row>
    <row r="40" spans="1:15" x14ac:dyDescent="0.25">
      <c r="A40" s="1259"/>
      <c r="B40" s="1256"/>
      <c r="C40" s="1256" t="s">
        <v>2197</v>
      </c>
      <c r="D40" s="1256"/>
      <c r="E40" s="1256"/>
      <c r="F40" s="1256"/>
      <c r="G40" s="1256"/>
      <c r="H40" s="1256"/>
      <c r="I40" s="1256"/>
      <c r="J40" s="1256"/>
      <c r="K40" s="1256"/>
      <c r="L40" s="1256"/>
      <c r="M40" s="1258" t="s">
        <v>58</v>
      </c>
      <c r="N40" s="1305">
        <f>SUM(N39:N39)</f>
        <v>0.73284145200000006</v>
      </c>
      <c r="O40" s="1254"/>
    </row>
    <row r="41" spans="1:15" x14ac:dyDescent="0.25">
      <c r="A41" s="1264"/>
      <c r="B41" s="1255"/>
      <c r="C41" s="1255"/>
      <c r="D41" s="1255"/>
      <c r="E41" s="1255"/>
      <c r="F41" s="1255"/>
      <c r="G41" s="1255"/>
      <c r="H41" s="1255"/>
      <c r="I41" s="1255"/>
      <c r="J41" s="1255"/>
      <c r="K41" s="1255"/>
      <c r="L41" s="1255"/>
      <c r="M41" s="1255"/>
      <c r="N41" s="1255"/>
      <c r="O41" s="1254"/>
    </row>
    <row r="42" spans="1:15" x14ac:dyDescent="0.25">
      <c r="A42" s="1263" t="s">
        <v>67</v>
      </c>
      <c r="B42" s="1263" t="s">
        <v>106</v>
      </c>
      <c r="C42" s="1263" t="s">
        <v>66</v>
      </c>
      <c r="D42" s="1263" t="s">
        <v>65</v>
      </c>
      <c r="E42" s="1263" t="s">
        <v>64</v>
      </c>
      <c r="F42" s="1263" t="s">
        <v>40</v>
      </c>
      <c r="G42" s="1263" t="s">
        <v>105</v>
      </c>
      <c r="H42" s="1263" t="s">
        <v>104</v>
      </c>
      <c r="I42" s="1263" t="s">
        <v>58</v>
      </c>
      <c r="J42" s="1315"/>
      <c r="K42" s="1315"/>
      <c r="L42" s="1315"/>
      <c r="M42" s="1315"/>
      <c r="N42" s="1315"/>
      <c r="O42" s="1269"/>
    </row>
    <row r="43" spans="1:15" x14ac:dyDescent="0.25">
      <c r="A43" s="1314">
        <v>10</v>
      </c>
      <c r="B43" s="1272" t="s">
        <v>516</v>
      </c>
      <c r="C43" s="1314" t="s">
        <v>802</v>
      </c>
      <c r="D43" s="1313">
        <v>1.3</v>
      </c>
      <c r="E43" s="1272" t="s">
        <v>64</v>
      </c>
      <c r="F43" s="1314">
        <v>1</v>
      </c>
      <c r="G43" s="1314"/>
      <c r="H43" s="1314"/>
      <c r="I43" s="1313">
        <f>IF(H43="",D43*F43,D43*F43*H43)</f>
        <v>1.3</v>
      </c>
      <c r="J43" s="1255"/>
      <c r="K43" s="1255"/>
      <c r="L43" s="1255"/>
      <c r="M43" s="1255"/>
      <c r="N43" s="1255"/>
      <c r="O43" s="1254"/>
    </row>
    <row r="44" spans="1:15" x14ac:dyDescent="0.25">
      <c r="A44" s="1262">
        <v>20</v>
      </c>
      <c r="B44" s="1272" t="s">
        <v>541</v>
      </c>
      <c r="C44" s="1262" t="s">
        <v>834</v>
      </c>
      <c r="D44" s="1261">
        <v>0.01</v>
      </c>
      <c r="E44" s="1262" t="s">
        <v>101</v>
      </c>
      <c r="F44" s="1292">
        <v>106</v>
      </c>
      <c r="G44" s="1272" t="s">
        <v>870</v>
      </c>
      <c r="H44" s="1270">
        <v>1</v>
      </c>
      <c r="I44" s="1261">
        <f>IF(H44="",D44*F44,D44*F44*H44)</f>
        <v>1.06</v>
      </c>
      <c r="J44" s="1260"/>
      <c r="K44" s="1260"/>
      <c r="L44" s="1260"/>
      <c r="M44" s="1260"/>
      <c r="N44" s="1260"/>
      <c r="O44" s="1271"/>
    </row>
    <row r="45" spans="1:15" x14ac:dyDescent="0.25">
      <c r="A45" s="1270">
        <v>30</v>
      </c>
      <c r="B45" s="1272" t="s">
        <v>539</v>
      </c>
      <c r="C45" s="1270" t="s">
        <v>2306</v>
      </c>
      <c r="D45" s="1261">
        <v>0.25</v>
      </c>
      <c r="E45" s="1262" t="s">
        <v>537</v>
      </c>
      <c r="F45" s="1270">
        <v>1</v>
      </c>
      <c r="G45" s="1270"/>
      <c r="H45" s="1270"/>
      <c r="I45" s="1261">
        <f>IF(H45="",D45*F45,D45*F45*H45)</f>
        <v>0.25</v>
      </c>
      <c r="J45" s="1255"/>
      <c r="K45" s="1255"/>
      <c r="L45" s="1255"/>
      <c r="M45" s="1255"/>
      <c r="N45" s="1255"/>
      <c r="O45" s="1254"/>
    </row>
    <row r="46" spans="1:15" x14ac:dyDescent="0.25">
      <c r="A46" s="1270">
        <v>40</v>
      </c>
      <c r="B46" s="1272" t="s">
        <v>296</v>
      </c>
      <c r="C46" s="1270" t="s">
        <v>2267</v>
      </c>
      <c r="D46" s="1261">
        <v>0.35</v>
      </c>
      <c r="E46" s="1262" t="s">
        <v>294</v>
      </c>
      <c r="F46" s="1270">
        <v>5</v>
      </c>
      <c r="G46" s="1270"/>
      <c r="H46" s="1270"/>
      <c r="I46" s="1261">
        <f>IF(H46="",D46*F46,D46*F46*H46)</f>
        <v>1.75</v>
      </c>
      <c r="J46" s="1255"/>
      <c r="K46" s="1255"/>
      <c r="L46" s="1255"/>
      <c r="M46" s="1255"/>
      <c r="N46" s="1255"/>
      <c r="O46" s="1254"/>
    </row>
    <row r="47" spans="1:15" x14ac:dyDescent="0.25">
      <c r="A47" s="1259"/>
      <c r="B47" s="1256"/>
      <c r="C47" s="1256"/>
      <c r="D47" s="1256"/>
      <c r="E47" s="1256"/>
      <c r="F47" s="1256"/>
      <c r="G47" s="1256"/>
      <c r="H47" s="1306" t="s">
        <v>58</v>
      </c>
      <c r="I47" s="1305">
        <f>SUM(I43:I46)</f>
        <v>4.3600000000000003</v>
      </c>
      <c r="J47" s="1256"/>
      <c r="K47" s="1256"/>
      <c r="L47" s="1256"/>
      <c r="M47" s="1256"/>
      <c r="N47" s="1256"/>
      <c r="O47" s="1254"/>
    </row>
    <row r="48" spans="1:15" x14ac:dyDescent="0.25">
      <c r="A48" s="1259"/>
      <c r="B48" s="1256"/>
      <c r="C48" s="1256"/>
      <c r="D48" s="1256"/>
      <c r="E48" s="1256"/>
      <c r="F48" s="1256"/>
      <c r="G48" s="1256"/>
      <c r="H48" s="1256"/>
      <c r="I48" s="1256"/>
      <c r="J48" s="1256"/>
      <c r="K48" s="1256"/>
      <c r="L48" s="1256"/>
      <c r="M48" s="1256"/>
      <c r="N48" s="1256"/>
      <c r="O48" s="1254"/>
    </row>
    <row r="49" spans="1:15" x14ac:dyDescent="0.25">
      <c r="A49" s="1259"/>
      <c r="B49" s="1256"/>
      <c r="C49" s="1256"/>
      <c r="D49" s="1256"/>
      <c r="E49" s="1256"/>
      <c r="F49" s="1256"/>
      <c r="G49" s="1256"/>
      <c r="H49" s="1256"/>
      <c r="I49" s="1256"/>
      <c r="J49" s="1256"/>
      <c r="K49" s="1256"/>
      <c r="L49" s="1256"/>
      <c r="M49" s="1256"/>
      <c r="N49" s="1256"/>
      <c r="O49" s="1254"/>
    </row>
    <row r="50" spans="1:15" x14ac:dyDescent="0.25">
      <c r="A50" s="1259"/>
      <c r="B50" s="1256"/>
      <c r="C50" s="1256"/>
      <c r="D50" s="1256"/>
      <c r="E50" s="1256"/>
      <c r="F50" s="1256"/>
      <c r="G50" s="1256"/>
      <c r="H50" s="1256"/>
      <c r="I50" s="1256"/>
      <c r="J50" s="1256"/>
      <c r="K50" s="1256"/>
      <c r="L50" s="1256"/>
      <c r="M50" s="1256"/>
      <c r="N50" s="1256"/>
      <c r="O50" s="1254"/>
    </row>
    <row r="51" spans="1:15" x14ac:dyDescent="0.25">
      <c r="A51" s="1259"/>
      <c r="B51" s="1256"/>
      <c r="C51" s="1256"/>
      <c r="D51" s="1256"/>
      <c r="E51" s="1256"/>
      <c r="F51" s="1256"/>
      <c r="G51" s="1256"/>
      <c r="H51" s="1256"/>
      <c r="I51" s="1256"/>
      <c r="J51" s="1256"/>
      <c r="K51" s="1256"/>
      <c r="L51" s="1256"/>
      <c r="M51" s="1256"/>
      <c r="N51" s="1256"/>
      <c r="O51" s="1254"/>
    </row>
    <row r="52" spans="1:15" ht="15.75" thickBot="1" x14ac:dyDescent="0.3">
      <c r="A52" s="1253"/>
      <c r="B52" s="1252"/>
      <c r="C52" s="1252"/>
      <c r="D52" s="1252"/>
      <c r="E52" s="1252"/>
      <c r="F52" s="1252"/>
      <c r="G52" s="1252"/>
      <c r="H52" s="1328"/>
      <c r="I52" s="1328"/>
      <c r="J52" s="1252"/>
      <c r="K52" s="1252"/>
      <c r="L52" s="1252"/>
      <c r="M52" s="1252"/>
      <c r="N52" s="1252"/>
      <c r="O52" s="1251"/>
    </row>
    <row r="53" spans="1:15" ht="15.75" thickBot="1" x14ac:dyDescent="0.3">
      <c r="A53" s="1302"/>
      <c r="B53" s="1302"/>
      <c r="C53" s="1302"/>
      <c r="D53" s="1302"/>
      <c r="E53" s="1302"/>
      <c r="F53" s="1302"/>
      <c r="G53" s="1302"/>
      <c r="H53" s="1302"/>
      <c r="I53" s="1302"/>
      <c r="J53" s="1302"/>
      <c r="K53" s="1302"/>
      <c r="L53" s="1302"/>
      <c r="M53" s="1302"/>
      <c r="N53" s="1302"/>
      <c r="O53" s="1302"/>
    </row>
    <row r="54" spans="1:15" x14ac:dyDescent="0.25">
      <c r="A54" s="1301"/>
      <c r="B54" s="1300"/>
      <c r="C54" s="1300"/>
      <c r="D54" s="1300"/>
      <c r="E54" s="1300"/>
      <c r="F54" s="1300"/>
      <c r="G54" s="1300"/>
      <c r="H54" s="1300"/>
      <c r="I54" s="1300"/>
      <c r="J54" s="1300"/>
      <c r="K54" s="1300"/>
      <c r="L54" s="1300"/>
      <c r="M54" s="1300"/>
      <c r="N54" s="1300"/>
      <c r="O54" s="1299"/>
    </row>
    <row r="55" spans="1:15" x14ac:dyDescent="0.25">
      <c r="A55" s="1263" t="s">
        <v>57</v>
      </c>
      <c r="B55" s="1294" t="s">
        <v>523</v>
      </c>
      <c r="C55" s="1255"/>
      <c r="D55" s="1255"/>
      <c r="E55" s="1255"/>
      <c r="F55" s="1255"/>
      <c r="G55" s="1255"/>
      <c r="H55" s="1255"/>
      <c r="I55" s="1255"/>
      <c r="J55" s="1327" t="s">
        <v>51</v>
      </c>
      <c r="K55" s="1298">
        <v>81</v>
      </c>
      <c r="L55" s="1255"/>
      <c r="M55" s="1263" t="s">
        <v>113</v>
      </c>
      <c r="N55" s="1273">
        <f>N65+I72</f>
        <v>5.8083013120000002</v>
      </c>
      <c r="O55" s="1254"/>
    </row>
    <row r="56" spans="1:15" x14ac:dyDescent="0.25">
      <c r="A56" s="1263" t="s">
        <v>125</v>
      </c>
      <c r="B56" s="1297" t="s">
        <v>2210</v>
      </c>
      <c r="C56" s="1255"/>
      <c r="D56" s="1263" t="s">
        <v>122</v>
      </c>
      <c r="E56" s="1326" t="s">
        <v>522</v>
      </c>
      <c r="F56" s="1255"/>
      <c r="G56" s="1255"/>
      <c r="H56" s="1255"/>
      <c r="I56" s="1255"/>
      <c r="J56" s="1255"/>
      <c r="K56" s="1255"/>
      <c r="L56" s="1255"/>
      <c r="M56" s="1263" t="s">
        <v>124</v>
      </c>
      <c r="N56" s="1298">
        <v>2</v>
      </c>
      <c r="O56" s="1254"/>
    </row>
    <row r="57" spans="1:15" x14ac:dyDescent="0.25">
      <c r="A57" s="1263" t="s">
        <v>123</v>
      </c>
      <c r="B57" s="1326" t="str">
        <f>HYPERLINK("#MS_A0001",'MS Assemblies'!B4)</f>
        <v>Firewall</v>
      </c>
      <c r="C57" s="1255"/>
      <c r="D57" s="1263" t="s">
        <v>119</v>
      </c>
      <c r="E57" s="1255"/>
      <c r="F57" s="1255"/>
      <c r="G57" s="1255"/>
      <c r="H57" s="1255"/>
      <c r="I57" s="1255"/>
      <c r="J57" s="1325" t="s">
        <v>122</v>
      </c>
      <c r="K57" s="1255"/>
      <c r="L57" s="1255"/>
      <c r="M57" s="1255"/>
      <c r="N57" s="1255"/>
      <c r="O57" s="1254"/>
    </row>
    <row r="58" spans="1:15" x14ac:dyDescent="0.25">
      <c r="A58" s="1263" t="s">
        <v>114</v>
      </c>
      <c r="B58" s="1296" t="s">
        <v>2334</v>
      </c>
      <c r="C58" s="1255"/>
      <c r="D58" s="1263" t="s">
        <v>116</v>
      </c>
      <c r="E58" s="1255"/>
      <c r="F58" s="1255"/>
      <c r="G58" s="1255"/>
      <c r="H58" s="1255"/>
      <c r="I58" s="1255"/>
      <c r="J58" s="1325" t="s">
        <v>119</v>
      </c>
      <c r="K58" s="1255"/>
      <c r="L58" s="1255"/>
      <c r="M58" s="1263" t="s">
        <v>118</v>
      </c>
      <c r="N58" s="1273">
        <f>N56*N55</f>
        <v>11.616602624</v>
      </c>
      <c r="O58" s="1254"/>
    </row>
    <row r="59" spans="1:15" x14ac:dyDescent="0.25">
      <c r="A59" s="1263" t="s">
        <v>121</v>
      </c>
      <c r="B59" s="1296" t="s">
        <v>2333</v>
      </c>
      <c r="C59" s="1255"/>
      <c r="D59" s="1255"/>
      <c r="E59" s="1255"/>
      <c r="F59" s="1255"/>
      <c r="G59" s="1255"/>
      <c r="H59" s="1255"/>
      <c r="I59" s="1255"/>
      <c r="J59" s="1325" t="s">
        <v>116</v>
      </c>
      <c r="K59" s="1255"/>
      <c r="L59" s="1255"/>
      <c r="M59" s="1255"/>
      <c r="N59" s="1255"/>
      <c r="O59" s="1254"/>
    </row>
    <row r="60" spans="1:15" x14ac:dyDescent="0.25">
      <c r="A60" s="1263" t="s">
        <v>117</v>
      </c>
      <c r="B60" s="1294" t="s">
        <v>23</v>
      </c>
      <c r="C60" s="1255"/>
      <c r="D60" s="1255"/>
      <c r="E60" s="1255"/>
      <c r="F60" s="1255"/>
      <c r="G60" s="1255"/>
      <c r="H60" s="1255"/>
      <c r="I60" s="1255"/>
      <c r="J60" s="1255"/>
      <c r="K60" s="1255"/>
      <c r="L60" s="1255"/>
      <c r="M60" s="1255"/>
      <c r="N60" s="1255"/>
      <c r="O60" s="1254"/>
    </row>
    <row r="61" spans="1:15" x14ac:dyDescent="0.25">
      <c r="A61" s="1263" t="s">
        <v>115</v>
      </c>
      <c r="B61" s="1294" t="s">
        <v>2332</v>
      </c>
      <c r="C61" s="1255"/>
      <c r="D61" s="1255"/>
      <c r="E61" s="1255"/>
      <c r="F61" s="1255"/>
      <c r="G61" s="1255"/>
      <c r="H61" s="1255"/>
      <c r="I61" s="1255"/>
      <c r="J61" s="1255"/>
      <c r="K61" s="1255"/>
      <c r="L61" s="1255"/>
      <c r="M61" s="1255"/>
      <c r="N61" s="1255"/>
      <c r="O61" s="1254"/>
    </row>
    <row r="62" spans="1:15" x14ac:dyDescent="0.25">
      <c r="A62" s="1324"/>
      <c r="B62" s="1323"/>
      <c r="C62" s="1323"/>
      <c r="D62" s="1323"/>
      <c r="E62" s="1323"/>
      <c r="F62" s="1255"/>
      <c r="G62" s="1255"/>
      <c r="H62" s="1255"/>
      <c r="I62" s="1255"/>
      <c r="J62" s="1255"/>
      <c r="K62" s="1255"/>
      <c r="L62" s="1255"/>
      <c r="M62" s="1255"/>
      <c r="N62" s="1255"/>
      <c r="O62" s="1254"/>
    </row>
    <row r="63" spans="1:15" x14ac:dyDescent="0.25">
      <c r="A63" s="1322" t="s">
        <v>67</v>
      </c>
      <c r="B63" s="1321" t="s">
        <v>112</v>
      </c>
      <c r="C63" s="1321" t="s">
        <v>66</v>
      </c>
      <c r="D63" s="1321" t="s">
        <v>65</v>
      </c>
      <c r="E63" s="1321" t="s">
        <v>81</v>
      </c>
      <c r="F63" s="1263" t="s">
        <v>80</v>
      </c>
      <c r="G63" s="1263" t="s">
        <v>79</v>
      </c>
      <c r="H63" s="1263" t="s">
        <v>78</v>
      </c>
      <c r="I63" s="1263" t="s">
        <v>111</v>
      </c>
      <c r="J63" s="1263" t="s">
        <v>110</v>
      </c>
      <c r="K63" s="1263" t="s">
        <v>109</v>
      </c>
      <c r="L63" s="1263" t="s">
        <v>108</v>
      </c>
      <c r="M63" s="1263" t="s">
        <v>40</v>
      </c>
      <c r="N63" s="1263" t="s">
        <v>58</v>
      </c>
      <c r="O63" s="1254"/>
    </row>
    <row r="64" spans="1:15" ht="30" x14ac:dyDescent="0.25">
      <c r="A64" s="1286">
        <v>10</v>
      </c>
      <c r="B64" s="1320" t="s">
        <v>683</v>
      </c>
      <c r="C64" s="1286" t="s">
        <v>682</v>
      </c>
      <c r="D64" s="1261">
        <v>4.2</v>
      </c>
      <c r="E64" s="1286">
        <v>144</v>
      </c>
      <c r="F64" s="1286" t="s">
        <v>68</v>
      </c>
      <c r="G64" s="1286">
        <v>1</v>
      </c>
      <c r="H64" s="1320" t="s">
        <v>68</v>
      </c>
      <c r="I64" s="1319" t="s">
        <v>2331</v>
      </c>
      <c r="J64" s="1318">
        <f>(E64*10^-3)*(G64*10^-3)</f>
        <v>1.4400000000000003E-4</v>
      </c>
      <c r="K64" s="1317">
        <v>0.66400000000000003</v>
      </c>
      <c r="L64" s="1316">
        <v>2710</v>
      </c>
      <c r="M64" s="1276">
        <v>1</v>
      </c>
      <c r="N64" s="1261">
        <f>IF(J64="",D64*M64,D64*J64*K64*L64*M64)</f>
        <v>1.0883013120000005</v>
      </c>
      <c r="O64" s="1281"/>
    </row>
    <row r="65" spans="1:15" x14ac:dyDescent="0.25">
      <c r="A65" s="1259"/>
      <c r="B65" s="1256"/>
      <c r="C65" s="1256" t="s">
        <v>2197</v>
      </c>
      <c r="D65" s="1256"/>
      <c r="E65" s="1256"/>
      <c r="F65" s="1256"/>
      <c r="G65" s="1256"/>
      <c r="H65" s="1256"/>
      <c r="I65" s="1256"/>
      <c r="J65" s="1256"/>
      <c r="K65" s="1256"/>
      <c r="L65" s="1256"/>
      <c r="M65" s="1258" t="s">
        <v>58</v>
      </c>
      <c r="N65" s="1305">
        <f>SUM(N64:N64)</f>
        <v>1.0883013120000005</v>
      </c>
      <c r="O65" s="1254"/>
    </row>
    <row r="66" spans="1:15" x14ac:dyDescent="0.25">
      <c r="A66" s="1264"/>
      <c r="B66" s="1255"/>
      <c r="C66" s="1255"/>
      <c r="D66" s="1255"/>
      <c r="E66" s="1255"/>
      <c r="F66" s="1255"/>
      <c r="G66" s="1255"/>
      <c r="H66" s="1255"/>
      <c r="I66" s="1255"/>
      <c r="J66" s="1255"/>
      <c r="K66" s="1255"/>
      <c r="L66" s="1255"/>
      <c r="M66" s="1255"/>
      <c r="N66" s="1255"/>
      <c r="O66" s="1254"/>
    </row>
    <row r="67" spans="1:15" x14ac:dyDescent="0.25">
      <c r="A67" s="1263" t="s">
        <v>67</v>
      </c>
      <c r="B67" s="1263" t="s">
        <v>106</v>
      </c>
      <c r="C67" s="1263" t="s">
        <v>66</v>
      </c>
      <c r="D67" s="1263" t="s">
        <v>65</v>
      </c>
      <c r="E67" s="1263" t="s">
        <v>64</v>
      </c>
      <c r="F67" s="1263" t="s">
        <v>40</v>
      </c>
      <c r="G67" s="1263" t="s">
        <v>105</v>
      </c>
      <c r="H67" s="1263" t="s">
        <v>104</v>
      </c>
      <c r="I67" s="1263" t="s">
        <v>58</v>
      </c>
      <c r="J67" s="1315"/>
      <c r="K67" s="1315"/>
      <c r="L67" s="1315"/>
      <c r="M67" s="1315"/>
      <c r="N67" s="1315"/>
      <c r="O67" s="1269"/>
    </row>
    <row r="68" spans="1:15" x14ac:dyDescent="0.25">
      <c r="A68" s="1314">
        <v>10</v>
      </c>
      <c r="B68" s="1272" t="s">
        <v>516</v>
      </c>
      <c r="C68" s="1314" t="s">
        <v>802</v>
      </c>
      <c r="D68" s="1313">
        <v>1.3</v>
      </c>
      <c r="E68" s="1272" t="s">
        <v>64</v>
      </c>
      <c r="F68" s="1314">
        <v>1</v>
      </c>
      <c r="G68" s="1314"/>
      <c r="H68" s="1314"/>
      <c r="I68" s="1313">
        <f>IF(H68="",D68*F68,D68*F68*H68)</f>
        <v>1.3</v>
      </c>
      <c r="J68" s="1255"/>
      <c r="K68" s="1255"/>
      <c r="L68" s="1255"/>
      <c r="M68" s="1255"/>
      <c r="N68" s="1255"/>
      <c r="O68" s="1254"/>
    </row>
    <row r="69" spans="1:15" x14ac:dyDescent="0.25">
      <c r="A69" s="1262">
        <v>20</v>
      </c>
      <c r="B69" s="1272" t="s">
        <v>541</v>
      </c>
      <c r="C69" s="1262" t="s">
        <v>834</v>
      </c>
      <c r="D69" s="1261">
        <v>0.01</v>
      </c>
      <c r="E69" s="1262" t="s">
        <v>101</v>
      </c>
      <c r="F69" s="1292">
        <v>142</v>
      </c>
      <c r="G69" s="1272" t="s">
        <v>870</v>
      </c>
      <c r="H69" s="1270">
        <v>1</v>
      </c>
      <c r="I69" s="1261">
        <f>IF(H69="",D69*F69,D69*F69*H69)</f>
        <v>1.42</v>
      </c>
      <c r="J69" s="1260"/>
      <c r="K69" s="1260"/>
      <c r="L69" s="1260"/>
      <c r="M69" s="1260"/>
      <c r="N69" s="1260"/>
      <c r="O69" s="1271"/>
    </row>
    <row r="70" spans="1:15" x14ac:dyDescent="0.25">
      <c r="A70" s="1270">
        <v>30</v>
      </c>
      <c r="B70" s="1272" t="s">
        <v>539</v>
      </c>
      <c r="C70" s="1270" t="s">
        <v>2306</v>
      </c>
      <c r="D70" s="1261">
        <v>0.25</v>
      </c>
      <c r="E70" s="1262" t="s">
        <v>537</v>
      </c>
      <c r="F70" s="1270">
        <v>1</v>
      </c>
      <c r="G70" s="1270"/>
      <c r="H70" s="1270"/>
      <c r="I70" s="1261">
        <f>IF(H70="",D70*F70,D70*F70*H70)</f>
        <v>0.25</v>
      </c>
      <c r="J70" s="1255"/>
      <c r="K70" s="1255"/>
      <c r="L70" s="1255"/>
      <c r="M70" s="1255"/>
      <c r="N70" s="1255"/>
      <c r="O70" s="1254"/>
    </row>
    <row r="71" spans="1:15" x14ac:dyDescent="0.25">
      <c r="A71" s="1270">
        <v>40</v>
      </c>
      <c r="B71" s="1272" t="s">
        <v>296</v>
      </c>
      <c r="C71" s="1270" t="s">
        <v>2267</v>
      </c>
      <c r="D71" s="1261">
        <v>0.35</v>
      </c>
      <c r="E71" s="1262" t="s">
        <v>294</v>
      </c>
      <c r="F71" s="1270">
        <v>5</v>
      </c>
      <c r="G71" s="1270"/>
      <c r="H71" s="1270"/>
      <c r="I71" s="1261">
        <f>IF(H71="",D71*F71,D71*F71*H71)</f>
        <v>1.75</v>
      </c>
      <c r="J71" s="1255"/>
      <c r="K71" s="1255"/>
      <c r="L71" s="1255"/>
      <c r="M71" s="1255"/>
      <c r="N71" s="1255"/>
      <c r="O71" s="1254"/>
    </row>
    <row r="72" spans="1:15" x14ac:dyDescent="0.25">
      <c r="A72" s="1259"/>
      <c r="B72" s="1256"/>
      <c r="C72" s="1256"/>
      <c r="D72" s="1256"/>
      <c r="E72" s="1256"/>
      <c r="F72" s="1256"/>
      <c r="G72" s="1256"/>
      <c r="H72" s="1306" t="s">
        <v>58</v>
      </c>
      <c r="I72" s="1305">
        <f>SUM(I68:I71)</f>
        <v>4.72</v>
      </c>
      <c r="J72" s="1256"/>
      <c r="K72" s="1256"/>
      <c r="L72" s="1256"/>
      <c r="M72" s="1256"/>
      <c r="N72" s="1256"/>
      <c r="O72" s="1254"/>
    </row>
    <row r="73" spans="1:15" x14ac:dyDescent="0.25">
      <c r="A73" s="1259"/>
      <c r="B73" s="1256"/>
      <c r="C73" s="1256"/>
      <c r="D73" s="1256"/>
      <c r="E73" s="1256"/>
      <c r="F73" s="1256"/>
      <c r="G73" s="1256"/>
      <c r="H73" s="1256"/>
      <c r="I73" s="1256"/>
      <c r="J73" s="1256"/>
      <c r="K73" s="1256"/>
      <c r="L73" s="1256"/>
      <c r="M73" s="1256"/>
      <c r="N73" s="1256"/>
      <c r="O73" s="1254"/>
    </row>
    <row r="74" spans="1:15" x14ac:dyDescent="0.25">
      <c r="A74" s="1259"/>
      <c r="B74" s="1256"/>
      <c r="C74" s="1256"/>
      <c r="D74" s="1256"/>
      <c r="E74" s="1256"/>
      <c r="F74" s="1256"/>
      <c r="G74" s="1256"/>
      <c r="H74" s="1256"/>
      <c r="I74" s="1256"/>
      <c r="J74" s="1256"/>
      <c r="K74" s="1256"/>
      <c r="L74" s="1256"/>
      <c r="M74" s="1256"/>
      <c r="N74" s="1256"/>
      <c r="O74" s="1254"/>
    </row>
    <row r="75" spans="1:15" x14ac:dyDescent="0.25">
      <c r="A75" s="1259"/>
      <c r="B75" s="1256"/>
      <c r="C75" s="1256"/>
      <c r="D75" s="1256"/>
      <c r="E75" s="1256"/>
      <c r="F75" s="1256"/>
      <c r="G75" s="1256"/>
      <c r="H75" s="1256"/>
      <c r="I75" s="1256"/>
      <c r="J75" s="1256"/>
      <c r="K75" s="1256"/>
      <c r="L75" s="1256"/>
      <c r="M75" s="1256"/>
      <c r="N75" s="1256"/>
      <c r="O75" s="1254"/>
    </row>
    <row r="76" spans="1:15" x14ac:dyDescent="0.25">
      <c r="A76" s="1259"/>
      <c r="B76" s="1256"/>
      <c r="C76" s="1256"/>
      <c r="D76" s="1256"/>
      <c r="E76" s="1256"/>
      <c r="F76" s="1256"/>
      <c r="G76" s="1256"/>
      <c r="H76" s="1256"/>
      <c r="I76" s="1256"/>
      <c r="J76" s="1256"/>
      <c r="K76" s="1256"/>
      <c r="L76" s="1256"/>
      <c r="M76" s="1256"/>
      <c r="N76" s="1256"/>
      <c r="O76" s="1254"/>
    </row>
    <row r="77" spans="1:15" ht="15.75" thickBot="1" x14ac:dyDescent="0.3">
      <c r="A77" s="1253"/>
      <c r="B77" s="1252"/>
      <c r="C77" s="1252"/>
      <c r="D77" s="1252"/>
      <c r="E77" s="1252"/>
      <c r="F77" s="1252"/>
      <c r="G77" s="1252"/>
      <c r="H77" s="1252"/>
      <c r="I77" s="1252"/>
      <c r="J77" s="1252"/>
      <c r="K77" s="1252"/>
      <c r="L77" s="1252"/>
      <c r="M77" s="1252"/>
      <c r="N77" s="1252"/>
      <c r="O77" s="1251"/>
    </row>
    <row r="78" spans="1:15" ht="15.75" thickBot="1" x14ac:dyDescent="0.3">
      <c r="A78" s="1302"/>
      <c r="B78" s="1302"/>
      <c r="C78" s="1302"/>
      <c r="D78" s="1302"/>
      <c r="E78" s="1302"/>
      <c r="F78" s="1302"/>
      <c r="G78" s="1302"/>
      <c r="H78" s="1302"/>
      <c r="I78" s="1302"/>
      <c r="J78" s="1302"/>
      <c r="K78" s="1302"/>
      <c r="L78" s="1302"/>
      <c r="M78" s="1302"/>
      <c r="N78" s="1302"/>
      <c r="O78" s="1302"/>
    </row>
    <row r="79" spans="1:15" x14ac:dyDescent="0.25">
      <c r="A79" s="1301"/>
      <c r="B79" s="1300"/>
      <c r="C79" s="1300"/>
      <c r="D79" s="1300"/>
      <c r="E79" s="1300"/>
      <c r="F79" s="1300"/>
      <c r="G79" s="1300"/>
      <c r="H79" s="1300"/>
      <c r="I79" s="1300"/>
      <c r="J79" s="1300"/>
      <c r="K79" s="1300"/>
      <c r="L79" s="1300"/>
      <c r="M79" s="1300"/>
      <c r="N79" s="1300"/>
      <c r="O79" s="1299"/>
    </row>
    <row r="80" spans="1:15" x14ac:dyDescent="0.25">
      <c r="A80" s="1263" t="s">
        <v>57</v>
      </c>
      <c r="B80" s="1294" t="s">
        <v>523</v>
      </c>
      <c r="C80" s="1255"/>
      <c r="D80" s="1255"/>
      <c r="E80" s="1255"/>
      <c r="F80" s="1255"/>
      <c r="G80" s="1255"/>
      <c r="H80" s="1255"/>
      <c r="I80" s="1255"/>
      <c r="J80" s="1327" t="s">
        <v>51</v>
      </c>
      <c r="K80" s="1298">
        <v>81</v>
      </c>
      <c r="L80" s="1255"/>
      <c r="M80" s="1263" t="s">
        <v>113</v>
      </c>
      <c r="N80" s="1273">
        <f>N90+I96</f>
        <v>3.5446966999999998</v>
      </c>
      <c r="O80" s="1254"/>
    </row>
    <row r="81" spans="1:15" x14ac:dyDescent="0.25">
      <c r="A81" s="1263" t="s">
        <v>125</v>
      </c>
      <c r="B81" s="1297" t="s">
        <v>2210</v>
      </c>
      <c r="C81" s="1255"/>
      <c r="D81" s="1263" t="s">
        <v>122</v>
      </c>
      <c r="E81" s="1326" t="s">
        <v>522</v>
      </c>
      <c r="F81" s="1255"/>
      <c r="G81" s="1255"/>
      <c r="H81" s="1255"/>
      <c r="I81" s="1255"/>
      <c r="J81" s="1255"/>
      <c r="K81" s="1255"/>
      <c r="L81" s="1255"/>
      <c r="M81" s="1263" t="s">
        <v>124</v>
      </c>
      <c r="N81" s="1298">
        <v>1</v>
      </c>
      <c r="O81" s="1254"/>
    </row>
    <row r="82" spans="1:15" x14ac:dyDescent="0.25">
      <c r="A82" s="1263" t="s">
        <v>123</v>
      </c>
      <c r="B82" s="1326" t="str">
        <f>HYPERLINK("#MS_A0001",'MS Assemblies'!B4)</f>
        <v>Firewall</v>
      </c>
      <c r="C82" s="1255"/>
      <c r="D82" s="1263" t="s">
        <v>119</v>
      </c>
      <c r="E82" s="1255"/>
      <c r="F82" s="1255"/>
      <c r="G82" s="1255"/>
      <c r="H82" s="1255"/>
      <c r="I82" s="1255"/>
      <c r="J82" s="1325" t="s">
        <v>122</v>
      </c>
      <c r="K82" s="1255"/>
      <c r="L82" s="1255"/>
      <c r="M82" s="1255"/>
      <c r="N82" s="1255"/>
      <c r="O82" s="1254"/>
    </row>
    <row r="83" spans="1:15" x14ac:dyDescent="0.25">
      <c r="A83" s="1263" t="s">
        <v>114</v>
      </c>
      <c r="B83" s="1296" t="s">
        <v>2330</v>
      </c>
      <c r="C83" s="1255"/>
      <c r="D83" s="1263" t="s">
        <v>116</v>
      </c>
      <c r="E83" s="1255"/>
      <c r="F83" s="1255"/>
      <c r="G83" s="1255"/>
      <c r="H83" s="1255"/>
      <c r="I83" s="1255"/>
      <c r="J83" s="1325" t="s">
        <v>119</v>
      </c>
      <c r="K83" s="1255"/>
      <c r="L83" s="1255"/>
      <c r="M83" s="1263" t="s">
        <v>118</v>
      </c>
      <c r="N83" s="1273">
        <f>N81*N80</f>
        <v>3.5446966999999998</v>
      </c>
      <c r="O83" s="1254"/>
    </row>
    <row r="84" spans="1:15" x14ac:dyDescent="0.25">
      <c r="A84" s="1263" t="s">
        <v>121</v>
      </c>
      <c r="B84" s="1296" t="s">
        <v>2329</v>
      </c>
      <c r="C84" s="1255"/>
      <c r="D84" s="1255"/>
      <c r="E84" s="1255"/>
      <c r="F84" s="1255"/>
      <c r="G84" s="1255"/>
      <c r="H84" s="1255"/>
      <c r="I84" s="1255"/>
      <c r="J84" s="1325" t="s">
        <v>116</v>
      </c>
      <c r="K84" s="1255"/>
      <c r="L84" s="1255"/>
      <c r="M84" s="1255"/>
      <c r="N84" s="1255"/>
      <c r="O84" s="1254"/>
    </row>
    <row r="85" spans="1:15" x14ac:dyDescent="0.25">
      <c r="A85" s="1263" t="s">
        <v>117</v>
      </c>
      <c r="B85" s="1294" t="s">
        <v>23</v>
      </c>
      <c r="C85" s="1255"/>
      <c r="D85" s="1255"/>
      <c r="E85" s="1255"/>
      <c r="F85" s="1255"/>
      <c r="G85" s="1255"/>
      <c r="H85" s="1255"/>
      <c r="I85" s="1255"/>
      <c r="J85" s="1255"/>
      <c r="K85" s="1255"/>
      <c r="L85" s="1255"/>
      <c r="M85" s="1255"/>
      <c r="N85" s="1255"/>
      <c r="O85" s="1254"/>
    </row>
    <row r="86" spans="1:15" x14ac:dyDescent="0.25">
      <c r="A86" s="1263" t="s">
        <v>115</v>
      </c>
      <c r="B86" s="1294" t="s">
        <v>2328</v>
      </c>
      <c r="C86" s="1255"/>
      <c r="D86" s="1255"/>
      <c r="E86" s="1255"/>
      <c r="F86" s="1255"/>
      <c r="G86" s="1255"/>
      <c r="H86" s="1255"/>
      <c r="I86" s="1255"/>
      <c r="J86" s="1255"/>
      <c r="K86" s="1255"/>
      <c r="L86" s="1255"/>
      <c r="M86" s="1255"/>
      <c r="N86" s="1255"/>
      <c r="O86" s="1254"/>
    </row>
    <row r="87" spans="1:15" x14ac:dyDescent="0.25">
      <c r="A87" s="1324"/>
      <c r="B87" s="1323"/>
      <c r="C87" s="1323"/>
      <c r="D87" s="1323"/>
      <c r="E87" s="1323"/>
      <c r="F87" s="1255"/>
      <c r="G87" s="1255"/>
      <c r="H87" s="1255"/>
      <c r="I87" s="1255"/>
      <c r="J87" s="1255"/>
      <c r="K87" s="1255"/>
      <c r="L87" s="1255"/>
      <c r="M87" s="1255"/>
      <c r="N87" s="1255"/>
      <c r="O87" s="1254"/>
    </row>
    <row r="88" spans="1:15" x14ac:dyDescent="0.25">
      <c r="A88" s="1322" t="s">
        <v>67</v>
      </c>
      <c r="B88" s="1321" t="s">
        <v>112</v>
      </c>
      <c r="C88" s="1321" t="s">
        <v>66</v>
      </c>
      <c r="D88" s="1321" t="s">
        <v>65</v>
      </c>
      <c r="E88" s="1321" t="s">
        <v>81</v>
      </c>
      <c r="F88" s="1263" t="s">
        <v>80</v>
      </c>
      <c r="G88" s="1263" t="s">
        <v>79</v>
      </c>
      <c r="H88" s="1263" t="s">
        <v>78</v>
      </c>
      <c r="I88" s="1263" t="s">
        <v>111</v>
      </c>
      <c r="J88" s="1263" t="s">
        <v>110</v>
      </c>
      <c r="K88" s="1263" t="s">
        <v>109</v>
      </c>
      <c r="L88" s="1263" t="s">
        <v>108</v>
      </c>
      <c r="M88" s="1263" t="s">
        <v>40</v>
      </c>
      <c r="N88" s="1263" t="s">
        <v>58</v>
      </c>
      <c r="O88" s="1254"/>
    </row>
    <row r="89" spans="1:15" ht="30" x14ac:dyDescent="0.25">
      <c r="A89" s="1286">
        <v>10</v>
      </c>
      <c r="B89" s="1320" t="s">
        <v>683</v>
      </c>
      <c r="C89" s="1286" t="s">
        <v>682</v>
      </c>
      <c r="D89" s="1261">
        <v>4.2</v>
      </c>
      <c r="E89" s="1286">
        <v>115</v>
      </c>
      <c r="F89" s="1286" t="s">
        <v>68</v>
      </c>
      <c r="G89" s="1286">
        <v>1</v>
      </c>
      <c r="H89" s="1320" t="s">
        <v>68</v>
      </c>
      <c r="I89" s="1319" t="s">
        <v>2327</v>
      </c>
      <c r="J89" s="1318">
        <f>(E89*10^-3)*(G89*10^-3)</f>
        <v>1.15E-4</v>
      </c>
      <c r="K89" s="1317">
        <v>0.19</v>
      </c>
      <c r="L89" s="1316">
        <v>2710</v>
      </c>
      <c r="M89" s="1276">
        <v>1</v>
      </c>
      <c r="N89" s="1261">
        <f>IF(J89="",D89*M89,D89*J89*K89*L89*M89)</f>
        <v>0.24869670000000002</v>
      </c>
      <c r="O89" s="1281"/>
    </row>
    <row r="90" spans="1:15" x14ac:dyDescent="0.25">
      <c r="A90" s="1259"/>
      <c r="B90" s="1256"/>
      <c r="C90" s="1256" t="s">
        <v>2197</v>
      </c>
      <c r="D90" s="1256"/>
      <c r="E90" s="1256"/>
      <c r="F90" s="1256"/>
      <c r="G90" s="1256"/>
      <c r="H90" s="1256"/>
      <c r="I90" s="1256"/>
      <c r="J90" s="1256"/>
      <c r="K90" s="1256"/>
      <c r="L90" s="1256"/>
      <c r="M90" s="1258" t="s">
        <v>58</v>
      </c>
      <c r="N90" s="1305">
        <f>SUM(N89:N89)</f>
        <v>0.24869670000000002</v>
      </c>
      <c r="O90" s="1254"/>
    </row>
    <row r="91" spans="1:15" x14ac:dyDescent="0.25">
      <c r="A91" s="1264"/>
      <c r="B91" s="1255"/>
      <c r="C91" s="1255"/>
      <c r="D91" s="1255"/>
      <c r="E91" s="1255"/>
      <c r="F91" s="1255"/>
      <c r="G91" s="1255"/>
      <c r="H91" s="1255"/>
      <c r="I91" s="1255"/>
      <c r="J91" s="1255"/>
      <c r="K91" s="1255"/>
      <c r="L91" s="1255"/>
      <c r="M91" s="1255"/>
      <c r="N91" s="1255"/>
      <c r="O91" s="1254"/>
    </row>
    <row r="92" spans="1:15" x14ac:dyDescent="0.25">
      <c r="A92" s="1263" t="s">
        <v>67</v>
      </c>
      <c r="B92" s="1263" t="s">
        <v>106</v>
      </c>
      <c r="C92" s="1263" t="s">
        <v>66</v>
      </c>
      <c r="D92" s="1263" t="s">
        <v>65</v>
      </c>
      <c r="E92" s="1263" t="s">
        <v>64</v>
      </c>
      <c r="F92" s="1263" t="s">
        <v>40</v>
      </c>
      <c r="G92" s="1263" t="s">
        <v>105</v>
      </c>
      <c r="H92" s="1263" t="s">
        <v>104</v>
      </c>
      <c r="I92" s="1263" t="s">
        <v>58</v>
      </c>
      <c r="J92" s="1315"/>
      <c r="K92" s="1315"/>
      <c r="L92" s="1315"/>
      <c r="M92" s="1315"/>
      <c r="N92" s="1315"/>
      <c r="O92" s="1269"/>
    </row>
    <row r="93" spans="1:15" x14ac:dyDescent="0.25">
      <c r="A93" s="1314">
        <v>10</v>
      </c>
      <c r="B93" s="1272" t="s">
        <v>516</v>
      </c>
      <c r="C93" s="1314" t="s">
        <v>802</v>
      </c>
      <c r="D93" s="1313">
        <v>1.3</v>
      </c>
      <c r="E93" s="1272" t="s">
        <v>64</v>
      </c>
      <c r="F93" s="1314">
        <v>1</v>
      </c>
      <c r="G93" s="1314"/>
      <c r="H93" s="1314"/>
      <c r="I93" s="1313">
        <f>IF(H93="",D93*F93,D93*F93*H93)</f>
        <v>1.3</v>
      </c>
      <c r="J93" s="1255"/>
      <c r="K93" s="1255"/>
      <c r="L93" s="1255"/>
      <c r="M93" s="1255"/>
      <c r="N93" s="1255"/>
      <c r="O93" s="1254"/>
    </row>
    <row r="94" spans="1:15" x14ac:dyDescent="0.25">
      <c r="A94" s="1262">
        <v>20</v>
      </c>
      <c r="B94" s="1272" t="s">
        <v>541</v>
      </c>
      <c r="C94" s="1262" t="s">
        <v>834</v>
      </c>
      <c r="D94" s="1261">
        <v>0.01</v>
      </c>
      <c r="E94" s="1262" t="s">
        <v>101</v>
      </c>
      <c r="F94" s="1312">
        <v>59.6</v>
      </c>
      <c r="G94" s="1272" t="s">
        <v>870</v>
      </c>
      <c r="H94" s="1270">
        <v>1</v>
      </c>
      <c r="I94" s="1261">
        <f>IF(H94="",D94*F94,D94*F94*H94)</f>
        <v>0.59599999999999997</v>
      </c>
      <c r="J94" s="1260"/>
      <c r="K94" s="1260"/>
      <c r="L94" s="1260"/>
      <c r="M94" s="1260"/>
      <c r="N94" s="1260"/>
      <c r="O94" s="1271"/>
    </row>
    <row r="95" spans="1:15" x14ac:dyDescent="0.25">
      <c r="A95" s="1270">
        <v>40</v>
      </c>
      <c r="B95" s="1272" t="s">
        <v>296</v>
      </c>
      <c r="C95" s="1270" t="s">
        <v>2267</v>
      </c>
      <c r="D95" s="1261">
        <v>0.35</v>
      </c>
      <c r="E95" s="1262" t="s">
        <v>294</v>
      </c>
      <c r="F95" s="1270">
        <v>4</v>
      </c>
      <c r="G95" s="1270"/>
      <c r="H95" s="1270"/>
      <c r="I95" s="1261">
        <f>IF(H95="",D95*F95,D95*F95*H95)</f>
        <v>1.4</v>
      </c>
      <c r="J95" s="1255"/>
      <c r="K95" s="1255"/>
      <c r="L95" s="1255"/>
      <c r="M95" s="1255"/>
      <c r="N95" s="1255"/>
      <c r="O95" s="1254"/>
    </row>
    <row r="96" spans="1:15" x14ac:dyDescent="0.25">
      <c r="A96" s="1259"/>
      <c r="B96" s="1256"/>
      <c r="C96" s="1256"/>
      <c r="D96" s="1256"/>
      <c r="E96" s="1256"/>
      <c r="F96" s="1256"/>
      <c r="G96" s="1256"/>
      <c r="H96" s="1306" t="s">
        <v>58</v>
      </c>
      <c r="I96" s="1305">
        <f>SUM(I93:I95)</f>
        <v>3.2959999999999998</v>
      </c>
      <c r="J96" s="1256"/>
      <c r="K96" s="1256"/>
      <c r="L96" s="1256"/>
      <c r="M96" s="1256"/>
      <c r="N96" s="1256"/>
      <c r="O96" s="1254"/>
    </row>
    <row r="97" spans="1:15" x14ac:dyDescent="0.25">
      <c r="A97" s="1259"/>
      <c r="B97" s="1256"/>
      <c r="C97" s="1256"/>
      <c r="D97" s="1256"/>
      <c r="E97" s="1256"/>
      <c r="F97" s="1256"/>
      <c r="G97" s="1256"/>
      <c r="H97" s="1256"/>
      <c r="I97" s="1256"/>
      <c r="J97" s="1256"/>
      <c r="K97" s="1256"/>
      <c r="L97" s="1256"/>
      <c r="M97" s="1256"/>
      <c r="N97" s="1256"/>
      <c r="O97" s="1254"/>
    </row>
    <row r="98" spans="1:15" x14ac:dyDescent="0.25">
      <c r="A98" s="1259"/>
      <c r="B98" s="1256"/>
      <c r="C98" s="1256"/>
      <c r="D98" s="1256"/>
      <c r="E98" s="1256"/>
      <c r="F98" s="1256"/>
      <c r="G98" s="1256"/>
      <c r="H98" s="1256"/>
      <c r="I98" s="1256"/>
      <c r="J98" s="1256"/>
      <c r="K98" s="1256"/>
      <c r="L98" s="1256"/>
      <c r="M98" s="1256"/>
      <c r="N98" s="1256"/>
      <c r="O98" s="1254"/>
    </row>
    <row r="99" spans="1:15" x14ac:dyDescent="0.25">
      <c r="A99" s="1259"/>
      <c r="B99" s="1256"/>
      <c r="C99" s="1256"/>
      <c r="D99" s="1256"/>
      <c r="E99" s="1256"/>
      <c r="F99" s="1256"/>
      <c r="G99" s="1256"/>
      <c r="H99" s="1256"/>
      <c r="I99" s="1256"/>
      <c r="J99" s="1256"/>
      <c r="K99" s="1256"/>
      <c r="L99" s="1256"/>
      <c r="M99" s="1256"/>
      <c r="N99" s="1256"/>
      <c r="O99" s="1254"/>
    </row>
    <row r="100" spans="1:15" x14ac:dyDescent="0.25">
      <c r="A100" s="1259"/>
      <c r="B100" s="1256"/>
      <c r="C100" s="1256"/>
      <c r="D100" s="1256"/>
      <c r="E100" s="1256"/>
      <c r="F100" s="1256"/>
      <c r="G100" s="1256"/>
      <c r="H100" s="1256"/>
      <c r="I100" s="1256"/>
      <c r="J100" s="1256"/>
      <c r="K100" s="1256"/>
      <c r="L100" s="1256"/>
      <c r="M100" s="1256"/>
      <c r="N100" s="1256"/>
      <c r="O100" s="1254"/>
    </row>
    <row r="101" spans="1:15" ht="15.75" thickBot="1" x14ac:dyDescent="0.3">
      <c r="A101" s="1253"/>
      <c r="B101" s="1252"/>
      <c r="C101" s="1252"/>
      <c r="D101" s="1252"/>
      <c r="E101" s="1252"/>
      <c r="F101" s="1252"/>
      <c r="G101" s="1252"/>
      <c r="H101" s="1252"/>
      <c r="I101" s="1252"/>
      <c r="J101" s="1252"/>
      <c r="K101" s="1252"/>
      <c r="L101" s="1252"/>
      <c r="M101" s="1252"/>
      <c r="N101" s="1252"/>
      <c r="O101" s="1251"/>
    </row>
    <row r="102" spans="1:15" ht="15.75" thickBot="1" x14ac:dyDescent="0.3">
      <c r="A102" s="1302"/>
      <c r="B102" s="1302"/>
      <c r="C102" s="1302"/>
      <c r="D102" s="1302"/>
      <c r="E102" s="1302"/>
      <c r="F102" s="1302"/>
      <c r="G102" s="1302"/>
      <c r="H102" s="1302"/>
      <c r="I102" s="1302"/>
      <c r="J102" s="1302"/>
      <c r="K102" s="1302"/>
      <c r="L102" s="1302"/>
      <c r="M102" s="1302"/>
      <c r="N102" s="1302"/>
      <c r="O102" s="1302"/>
    </row>
    <row r="103" spans="1:15" x14ac:dyDescent="0.25">
      <c r="A103" s="1301"/>
      <c r="B103" s="1300"/>
      <c r="C103" s="1300"/>
      <c r="D103" s="1300"/>
      <c r="E103" s="1300"/>
      <c r="F103" s="1300"/>
      <c r="G103" s="1300"/>
      <c r="H103" s="1300"/>
      <c r="I103" s="1300"/>
      <c r="J103" s="1300"/>
      <c r="K103" s="1300"/>
      <c r="L103" s="1300"/>
      <c r="M103" s="1300"/>
      <c r="N103" s="1300"/>
      <c r="O103" s="1299"/>
    </row>
    <row r="104" spans="1:15" x14ac:dyDescent="0.25">
      <c r="A104" s="1263" t="s">
        <v>57</v>
      </c>
      <c r="B104" s="1294" t="s">
        <v>523</v>
      </c>
      <c r="C104" s="1255"/>
      <c r="D104" s="1255"/>
      <c r="E104" s="1255"/>
      <c r="F104" s="1255"/>
      <c r="G104" s="1255"/>
      <c r="H104" s="1255"/>
      <c r="I104" s="1255"/>
      <c r="J104" s="1327" t="s">
        <v>51</v>
      </c>
      <c r="K104" s="1298">
        <v>81</v>
      </c>
      <c r="L104" s="1255"/>
      <c r="M104" s="1263" t="s">
        <v>113</v>
      </c>
      <c r="N104" s="1273">
        <f>N114+I121</f>
        <v>8.1545504559999991</v>
      </c>
      <c r="O104" s="1254"/>
    </row>
    <row r="105" spans="1:15" x14ac:dyDescent="0.25">
      <c r="A105" s="1263" t="s">
        <v>125</v>
      </c>
      <c r="B105" s="1297" t="s">
        <v>2210</v>
      </c>
      <c r="C105" s="1255"/>
      <c r="D105" s="1263" t="s">
        <v>122</v>
      </c>
      <c r="E105" s="1326" t="s">
        <v>522</v>
      </c>
      <c r="F105" s="1255"/>
      <c r="G105" s="1255"/>
      <c r="H105" s="1255"/>
      <c r="I105" s="1255"/>
      <c r="J105" s="1255"/>
      <c r="K105" s="1255"/>
      <c r="L105" s="1255"/>
      <c r="M105" s="1263" t="s">
        <v>124</v>
      </c>
      <c r="N105" s="1298">
        <v>1</v>
      </c>
      <c r="O105" s="1254"/>
    </row>
    <row r="106" spans="1:15" x14ac:dyDescent="0.25">
      <c r="A106" s="1263" t="s">
        <v>123</v>
      </c>
      <c r="B106" s="1326" t="str">
        <f>HYPERLINK("#MS_A0001",'MS Assemblies'!B4)</f>
        <v>Firewall</v>
      </c>
      <c r="C106" s="1255"/>
      <c r="D106" s="1263" t="s">
        <v>119</v>
      </c>
      <c r="E106" s="1255"/>
      <c r="F106" s="1255"/>
      <c r="G106" s="1255"/>
      <c r="H106" s="1255"/>
      <c r="I106" s="1255"/>
      <c r="J106" s="1325" t="s">
        <v>122</v>
      </c>
      <c r="K106" s="1255"/>
      <c r="L106" s="1255"/>
      <c r="M106" s="1255"/>
      <c r="N106" s="1255"/>
      <c r="O106" s="1254"/>
    </row>
    <row r="107" spans="1:15" x14ac:dyDescent="0.25">
      <c r="A107" s="1263" t="s">
        <v>114</v>
      </c>
      <c r="B107" s="1296" t="s">
        <v>2326</v>
      </c>
      <c r="C107" s="1255"/>
      <c r="D107" s="1263" t="s">
        <v>116</v>
      </c>
      <c r="E107" s="1255"/>
      <c r="F107" s="1255"/>
      <c r="G107" s="1255"/>
      <c r="H107" s="1255"/>
      <c r="I107" s="1255"/>
      <c r="J107" s="1325" t="s">
        <v>119</v>
      </c>
      <c r="K107" s="1255"/>
      <c r="L107" s="1255"/>
      <c r="M107" s="1263" t="s">
        <v>118</v>
      </c>
      <c r="N107" s="1273">
        <f>N105*N104</f>
        <v>8.1545504559999991</v>
      </c>
      <c r="O107" s="1254"/>
    </row>
    <row r="108" spans="1:15" x14ac:dyDescent="0.25">
      <c r="A108" s="1263" t="s">
        <v>121</v>
      </c>
      <c r="B108" s="1296" t="s">
        <v>2325</v>
      </c>
      <c r="C108" s="1255"/>
      <c r="D108" s="1255"/>
      <c r="E108" s="1255"/>
      <c r="F108" s="1255"/>
      <c r="G108" s="1255"/>
      <c r="H108" s="1255"/>
      <c r="I108" s="1255"/>
      <c r="J108" s="1325" t="s">
        <v>116</v>
      </c>
      <c r="K108" s="1255"/>
      <c r="L108" s="1255"/>
      <c r="M108" s="1255"/>
      <c r="N108" s="1255"/>
      <c r="O108" s="1254"/>
    </row>
    <row r="109" spans="1:15" x14ac:dyDescent="0.25">
      <c r="A109" s="1263" t="s">
        <v>117</v>
      </c>
      <c r="B109" s="1294" t="s">
        <v>23</v>
      </c>
      <c r="C109" s="1255"/>
      <c r="D109" s="1255"/>
      <c r="E109" s="1255"/>
      <c r="F109" s="1255"/>
      <c r="G109" s="1255"/>
      <c r="H109" s="1255"/>
      <c r="I109" s="1255"/>
      <c r="J109" s="1255"/>
      <c r="K109" s="1255"/>
      <c r="L109" s="1255"/>
      <c r="M109" s="1255"/>
      <c r="N109" s="1255"/>
      <c r="O109" s="1254"/>
    </row>
    <row r="110" spans="1:15" x14ac:dyDescent="0.25">
      <c r="A110" s="1263" t="s">
        <v>115</v>
      </c>
      <c r="B110" s="1294" t="s">
        <v>2321</v>
      </c>
      <c r="C110" s="1255"/>
      <c r="D110" s="1255"/>
      <c r="E110" s="1255"/>
      <c r="F110" s="1255"/>
      <c r="G110" s="1255"/>
      <c r="H110" s="1255"/>
      <c r="I110" s="1255"/>
      <c r="J110" s="1255"/>
      <c r="K110" s="1255"/>
      <c r="L110" s="1255"/>
      <c r="M110" s="1255"/>
      <c r="N110" s="1255"/>
      <c r="O110" s="1254"/>
    </row>
    <row r="111" spans="1:15" x14ac:dyDescent="0.25">
      <c r="A111" s="1324"/>
      <c r="B111" s="1323"/>
      <c r="C111" s="1323"/>
      <c r="D111" s="1323"/>
      <c r="E111" s="1323"/>
      <c r="F111" s="1255"/>
      <c r="G111" s="1255"/>
      <c r="H111" s="1255"/>
      <c r="I111" s="1255"/>
      <c r="J111" s="1255"/>
      <c r="K111" s="1255"/>
      <c r="L111" s="1255"/>
      <c r="M111" s="1255"/>
      <c r="N111" s="1255"/>
      <c r="O111" s="1254"/>
    </row>
    <row r="112" spans="1:15" x14ac:dyDescent="0.25">
      <c r="A112" s="1322" t="s">
        <v>67</v>
      </c>
      <c r="B112" s="1321" t="s">
        <v>112</v>
      </c>
      <c r="C112" s="1321" t="s">
        <v>66</v>
      </c>
      <c r="D112" s="1321" t="s">
        <v>65</v>
      </c>
      <c r="E112" s="1321" t="s">
        <v>81</v>
      </c>
      <c r="F112" s="1263" t="s">
        <v>80</v>
      </c>
      <c r="G112" s="1263" t="s">
        <v>79</v>
      </c>
      <c r="H112" s="1263" t="s">
        <v>78</v>
      </c>
      <c r="I112" s="1263" t="s">
        <v>111</v>
      </c>
      <c r="J112" s="1263" t="s">
        <v>110</v>
      </c>
      <c r="K112" s="1263" t="s">
        <v>109</v>
      </c>
      <c r="L112" s="1263" t="s">
        <v>108</v>
      </c>
      <c r="M112" s="1263" t="s">
        <v>40</v>
      </c>
      <c r="N112" s="1263" t="s">
        <v>58</v>
      </c>
      <c r="O112" s="1254"/>
    </row>
    <row r="113" spans="1:21" ht="30" x14ac:dyDescent="0.25">
      <c r="A113" s="1286">
        <v>10</v>
      </c>
      <c r="B113" s="1320" t="s">
        <v>683</v>
      </c>
      <c r="C113" s="1286" t="s">
        <v>682</v>
      </c>
      <c r="D113" s="1261">
        <v>4.2</v>
      </c>
      <c r="E113" s="1286">
        <v>206</v>
      </c>
      <c r="F113" s="1286" t="s">
        <v>68</v>
      </c>
      <c r="G113" s="1286">
        <v>1</v>
      </c>
      <c r="H113" s="1320" t="s">
        <v>68</v>
      </c>
      <c r="I113" s="1319" t="s">
        <v>2324</v>
      </c>
      <c r="J113" s="1318">
        <f>(E113*10^-3)*(G113*10^-3)</f>
        <v>2.0600000000000002E-4</v>
      </c>
      <c r="K113" s="1317">
        <v>0.51800000000000002</v>
      </c>
      <c r="L113" s="1316">
        <v>2710</v>
      </c>
      <c r="M113" s="1276">
        <v>1</v>
      </c>
      <c r="N113" s="1261">
        <f>IF(J113="",D113*M113,D113*J113*K113*L113*M113)</f>
        <v>1.2145504560000002</v>
      </c>
      <c r="O113" s="1281"/>
    </row>
    <row r="114" spans="1:21" x14ac:dyDescent="0.25">
      <c r="A114" s="1259"/>
      <c r="B114" s="1256"/>
      <c r="C114" s="1256" t="s">
        <v>2197</v>
      </c>
      <c r="D114" s="1256"/>
      <c r="E114" s="1256"/>
      <c r="F114" s="1256"/>
      <c r="G114" s="1256"/>
      <c r="H114" s="1256"/>
      <c r="I114" s="1256"/>
      <c r="J114" s="1256"/>
      <c r="K114" s="1256"/>
      <c r="L114" s="1256"/>
      <c r="M114" s="1258" t="s">
        <v>58</v>
      </c>
      <c r="N114" s="1305">
        <f>SUM(N113:N113)</f>
        <v>1.2145504560000002</v>
      </c>
      <c r="O114" s="1254"/>
    </row>
    <row r="115" spans="1:21" x14ac:dyDescent="0.25">
      <c r="A115" s="1264"/>
      <c r="B115" s="1255"/>
      <c r="C115" s="1255"/>
      <c r="D115" s="1255"/>
      <c r="E115" s="1255"/>
      <c r="F115" s="1255"/>
      <c r="G115" s="1255"/>
      <c r="H115" s="1255"/>
      <c r="I115" s="1255"/>
      <c r="J115" s="1255"/>
      <c r="K115" s="1255"/>
      <c r="L115" s="1255"/>
      <c r="M115" s="1255"/>
      <c r="N115" s="1255"/>
      <c r="O115" s="1254"/>
    </row>
    <row r="116" spans="1:21" x14ac:dyDescent="0.25">
      <c r="A116" s="1263" t="s">
        <v>67</v>
      </c>
      <c r="B116" s="1263" t="s">
        <v>106</v>
      </c>
      <c r="C116" s="1263" t="s">
        <v>66</v>
      </c>
      <c r="D116" s="1263" t="s">
        <v>65</v>
      </c>
      <c r="E116" s="1263" t="s">
        <v>64</v>
      </c>
      <c r="F116" s="1263" t="s">
        <v>40</v>
      </c>
      <c r="G116" s="1263" t="s">
        <v>105</v>
      </c>
      <c r="H116" s="1263" t="s">
        <v>104</v>
      </c>
      <c r="I116" s="1263" t="s">
        <v>58</v>
      </c>
      <c r="J116" s="1315"/>
      <c r="K116" s="1315"/>
      <c r="L116" s="1315"/>
      <c r="M116" s="1315"/>
      <c r="N116" s="1315"/>
      <c r="O116" s="1269"/>
      <c r="U116" s="1336"/>
    </row>
    <row r="117" spans="1:21" x14ac:dyDescent="0.25">
      <c r="A117" s="1314">
        <v>10</v>
      </c>
      <c r="B117" s="1272" t="s">
        <v>516</v>
      </c>
      <c r="C117" s="1314" t="s">
        <v>802</v>
      </c>
      <c r="D117" s="1313">
        <v>1.3</v>
      </c>
      <c r="E117" s="1272" t="s">
        <v>64</v>
      </c>
      <c r="F117" s="1314">
        <v>1</v>
      </c>
      <c r="G117" s="1314"/>
      <c r="H117" s="1314"/>
      <c r="I117" s="1313">
        <f>IF(H117="",D117*F117,D117*F117*H117)</f>
        <v>1.3</v>
      </c>
      <c r="J117" s="1255"/>
      <c r="K117" s="1255"/>
      <c r="L117" s="1255"/>
      <c r="M117" s="1255"/>
      <c r="N117" s="1255"/>
      <c r="O117" s="1254"/>
    </row>
    <row r="118" spans="1:21" x14ac:dyDescent="0.25">
      <c r="A118" s="1262">
        <v>20</v>
      </c>
      <c r="B118" s="1272" t="s">
        <v>541</v>
      </c>
      <c r="C118" s="1262" t="s">
        <v>834</v>
      </c>
      <c r="D118" s="1261">
        <v>0.01</v>
      </c>
      <c r="E118" s="1262" t="s">
        <v>101</v>
      </c>
      <c r="F118" s="1292">
        <v>204</v>
      </c>
      <c r="G118" s="1272" t="s">
        <v>870</v>
      </c>
      <c r="H118" s="1270">
        <v>1</v>
      </c>
      <c r="I118" s="1261">
        <f>IF(H118="",D118*F118,D118*F118*H118)</f>
        <v>2.04</v>
      </c>
      <c r="J118" s="1260"/>
      <c r="K118" s="1260"/>
      <c r="L118" s="1260"/>
      <c r="M118" s="1260"/>
      <c r="N118" s="1260"/>
      <c r="O118" s="1271"/>
    </row>
    <row r="119" spans="1:21" x14ac:dyDescent="0.25">
      <c r="A119" s="1270">
        <v>30</v>
      </c>
      <c r="B119" s="1272" t="s">
        <v>539</v>
      </c>
      <c r="C119" s="1270" t="s">
        <v>2306</v>
      </c>
      <c r="D119" s="1261">
        <v>0.25</v>
      </c>
      <c r="E119" s="1262" t="s">
        <v>537</v>
      </c>
      <c r="F119" s="1270">
        <v>6</v>
      </c>
      <c r="G119" s="1270"/>
      <c r="H119" s="1270"/>
      <c r="I119" s="1261">
        <f>IF(H119="",D119*F119,D119*F119*H119)</f>
        <v>1.5</v>
      </c>
      <c r="J119" s="1255"/>
      <c r="K119" s="1255"/>
      <c r="L119" s="1255"/>
      <c r="M119" s="1255"/>
      <c r="N119" s="1255"/>
      <c r="O119" s="1254"/>
    </row>
    <row r="120" spans="1:21" x14ac:dyDescent="0.25">
      <c r="A120" s="1270">
        <v>40</v>
      </c>
      <c r="B120" s="1272" t="s">
        <v>296</v>
      </c>
      <c r="C120" s="1270" t="s">
        <v>2267</v>
      </c>
      <c r="D120" s="1261">
        <v>0.35</v>
      </c>
      <c r="E120" s="1262" t="s">
        <v>294</v>
      </c>
      <c r="F120" s="1270">
        <v>6</v>
      </c>
      <c r="G120" s="1270"/>
      <c r="H120" s="1270"/>
      <c r="I120" s="1261">
        <f>IF(H120="",D120*F120,D120*F120*H120)</f>
        <v>2.0999999999999996</v>
      </c>
      <c r="J120" s="1255"/>
      <c r="K120" s="1255"/>
      <c r="L120" s="1255"/>
      <c r="M120" s="1255"/>
      <c r="N120" s="1255"/>
      <c r="O120" s="1254"/>
    </row>
    <row r="121" spans="1:21" x14ac:dyDescent="0.25">
      <c r="A121" s="1259"/>
      <c r="B121" s="1256"/>
      <c r="C121" s="1256"/>
      <c r="D121" s="1256"/>
      <c r="E121" s="1256"/>
      <c r="F121" s="1256"/>
      <c r="G121" s="1256"/>
      <c r="H121" s="1306" t="s">
        <v>58</v>
      </c>
      <c r="I121" s="1305">
        <f>SUM(I117:I120)</f>
        <v>6.9399999999999995</v>
      </c>
      <c r="J121" s="1256"/>
      <c r="K121" s="1256"/>
      <c r="L121" s="1256"/>
      <c r="M121" s="1256"/>
      <c r="N121" s="1256"/>
      <c r="O121" s="1254"/>
    </row>
    <row r="122" spans="1:21" x14ac:dyDescent="0.25">
      <c r="A122" s="1259"/>
      <c r="B122" s="1256"/>
      <c r="C122" s="1256"/>
      <c r="D122" s="1256"/>
      <c r="E122" s="1256"/>
      <c r="F122" s="1256"/>
      <c r="G122" s="1256"/>
      <c r="H122" s="1256"/>
      <c r="I122" s="1256"/>
      <c r="J122" s="1256"/>
      <c r="K122" s="1256"/>
      <c r="L122" s="1256"/>
      <c r="M122" s="1256"/>
      <c r="N122" s="1256"/>
      <c r="O122" s="1254"/>
    </row>
    <row r="123" spans="1:21" x14ac:dyDescent="0.25">
      <c r="A123" s="1259"/>
      <c r="B123" s="1256"/>
      <c r="C123" s="1256"/>
      <c r="D123" s="1256"/>
      <c r="E123" s="1256"/>
      <c r="F123" s="1256"/>
      <c r="G123" s="1256"/>
      <c r="H123" s="1256"/>
      <c r="I123" s="1256"/>
      <c r="J123" s="1256"/>
      <c r="K123" s="1256"/>
      <c r="L123" s="1256"/>
      <c r="M123" s="1256"/>
      <c r="N123" s="1256"/>
      <c r="O123" s="1254"/>
    </row>
    <row r="124" spans="1:21" x14ac:dyDescent="0.25">
      <c r="A124" s="1259"/>
      <c r="B124" s="1256"/>
      <c r="C124" s="1256"/>
      <c r="D124" s="1256"/>
      <c r="E124" s="1256"/>
      <c r="F124" s="1256"/>
      <c r="G124" s="1256"/>
      <c r="H124" s="1256"/>
      <c r="I124" s="1256"/>
      <c r="J124" s="1256"/>
      <c r="K124" s="1256"/>
      <c r="L124" s="1256"/>
      <c r="M124" s="1256"/>
      <c r="N124" s="1256"/>
      <c r="O124" s="1254"/>
    </row>
    <row r="125" spans="1:21" x14ac:dyDescent="0.25">
      <c r="A125" s="1259"/>
      <c r="B125" s="1256"/>
      <c r="C125" s="1256"/>
      <c r="D125" s="1256"/>
      <c r="E125" s="1256"/>
      <c r="F125" s="1256"/>
      <c r="G125" s="1256"/>
      <c r="H125" s="1256"/>
      <c r="I125" s="1256"/>
      <c r="J125" s="1256"/>
      <c r="K125" s="1256"/>
      <c r="L125" s="1256"/>
      <c r="M125" s="1256"/>
      <c r="N125" s="1256"/>
      <c r="O125" s="1254"/>
    </row>
    <row r="126" spans="1:21" x14ac:dyDescent="0.25">
      <c r="A126" s="1259"/>
      <c r="B126" s="1256"/>
      <c r="C126" s="1256"/>
      <c r="D126" s="1256"/>
      <c r="E126" s="1256"/>
      <c r="F126" s="1256"/>
      <c r="G126" s="1256"/>
      <c r="H126" s="1256"/>
      <c r="I126" s="1256"/>
      <c r="J126" s="1256"/>
      <c r="K126" s="1256"/>
      <c r="L126" s="1256"/>
      <c r="M126" s="1256"/>
      <c r="N126" s="1256"/>
      <c r="O126" s="1254"/>
    </row>
    <row r="127" spans="1:21" ht="15.75" thickBot="1" x14ac:dyDescent="0.3">
      <c r="A127" s="1253"/>
      <c r="B127" s="1252"/>
      <c r="C127" s="1252"/>
      <c r="D127" s="1252"/>
      <c r="E127" s="1252"/>
      <c r="F127" s="1252"/>
      <c r="G127" s="1252"/>
      <c r="H127" s="1252"/>
      <c r="I127" s="1252"/>
      <c r="J127" s="1252"/>
      <c r="K127" s="1252"/>
      <c r="L127" s="1252"/>
      <c r="M127" s="1252"/>
      <c r="N127" s="1252"/>
      <c r="O127" s="1251"/>
    </row>
    <row r="128" spans="1:21" ht="15.75" thickBot="1" x14ac:dyDescent="0.3">
      <c r="A128" s="1302"/>
      <c r="B128" s="1302"/>
      <c r="C128" s="1302"/>
      <c r="D128" s="1302"/>
      <c r="E128" s="1302"/>
      <c r="F128" s="1302"/>
      <c r="G128" s="1302"/>
      <c r="H128" s="1302"/>
      <c r="I128" s="1302"/>
      <c r="J128" s="1302"/>
      <c r="K128" s="1302"/>
      <c r="L128" s="1302"/>
      <c r="M128" s="1302"/>
      <c r="N128" s="1302"/>
      <c r="O128" s="1302"/>
    </row>
    <row r="129" spans="1:15" x14ac:dyDescent="0.25">
      <c r="A129" s="1301"/>
      <c r="B129" s="1300"/>
      <c r="C129" s="1300"/>
      <c r="D129" s="1300"/>
      <c r="E129" s="1300"/>
      <c r="F129" s="1300"/>
      <c r="G129" s="1300"/>
      <c r="H129" s="1300"/>
      <c r="I129" s="1300"/>
      <c r="J129" s="1300"/>
      <c r="K129" s="1300"/>
      <c r="L129" s="1300"/>
      <c r="M129" s="1300"/>
      <c r="N129" s="1300"/>
      <c r="O129" s="1299"/>
    </row>
    <row r="130" spans="1:15" x14ac:dyDescent="0.25">
      <c r="A130" s="1263" t="s">
        <v>57</v>
      </c>
      <c r="B130" s="1294" t="s">
        <v>523</v>
      </c>
      <c r="C130" s="1255"/>
      <c r="D130" s="1255"/>
      <c r="E130" s="1255"/>
      <c r="F130" s="1255"/>
      <c r="G130" s="1255"/>
      <c r="H130" s="1255"/>
      <c r="I130" s="1255"/>
      <c r="J130" s="1327" t="s">
        <v>51</v>
      </c>
      <c r="K130" s="1298">
        <v>81</v>
      </c>
      <c r="L130" s="1255"/>
      <c r="M130" s="1263" t="s">
        <v>113</v>
      </c>
      <c r="N130" s="1273">
        <f>N140+I147</f>
        <v>10.863555840000002</v>
      </c>
      <c r="O130" s="1254"/>
    </row>
    <row r="131" spans="1:15" x14ac:dyDescent="0.25">
      <c r="A131" s="1263" t="s">
        <v>125</v>
      </c>
      <c r="B131" s="1297" t="s">
        <v>2210</v>
      </c>
      <c r="C131" s="1255"/>
      <c r="D131" s="1263" t="s">
        <v>122</v>
      </c>
      <c r="E131" s="1326" t="s">
        <v>522</v>
      </c>
      <c r="F131" s="1255"/>
      <c r="G131" s="1255"/>
      <c r="H131" s="1255"/>
      <c r="I131" s="1255"/>
      <c r="J131" s="1255"/>
      <c r="K131" s="1255"/>
      <c r="L131" s="1255"/>
      <c r="M131" s="1263" t="s">
        <v>124</v>
      </c>
      <c r="N131" s="1298">
        <v>1</v>
      </c>
      <c r="O131" s="1254"/>
    </row>
    <row r="132" spans="1:15" x14ac:dyDescent="0.25">
      <c r="A132" s="1263" t="s">
        <v>123</v>
      </c>
      <c r="B132" s="1326" t="str">
        <f>HYPERLINK("#MS_A0001",'MS Assemblies'!B4)</f>
        <v>Firewall</v>
      </c>
      <c r="C132" s="1255"/>
      <c r="D132" s="1263" t="s">
        <v>119</v>
      </c>
      <c r="E132" s="1255"/>
      <c r="F132" s="1255"/>
      <c r="G132" s="1255"/>
      <c r="H132" s="1255"/>
      <c r="I132" s="1255"/>
      <c r="J132" s="1325" t="s">
        <v>122</v>
      </c>
      <c r="K132" s="1255"/>
      <c r="L132" s="1255"/>
      <c r="M132" s="1255"/>
      <c r="N132" s="1255"/>
      <c r="O132" s="1254"/>
    </row>
    <row r="133" spans="1:15" x14ac:dyDescent="0.25">
      <c r="A133" s="1263" t="s">
        <v>114</v>
      </c>
      <c r="B133" s="1296" t="s">
        <v>2323</v>
      </c>
      <c r="C133" s="1255"/>
      <c r="D133" s="1263" t="s">
        <v>116</v>
      </c>
      <c r="E133" s="1255"/>
      <c r="F133" s="1255"/>
      <c r="G133" s="1255"/>
      <c r="H133" s="1255"/>
      <c r="I133" s="1255"/>
      <c r="J133" s="1325" t="s">
        <v>119</v>
      </c>
      <c r="K133" s="1255"/>
      <c r="L133" s="1255"/>
      <c r="M133" s="1263" t="s">
        <v>118</v>
      </c>
      <c r="N133" s="1273">
        <f>N131*N130</f>
        <v>10.863555840000002</v>
      </c>
      <c r="O133" s="1254"/>
    </row>
    <row r="134" spans="1:15" x14ac:dyDescent="0.25">
      <c r="A134" s="1263" t="s">
        <v>121</v>
      </c>
      <c r="B134" s="1296" t="s">
        <v>2322</v>
      </c>
      <c r="C134" s="1255"/>
      <c r="D134" s="1255"/>
      <c r="E134" s="1255"/>
      <c r="F134" s="1255"/>
      <c r="G134" s="1255"/>
      <c r="H134" s="1255"/>
      <c r="I134" s="1255"/>
      <c r="J134" s="1325" t="s">
        <v>116</v>
      </c>
      <c r="K134" s="1255"/>
      <c r="L134" s="1255"/>
      <c r="M134" s="1255"/>
      <c r="N134" s="1255"/>
      <c r="O134" s="1254"/>
    </row>
    <row r="135" spans="1:15" x14ac:dyDescent="0.25">
      <c r="A135" s="1263" t="s">
        <v>117</v>
      </c>
      <c r="B135" s="1294" t="s">
        <v>23</v>
      </c>
      <c r="C135" s="1255"/>
      <c r="D135" s="1255"/>
      <c r="E135" s="1255"/>
      <c r="F135" s="1255"/>
      <c r="G135" s="1255"/>
      <c r="H135" s="1255"/>
      <c r="I135" s="1255"/>
      <c r="J135" s="1255"/>
      <c r="K135" s="1255"/>
      <c r="L135" s="1255"/>
      <c r="M135" s="1255"/>
      <c r="N135" s="1255"/>
      <c r="O135" s="1254"/>
    </row>
    <row r="136" spans="1:15" x14ac:dyDescent="0.25">
      <c r="A136" s="1263" t="s">
        <v>115</v>
      </c>
      <c r="B136" s="1294" t="s">
        <v>2321</v>
      </c>
      <c r="C136" s="1255"/>
      <c r="D136" s="1255"/>
      <c r="E136" s="1255"/>
      <c r="F136" s="1255"/>
      <c r="G136" s="1255"/>
      <c r="H136" s="1255"/>
      <c r="I136" s="1255"/>
      <c r="J136" s="1255"/>
      <c r="K136" s="1255"/>
      <c r="L136" s="1255"/>
      <c r="M136" s="1255"/>
      <c r="N136" s="1255"/>
      <c r="O136" s="1254"/>
    </row>
    <row r="137" spans="1:15" x14ac:dyDescent="0.25">
      <c r="A137" s="1324"/>
      <c r="B137" s="1323"/>
      <c r="C137" s="1323"/>
      <c r="D137" s="1323"/>
      <c r="E137" s="1323"/>
      <c r="F137" s="1255"/>
      <c r="G137" s="1255"/>
      <c r="H137" s="1255"/>
      <c r="I137" s="1255"/>
      <c r="J137" s="1255"/>
      <c r="K137" s="1255"/>
      <c r="L137" s="1255"/>
      <c r="M137" s="1255"/>
      <c r="N137" s="1255"/>
      <c r="O137" s="1254"/>
    </row>
    <row r="138" spans="1:15" x14ac:dyDescent="0.25">
      <c r="A138" s="1322" t="s">
        <v>67</v>
      </c>
      <c r="B138" s="1321" t="s">
        <v>112</v>
      </c>
      <c r="C138" s="1321" t="s">
        <v>66</v>
      </c>
      <c r="D138" s="1321" t="s">
        <v>65</v>
      </c>
      <c r="E138" s="1321" t="s">
        <v>81</v>
      </c>
      <c r="F138" s="1263" t="s">
        <v>80</v>
      </c>
      <c r="G138" s="1263" t="s">
        <v>79</v>
      </c>
      <c r="H138" s="1263" t="s">
        <v>78</v>
      </c>
      <c r="I138" s="1263" t="s">
        <v>111</v>
      </c>
      <c r="J138" s="1263" t="s">
        <v>110</v>
      </c>
      <c r="K138" s="1263" t="s">
        <v>109</v>
      </c>
      <c r="L138" s="1263" t="s">
        <v>108</v>
      </c>
      <c r="M138" s="1263" t="s">
        <v>40</v>
      </c>
      <c r="N138" s="1263" t="s">
        <v>58</v>
      </c>
      <c r="O138" s="1254"/>
    </row>
    <row r="139" spans="1:15" ht="30" x14ac:dyDescent="0.25">
      <c r="A139" s="1286">
        <v>10</v>
      </c>
      <c r="B139" s="1320" t="s">
        <v>683</v>
      </c>
      <c r="C139" s="1286" t="s">
        <v>682</v>
      </c>
      <c r="D139" s="1261">
        <v>4.2</v>
      </c>
      <c r="E139" s="1286">
        <v>141</v>
      </c>
      <c r="F139" s="1286" t="s">
        <v>68</v>
      </c>
      <c r="G139" s="1286">
        <v>1</v>
      </c>
      <c r="H139" s="1320" t="s">
        <v>68</v>
      </c>
      <c r="I139" s="1319" t="s">
        <v>2320</v>
      </c>
      <c r="J139" s="1318">
        <f>(E139*10^-3)*(G139*10^-3)</f>
        <v>1.4100000000000001E-4</v>
      </c>
      <c r="K139" s="1317">
        <v>0.32</v>
      </c>
      <c r="L139" s="1316">
        <v>2710</v>
      </c>
      <c r="M139" s="1265">
        <v>1</v>
      </c>
      <c r="N139" s="1261">
        <f>IF(J139="",D139*M139,D139*J139*K139*L139*M139)</f>
        <v>0.5135558400000001</v>
      </c>
      <c r="O139" s="1281"/>
    </row>
    <row r="140" spans="1:15" x14ac:dyDescent="0.25">
      <c r="A140" s="1259"/>
      <c r="B140" s="1256"/>
      <c r="C140" s="1256" t="s">
        <v>2197</v>
      </c>
      <c r="D140" s="1256"/>
      <c r="E140" s="1256"/>
      <c r="F140" s="1256"/>
      <c r="G140" s="1256"/>
      <c r="H140" s="1256"/>
      <c r="I140" s="1256"/>
      <c r="J140" s="1256"/>
      <c r="K140" s="1256"/>
      <c r="L140" s="1256"/>
      <c r="M140" s="1258" t="s">
        <v>58</v>
      </c>
      <c r="N140" s="1305">
        <f>SUM(N139:N139)</f>
        <v>0.5135558400000001</v>
      </c>
      <c r="O140" s="1254"/>
    </row>
    <row r="141" spans="1:15" x14ac:dyDescent="0.25">
      <c r="A141" s="1264"/>
      <c r="B141" s="1255"/>
      <c r="C141" s="1255"/>
      <c r="D141" s="1255"/>
      <c r="E141" s="1255"/>
      <c r="F141" s="1255"/>
      <c r="G141" s="1255"/>
      <c r="H141" s="1255"/>
      <c r="I141" s="1255"/>
      <c r="J141" s="1255"/>
      <c r="K141" s="1255"/>
      <c r="L141" s="1255"/>
      <c r="M141" s="1255"/>
      <c r="N141" s="1255"/>
      <c r="O141" s="1254"/>
    </row>
    <row r="142" spans="1:15" x14ac:dyDescent="0.25">
      <c r="A142" s="1263" t="s">
        <v>67</v>
      </c>
      <c r="B142" s="1263" t="s">
        <v>106</v>
      </c>
      <c r="C142" s="1263" t="s">
        <v>66</v>
      </c>
      <c r="D142" s="1263" t="s">
        <v>65</v>
      </c>
      <c r="E142" s="1263" t="s">
        <v>64</v>
      </c>
      <c r="F142" s="1263" t="s">
        <v>40</v>
      </c>
      <c r="G142" s="1263" t="s">
        <v>105</v>
      </c>
      <c r="H142" s="1263" t="s">
        <v>104</v>
      </c>
      <c r="I142" s="1263" t="s">
        <v>58</v>
      </c>
      <c r="J142" s="1315"/>
      <c r="K142" s="1315"/>
      <c r="L142" s="1315"/>
      <c r="M142" s="1315"/>
      <c r="N142" s="1315"/>
      <c r="O142" s="1269"/>
    </row>
    <row r="143" spans="1:15" x14ac:dyDescent="0.25">
      <c r="A143" s="1314">
        <v>10</v>
      </c>
      <c r="B143" s="1272" t="s">
        <v>516</v>
      </c>
      <c r="C143" s="1314" t="s">
        <v>802</v>
      </c>
      <c r="D143" s="1313">
        <v>1.3</v>
      </c>
      <c r="E143" s="1272" t="s">
        <v>64</v>
      </c>
      <c r="F143" s="1314">
        <v>1</v>
      </c>
      <c r="G143" s="1314"/>
      <c r="H143" s="1314"/>
      <c r="I143" s="1313">
        <f>IF(H143="",D143*F143,D143*F143*H143)</f>
        <v>1.3</v>
      </c>
      <c r="J143" s="1255"/>
      <c r="K143" s="1255"/>
      <c r="L143" s="1255"/>
      <c r="M143" s="1255"/>
      <c r="N143" s="1255"/>
      <c r="O143" s="1254"/>
    </row>
    <row r="144" spans="1:15" x14ac:dyDescent="0.25">
      <c r="A144" s="1262">
        <v>20</v>
      </c>
      <c r="B144" s="1272" t="s">
        <v>541</v>
      </c>
      <c r="C144" s="1262" t="s">
        <v>834</v>
      </c>
      <c r="D144" s="1261">
        <v>0.01</v>
      </c>
      <c r="E144" s="1262" t="s">
        <v>101</v>
      </c>
      <c r="F144" s="1292">
        <v>775</v>
      </c>
      <c r="G144" s="1272" t="s">
        <v>870</v>
      </c>
      <c r="H144" s="1270">
        <v>1</v>
      </c>
      <c r="I144" s="1261">
        <f>IF(H144="",D144*F144,D144*F144*H144)</f>
        <v>7.75</v>
      </c>
      <c r="J144" s="1260"/>
      <c r="K144" s="1260"/>
      <c r="L144" s="1260"/>
      <c r="M144" s="1260"/>
      <c r="N144" s="1260"/>
      <c r="O144" s="1271"/>
    </row>
    <row r="145" spans="1:15" x14ac:dyDescent="0.25">
      <c r="A145" s="1270">
        <v>30</v>
      </c>
      <c r="B145" s="1272" t="s">
        <v>539</v>
      </c>
      <c r="C145" s="1270" t="s">
        <v>2306</v>
      </c>
      <c r="D145" s="1261">
        <v>0.25</v>
      </c>
      <c r="E145" s="1262" t="s">
        <v>537</v>
      </c>
      <c r="F145" s="1270">
        <v>1</v>
      </c>
      <c r="G145" s="1270"/>
      <c r="H145" s="1270"/>
      <c r="I145" s="1261">
        <f>IF(H145="",D145*F145,D145*F145*H145)</f>
        <v>0.25</v>
      </c>
      <c r="J145" s="1255"/>
      <c r="K145" s="1255"/>
      <c r="L145" s="1255"/>
      <c r="M145" s="1255"/>
      <c r="N145" s="1255"/>
      <c r="O145" s="1254"/>
    </row>
    <row r="146" spans="1:15" x14ac:dyDescent="0.25">
      <c r="A146" s="1270">
        <v>40</v>
      </c>
      <c r="B146" s="1272" t="s">
        <v>296</v>
      </c>
      <c r="C146" s="1270" t="s">
        <v>2267</v>
      </c>
      <c r="D146" s="1261">
        <v>0.35</v>
      </c>
      <c r="E146" s="1262" t="s">
        <v>294</v>
      </c>
      <c r="F146" s="1270">
        <v>3</v>
      </c>
      <c r="G146" s="1270"/>
      <c r="H146" s="1270"/>
      <c r="I146" s="1261">
        <f>IF(H146="",D146*F146,D146*F146*H146)</f>
        <v>1.0499999999999998</v>
      </c>
      <c r="J146" s="1255"/>
      <c r="K146" s="1255"/>
      <c r="L146" s="1255"/>
      <c r="M146" s="1255"/>
      <c r="N146" s="1255"/>
      <c r="O146" s="1254"/>
    </row>
    <row r="147" spans="1:15" x14ac:dyDescent="0.25">
      <c r="A147" s="1259"/>
      <c r="B147" s="1256"/>
      <c r="C147" s="1256"/>
      <c r="D147" s="1256"/>
      <c r="E147" s="1256"/>
      <c r="F147" s="1256"/>
      <c r="G147" s="1256"/>
      <c r="H147" s="1306" t="s">
        <v>58</v>
      </c>
      <c r="I147" s="1305">
        <f>SUM(I143:I146)</f>
        <v>10.350000000000001</v>
      </c>
      <c r="J147" s="1256"/>
      <c r="K147" s="1256"/>
      <c r="L147" s="1256"/>
      <c r="M147" s="1256"/>
      <c r="N147" s="1256"/>
      <c r="O147" s="1254"/>
    </row>
    <row r="148" spans="1:15" x14ac:dyDescent="0.25">
      <c r="A148" s="1259"/>
      <c r="B148" s="1256"/>
      <c r="C148" s="1256"/>
      <c r="D148" s="1256"/>
      <c r="E148" s="1256"/>
      <c r="F148" s="1256"/>
      <c r="G148" s="1256"/>
      <c r="H148" s="1256"/>
      <c r="I148" s="1256"/>
      <c r="J148" s="1256"/>
      <c r="K148" s="1256"/>
      <c r="L148" s="1256"/>
      <c r="M148" s="1256"/>
      <c r="N148" s="1256"/>
      <c r="O148" s="1254"/>
    </row>
    <row r="149" spans="1:15" x14ac:dyDescent="0.25">
      <c r="A149" s="1259"/>
      <c r="B149" s="1256"/>
      <c r="C149" s="1256"/>
      <c r="D149" s="1256"/>
      <c r="E149" s="1256"/>
      <c r="F149" s="1256"/>
      <c r="G149" s="1256"/>
      <c r="H149" s="1256"/>
      <c r="I149" s="1256"/>
      <c r="J149" s="1256"/>
      <c r="K149" s="1256"/>
      <c r="L149" s="1256"/>
      <c r="M149" s="1256"/>
      <c r="N149" s="1256"/>
      <c r="O149" s="1254"/>
    </row>
    <row r="150" spans="1:15" x14ac:dyDescent="0.25">
      <c r="A150" s="1259"/>
      <c r="B150" s="1256"/>
      <c r="C150" s="1256"/>
      <c r="D150" s="1256"/>
      <c r="E150" s="1256"/>
      <c r="F150" s="1256"/>
      <c r="G150" s="1256"/>
      <c r="H150" s="1256"/>
      <c r="I150" s="1256"/>
      <c r="J150" s="1256"/>
      <c r="K150" s="1256"/>
      <c r="L150" s="1256"/>
      <c r="M150" s="1256"/>
      <c r="N150" s="1256"/>
      <c r="O150" s="1254"/>
    </row>
    <row r="151" spans="1:15" x14ac:dyDescent="0.25">
      <c r="A151" s="1259"/>
      <c r="B151" s="1256"/>
      <c r="C151" s="1256"/>
      <c r="D151" s="1256"/>
      <c r="E151" s="1256"/>
      <c r="F151" s="1256"/>
      <c r="G151" s="1256"/>
      <c r="H151" s="1256"/>
      <c r="I151" s="1256"/>
      <c r="J151" s="1256"/>
      <c r="K151" s="1256"/>
      <c r="L151" s="1256"/>
      <c r="M151" s="1256"/>
      <c r="N151" s="1256"/>
      <c r="O151" s="1254"/>
    </row>
    <row r="152" spans="1:15" ht="15.75" thickBot="1" x14ac:dyDescent="0.3">
      <c r="A152" s="1253"/>
      <c r="B152" s="1252"/>
      <c r="C152" s="1252"/>
      <c r="D152" s="1252"/>
      <c r="E152" s="1252"/>
      <c r="F152" s="1252"/>
      <c r="G152" s="1252"/>
      <c r="H152" s="1252"/>
      <c r="I152" s="1252"/>
      <c r="J152" s="1252"/>
      <c r="K152" s="1252"/>
      <c r="L152" s="1252"/>
      <c r="M152" s="1252"/>
      <c r="N152" s="1252"/>
      <c r="O152" s="1251"/>
    </row>
    <row r="153" spans="1:15" ht="15.75" thickBot="1" x14ac:dyDescent="0.3">
      <c r="A153" s="1302"/>
      <c r="B153" s="1302"/>
      <c r="C153" s="1302"/>
      <c r="D153" s="1302"/>
      <c r="E153" s="1302"/>
      <c r="F153" s="1302"/>
      <c r="G153" s="1302"/>
      <c r="H153" s="1302"/>
      <c r="I153" s="1302"/>
      <c r="J153" s="1302"/>
      <c r="K153" s="1302"/>
      <c r="L153" s="1302"/>
      <c r="M153" s="1302"/>
      <c r="N153" s="1302"/>
      <c r="O153" s="1302"/>
    </row>
    <row r="154" spans="1:15" x14ac:dyDescent="0.25">
      <c r="A154" s="1301"/>
      <c r="B154" s="1300"/>
      <c r="C154" s="1300"/>
      <c r="D154" s="1300"/>
      <c r="E154" s="1300"/>
      <c r="F154" s="1300"/>
      <c r="G154" s="1300"/>
      <c r="H154" s="1300"/>
      <c r="I154" s="1300"/>
      <c r="J154" s="1300"/>
      <c r="K154" s="1300"/>
      <c r="L154" s="1300"/>
      <c r="M154" s="1300"/>
      <c r="N154" s="1300"/>
      <c r="O154" s="1299"/>
    </row>
    <row r="155" spans="1:15" x14ac:dyDescent="0.25">
      <c r="A155" s="1263" t="s">
        <v>57</v>
      </c>
      <c r="B155" s="1294" t="s">
        <v>523</v>
      </c>
      <c r="C155" s="1255"/>
      <c r="D155" s="1255"/>
      <c r="E155" s="1255"/>
      <c r="F155" s="1255"/>
      <c r="G155" s="1255"/>
      <c r="H155" s="1255"/>
      <c r="I155" s="1255"/>
      <c r="J155" s="1327" t="s">
        <v>51</v>
      </c>
      <c r="K155" s="1298">
        <v>81</v>
      </c>
      <c r="L155" s="1255"/>
      <c r="M155" s="1263" t="s">
        <v>113</v>
      </c>
      <c r="N155" s="1273">
        <f>N165+I170</f>
        <v>0.55291324000000008</v>
      </c>
      <c r="O155" s="1254"/>
    </row>
    <row r="156" spans="1:15" x14ac:dyDescent="0.25">
      <c r="A156" s="1263" t="s">
        <v>125</v>
      </c>
      <c r="B156" s="1297" t="s">
        <v>2210</v>
      </c>
      <c r="C156" s="1255"/>
      <c r="D156" s="1263" t="s">
        <v>122</v>
      </c>
      <c r="E156" s="1326" t="s">
        <v>522</v>
      </c>
      <c r="F156" s="1255"/>
      <c r="G156" s="1255"/>
      <c r="H156" s="1255"/>
      <c r="I156" s="1255"/>
      <c r="J156" s="1255"/>
      <c r="K156" s="1255"/>
      <c r="L156" s="1255"/>
      <c r="M156" s="1263" t="s">
        <v>124</v>
      </c>
      <c r="N156" s="1298">
        <v>26</v>
      </c>
      <c r="O156" s="1254"/>
    </row>
    <row r="157" spans="1:15" x14ac:dyDescent="0.25">
      <c r="A157" s="1263" t="s">
        <v>123</v>
      </c>
      <c r="B157" s="1326" t="str">
        <f>HYPERLINK("#MS_A0001",'MS Assemblies'!B4)</f>
        <v>Firewall</v>
      </c>
      <c r="C157" s="1255"/>
      <c r="D157" s="1263" t="s">
        <v>119</v>
      </c>
      <c r="E157" s="1255"/>
      <c r="F157" s="1255"/>
      <c r="G157" s="1255"/>
      <c r="H157" s="1255"/>
      <c r="I157" s="1255"/>
      <c r="J157" s="1325" t="s">
        <v>122</v>
      </c>
      <c r="K157" s="1255"/>
      <c r="L157" s="1255"/>
      <c r="M157" s="1255"/>
      <c r="N157" s="1255"/>
      <c r="O157" s="1254"/>
    </row>
    <row r="158" spans="1:15" x14ac:dyDescent="0.25">
      <c r="A158" s="1263" t="s">
        <v>114</v>
      </c>
      <c r="B158" s="1296" t="s">
        <v>2319</v>
      </c>
      <c r="C158" s="1255"/>
      <c r="D158" s="1263" t="s">
        <v>116</v>
      </c>
      <c r="E158" s="1255"/>
      <c r="F158" s="1255"/>
      <c r="G158" s="1255"/>
      <c r="H158" s="1255"/>
      <c r="I158" s="1255"/>
      <c r="J158" s="1325" t="s">
        <v>119</v>
      </c>
      <c r="K158" s="1255"/>
      <c r="L158" s="1255"/>
      <c r="M158" s="1263" t="s">
        <v>118</v>
      </c>
      <c r="N158" s="1273">
        <f>N156*N155</f>
        <v>14.375744240000003</v>
      </c>
      <c r="O158" s="1254"/>
    </row>
    <row r="159" spans="1:15" x14ac:dyDescent="0.25">
      <c r="A159" s="1263" t="s">
        <v>121</v>
      </c>
      <c r="B159" s="1296" t="s">
        <v>2318</v>
      </c>
      <c r="C159" s="1255"/>
      <c r="D159" s="1255"/>
      <c r="E159" s="1255"/>
      <c r="F159" s="1255"/>
      <c r="G159" s="1255"/>
      <c r="H159" s="1255"/>
      <c r="I159" s="1255"/>
      <c r="J159" s="1325" t="s">
        <v>116</v>
      </c>
      <c r="K159" s="1255"/>
      <c r="L159" s="1255"/>
      <c r="M159" s="1255"/>
      <c r="N159" s="1255"/>
      <c r="O159" s="1254"/>
    </row>
    <row r="160" spans="1:15" x14ac:dyDescent="0.25">
      <c r="A160" s="1263" t="s">
        <v>117</v>
      </c>
      <c r="B160" s="1294" t="s">
        <v>23</v>
      </c>
      <c r="C160" s="1255"/>
      <c r="D160" s="1255"/>
      <c r="E160" s="1255"/>
      <c r="F160" s="1255"/>
      <c r="G160" s="1255"/>
      <c r="H160" s="1255"/>
      <c r="I160" s="1255"/>
      <c r="J160" s="1255"/>
      <c r="K160" s="1255"/>
      <c r="L160" s="1255"/>
      <c r="M160" s="1255"/>
      <c r="N160" s="1255"/>
      <c r="O160" s="1254"/>
    </row>
    <row r="161" spans="1:15" x14ac:dyDescent="0.25">
      <c r="A161" s="1263" t="s">
        <v>115</v>
      </c>
      <c r="B161" s="1294" t="s">
        <v>2317</v>
      </c>
      <c r="C161" s="1255"/>
      <c r="D161" s="1255"/>
      <c r="E161" s="1255"/>
      <c r="F161" s="1255"/>
      <c r="G161" s="1255"/>
      <c r="H161" s="1255"/>
      <c r="I161" s="1255"/>
      <c r="J161" s="1255"/>
      <c r="K161" s="1255"/>
      <c r="L161" s="1255"/>
      <c r="M161" s="1255"/>
      <c r="N161" s="1255"/>
      <c r="O161" s="1254"/>
    </row>
    <row r="162" spans="1:15" x14ac:dyDescent="0.25">
      <c r="A162" s="1324"/>
      <c r="B162" s="1323"/>
      <c r="C162" s="1323"/>
      <c r="D162" s="1323"/>
      <c r="E162" s="1323"/>
      <c r="F162" s="1255"/>
      <c r="G162" s="1255"/>
      <c r="H162" s="1255"/>
      <c r="I162" s="1255"/>
      <c r="J162" s="1255"/>
      <c r="K162" s="1255"/>
      <c r="L162" s="1255"/>
      <c r="M162" s="1255"/>
      <c r="N162" s="1255"/>
      <c r="O162" s="1254"/>
    </row>
    <row r="163" spans="1:15" x14ac:dyDescent="0.25">
      <c r="A163" s="1322" t="s">
        <v>67</v>
      </c>
      <c r="B163" s="1321" t="s">
        <v>112</v>
      </c>
      <c r="C163" s="1321" t="s">
        <v>66</v>
      </c>
      <c r="D163" s="1321" t="s">
        <v>65</v>
      </c>
      <c r="E163" s="1321" t="s">
        <v>81</v>
      </c>
      <c r="F163" s="1263" t="s">
        <v>80</v>
      </c>
      <c r="G163" s="1263" t="s">
        <v>79</v>
      </c>
      <c r="H163" s="1263" t="s">
        <v>78</v>
      </c>
      <c r="I163" s="1263" t="s">
        <v>111</v>
      </c>
      <c r="J163" s="1263" t="s">
        <v>110</v>
      </c>
      <c r="K163" s="1263" t="s">
        <v>109</v>
      </c>
      <c r="L163" s="1263" t="s">
        <v>108</v>
      </c>
      <c r="M163" s="1263" t="s">
        <v>40</v>
      </c>
      <c r="N163" s="1263" t="s">
        <v>58</v>
      </c>
      <c r="O163" s="1254"/>
    </row>
    <row r="164" spans="1:15" ht="30" x14ac:dyDescent="0.25">
      <c r="A164" s="1286">
        <v>10</v>
      </c>
      <c r="B164" s="1320" t="s">
        <v>519</v>
      </c>
      <c r="C164" s="1286" t="s">
        <v>682</v>
      </c>
      <c r="D164" s="1261">
        <v>2.25</v>
      </c>
      <c r="E164" s="1286">
        <v>12</v>
      </c>
      <c r="F164" s="1286" t="s">
        <v>68</v>
      </c>
      <c r="G164" s="1286">
        <v>2</v>
      </c>
      <c r="H164" s="1320" t="s">
        <v>68</v>
      </c>
      <c r="I164" s="1319" t="s">
        <v>2316</v>
      </c>
      <c r="J164" s="1318">
        <f>(E164*10^-3)*(G164*10^-3)</f>
        <v>2.4000000000000001E-5</v>
      </c>
      <c r="K164" s="1317">
        <v>2.1000000000000001E-2</v>
      </c>
      <c r="L164" s="1316">
        <v>7860</v>
      </c>
      <c r="M164" s="1265">
        <v>1</v>
      </c>
      <c r="N164" s="1261">
        <f>IF(J164="",D164*M164,D164*J164*K164*L164*M164)</f>
        <v>8.9132400000000011E-3</v>
      </c>
      <c r="O164" s="1281"/>
    </row>
    <row r="165" spans="1:15" x14ac:dyDescent="0.25">
      <c r="A165" s="1259"/>
      <c r="B165" s="1256"/>
      <c r="C165" s="1256" t="s">
        <v>2197</v>
      </c>
      <c r="D165" s="1256"/>
      <c r="E165" s="1256"/>
      <c r="F165" s="1256"/>
      <c r="G165" s="1256"/>
      <c r="H165" s="1256"/>
      <c r="I165" s="1256"/>
      <c r="J165" s="1256"/>
      <c r="K165" s="1256"/>
      <c r="L165" s="1256"/>
      <c r="M165" s="1258" t="s">
        <v>58</v>
      </c>
      <c r="N165" s="1305">
        <f>SUM(N164:N164)</f>
        <v>8.9132400000000011E-3</v>
      </c>
      <c r="O165" s="1254"/>
    </row>
    <row r="166" spans="1:15" x14ac:dyDescent="0.25">
      <c r="A166" s="1264"/>
      <c r="B166" s="1255"/>
      <c r="C166" s="1255"/>
      <c r="D166" s="1255"/>
      <c r="E166" s="1255"/>
      <c r="F166" s="1255"/>
      <c r="G166" s="1255"/>
      <c r="H166" s="1255"/>
      <c r="I166" s="1255"/>
      <c r="J166" s="1255"/>
      <c r="K166" s="1255"/>
      <c r="L166" s="1255"/>
      <c r="M166" s="1255"/>
      <c r="N166" s="1255"/>
      <c r="O166" s="1254"/>
    </row>
    <row r="167" spans="1:15" x14ac:dyDescent="0.25">
      <c r="A167" s="1263" t="s">
        <v>67</v>
      </c>
      <c r="B167" s="1263" t="s">
        <v>106</v>
      </c>
      <c r="C167" s="1263" t="s">
        <v>66</v>
      </c>
      <c r="D167" s="1263" t="s">
        <v>65</v>
      </c>
      <c r="E167" s="1263" t="s">
        <v>64</v>
      </c>
      <c r="F167" s="1263" t="s">
        <v>40</v>
      </c>
      <c r="G167" s="1263" t="s">
        <v>105</v>
      </c>
      <c r="H167" s="1263" t="s">
        <v>104</v>
      </c>
      <c r="I167" s="1263" t="s">
        <v>58</v>
      </c>
      <c r="J167" s="1315"/>
      <c r="K167" s="1315"/>
      <c r="L167" s="1315"/>
      <c r="M167" s="1315"/>
      <c r="N167" s="1315"/>
      <c r="O167" s="1269"/>
    </row>
    <row r="168" spans="1:15" ht="30" x14ac:dyDescent="0.25">
      <c r="A168" s="1314">
        <v>10</v>
      </c>
      <c r="B168" s="1272" t="s">
        <v>516</v>
      </c>
      <c r="C168" s="1314" t="s">
        <v>802</v>
      </c>
      <c r="D168" s="1313">
        <v>1.3</v>
      </c>
      <c r="E168" s="1272" t="s">
        <v>64</v>
      </c>
      <c r="F168" s="1314">
        <v>1</v>
      </c>
      <c r="G168" s="1314" t="s">
        <v>2315</v>
      </c>
      <c r="H168" s="1314">
        <v>0.25</v>
      </c>
      <c r="I168" s="1313">
        <f>IF(H168="",D168*F168,D168*F168*H168)</f>
        <v>0.32500000000000001</v>
      </c>
      <c r="J168" s="1255"/>
      <c r="K168" s="1255"/>
      <c r="L168" s="1255"/>
      <c r="M168" s="1255"/>
      <c r="N168" s="1255"/>
      <c r="O168" s="1254"/>
    </row>
    <row r="169" spans="1:15" x14ac:dyDescent="0.25">
      <c r="A169" s="1262">
        <v>20</v>
      </c>
      <c r="B169" s="1272" t="s">
        <v>541</v>
      </c>
      <c r="C169" s="1262" t="s">
        <v>2298</v>
      </c>
      <c r="D169" s="1261">
        <v>0.01</v>
      </c>
      <c r="E169" s="1262" t="s">
        <v>101</v>
      </c>
      <c r="F169" s="1292">
        <v>7.3</v>
      </c>
      <c r="G169" s="1272" t="s">
        <v>695</v>
      </c>
      <c r="H169" s="1270">
        <v>3</v>
      </c>
      <c r="I169" s="1261">
        <f>IF(H169="",D169*F169,D169*F169*H169)</f>
        <v>0.21899999999999997</v>
      </c>
      <c r="J169" s="1260"/>
      <c r="K169" s="1260"/>
      <c r="L169" s="1260"/>
      <c r="M169" s="1260"/>
      <c r="N169" s="1260"/>
      <c r="O169" s="1271"/>
    </row>
    <row r="170" spans="1:15" x14ac:dyDescent="0.25">
      <c r="A170" s="1259"/>
      <c r="B170" s="1256"/>
      <c r="C170" s="1256"/>
      <c r="D170" s="1256"/>
      <c r="E170" s="1256"/>
      <c r="F170" s="1256"/>
      <c r="G170" s="1256"/>
      <c r="H170" s="1306" t="s">
        <v>58</v>
      </c>
      <c r="I170" s="1305">
        <f>SUM(I168:I169)</f>
        <v>0.54400000000000004</v>
      </c>
      <c r="J170" s="1256"/>
      <c r="K170" s="1256"/>
      <c r="L170" s="1256"/>
      <c r="M170" s="1256"/>
      <c r="N170" s="1256"/>
      <c r="O170" s="1254"/>
    </row>
    <row r="171" spans="1:15" x14ac:dyDescent="0.25">
      <c r="A171" s="1259"/>
      <c r="B171" s="1256"/>
      <c r="C171" s="1256"/>
      <c r="D171" s="1256"/>
      <c r="E171" s="1256"/>
      <c r="F171" s="1256"/>
      <c r="G171" s="1256"/>
      <c r="H171" s="1256"/>
      <c r="I171" s="1256"/>
      <c r="J171" s="1256"/>
      <c r="K171" s="1256"/>
      <c r="L171" s="1256"/>
      <c r="M171" s="1256"/>
      <c r="N171" s="1256"/>
      <c r="O171" s="1254"/>
    </row>
    <row r="172" spans="1:15" x14ac:dyDescent="0.25">
      <c r="A172" s="1259"/>
      <c r="B172" s="1256"/>
      <c r="C172" s="1256"/>
      <c r="D172" s="1256"/>
      <c r="E172" s="1256"/>
      <c r="F172" s="1256"/>
      <c r="G172" s="1256"/>
      <c r="H172" s="1256"/>
      <c r="I172" s="1256"/>
      <c r="J172" s="1256"/>
      <c r="K172" s="1256"/>
      <c r="L172" s="1256"/>
      <c r="M172" s="1256"/>
      <c r="N172" s="1256"/>
      <c r="O172" s="1254"/>
    </row>
    <row r="173" spans="1:15" x14ac:dyDescent="0.25">
      <c r="A173" s="1259"/>
      <c r="B173" s="1256"/>
      <c r="C173" s="1256"/>
      <c r="D173" s="1256"/>
      <c r="E173" s="1256"/>
      <c r="F173" s="1256"/>
      <c r="G173" s="1256"/>
      <c r="H173" s="1256"/>
      <c r="I173" s="1256"/>
      <c r="J173" s="1256"/>
      <c r="K173" s="1256"/>
      <c r="L173" s="1256"/>
      <c r="M173" s="1256"/>
      <c r="N173" s="1256"/>
      <c r="O173" s="1254"/>
    </row>
    <row r="174" spans="1:15" x14ac:dyDescent="0.25">
      <c r="A174" s="1259"/>
      <c r="B174" s="1256"/>
      <c r="C174" s="1256"/>
      <c r="D174" s="1256"/>
      <c r="E174" s="1256"/>
      <c r="F174" s="1256"/>
      <c r="G174" s="1256"/>
      <c r="H174" s="1256"/>
      <c r="I174" s="1256"/>
      <c r="J174" s="1256"/>
      <c r="K174" s="1256"/>
      <c r="L174" s="1256"/>
      <c r="M174" s="1256"/>
      <c r="N174" s="1256"/>
      <c r="O174" s="1254"/>
    </row>
    <row r="175" spans="1:15" ht="15.75" thickBot="1" x14ac:dyDescent="0.3">
      <c r="A175" s="1253"/>
      <c r="B175" s="1252"/>
      <c r="C175" s="1252"/>
      <c r="D175" s="1252"/>
      <c r="E175" s="1252"/>
      <c r="F175" s="1252"/>
      <c r="G175" s="1252"/>
      <c r="H175" s="1252"/>
      <c r="I175" s="1252"/>
      <c r="J175" s="1252"/>
      <c r="K175" s="1252"/>
      <c r="L175" s="1252"/>
      <c r="M175" s="1252"/>
      <c r="N175" s="1252"/>
      <c r="O175" s="1251"/>
    </row>
    <row r="176" spans="1:15" ht="15.75" thickBot="1" x14ac:dyDescent="0.3">
      <c r="A176" s="1302"/>
      <c r="B176" s="1302"/>
      <c r="C176" s="1302"/>
      <c r="D176" s="1302"/>
      <c r="E176" s="1302"/>
      <c r="F176" s="1302"/>
      <c r="G176" s="1302"/>
      <c r="H176" s="1302"/>
      <c r="I176" s="1302"/>
      <c r="J176" s="1302"/>
      <c r="K176" s="1302"/>
      <c r="L176" s="1302"/>
      <c r="M176" s="1302"/>
      <c r="N176" s="1302"/>
      <c r="O176" s="1302"/>
    </row>
    <row r="177" spans="1:15" x14ac:dyDescent="0.25">
      <c r="A177" s="1301"/>
      <c r="B177" s="1300"/>
      <c r="C177" s="1300"/>
      <c r="D177" s="1300"/>
      <c r="E177" s="1300"/>
      <c r="F177" s="1300"/>
      <c r="G177" s="1300"/>
      <c r="H177" s="1300"/>
      <c r="I177" s="1300"/>
      <c r="J177" s="1300"/>
      <c r="K177" s="1300"/>
      <c r="L177" s="1300"/>
      <c r="M177" s="1300"/>
      <c r="N177" s="1300"/>
      <c r="O177" s="1299"/>
    </row>
    <row r="178" spans="1:15" x14ac:dyDescent="0.25">
      <c r="A178" s="1263" t="s">
        <v>57</v>
      </c>
      <c r="B178" s="1294" t="s">
        <v>523</v>
      </c>
      <c r="C178" s="1255"/>
      <c r="D178" s="1255"/>
      <c r="E178" s="1255"/>
      <c r="F178" s="1255"/>
      <c r="G178" s="1255"/>
      <c r="H178" s="1255"/>
      <c r="I178" s="1255"/>
      <c r="J178" s="1327" t="s">
        <v>51</v>
      </c>
      <c r="K178" s="1298">
        <v>81</v>
      </c>
      <c r="L178" s="1255"/>
      <c r="M178" s="1263" t="s">
        <v>113</v>
      </c>
      <c r="N178" s="1273">
        <f>N188+I193</f>
        <v>1.2486790400000001</v>
      </c>
      <c r="O178" s="1254"/>
    </row>
    <row r="179" spans="1:15" x14ac:dyDescent="0.25">
      <c r="A179" s="1263" t="s">
        <v>125</v>
      </c>
      <c r="B179" s="1297" t="s">
        <v>2210</v>
      </c>
      <c r="C179" s="1255"/>
      <c r="D179" s="1263" t="s">
        <v>122</v>
      </c>
      <c r="E179" s="1326" t="s">
        <v>522</v>
      </c>
      <c r="F179" s="1255"/>
      <c r="G179" s="1255"/>
      <c r="H179" s="1255"/>
      <c r="I179" s="1255"/>
      <c r="J179" s="1255"/>
      <c r="K179" s="1255"/>
      <c r="L179" s="1255"/>
      <c r="M179" s="1263" t="s">
        <v>124</v>
      </c>
      <c r="N179" s="1298">
        <v>2</v>
      </c>
      <c r="O179" s="1254"/>
    </row>
    <row r="180" spans="1:15" x14ac:dyDescent="0.25">
      <c r="A180" s="1263" t="s">
        <v>123</v>
      </c>
      <c r="B180" s="1326" t="str">
        <f>HYPERLINK("#MS_A0002",'MS Assemblies'!B52)</f>
        <v>Harness</v>
      </c>
      <c r="C180" s="1255"/>
      <c r="D180" s="1263" t="s">
        <v>119</v>
      </c>
      <c r="E180" s="1255"/>
      <c r="F180" s="1255"/>
      <c r="G180" s="1255"/>
      <c r="H180" s="1255"/>
      <c r="I180" s="1255"/>
      <c r="J180" s="1325" t="s">
        <v>122</v>
      </c>
      <c r="K180" s="1255"/>
      <c r="L180" s="1255"/>
      <c r="M180" s="1255"/>
      <c r="N180" s="1255"/>
      <c r="O180" s="1254"/>
    </row>
    <row r="181" spans="1:15" x14ac:dyDescent="0.25">
      <c r="A181" s="1263" t="s">
        <v>114</v>
      </c>
      <c r="B181" s="1296" t="s">
        <v>2314</v>
      </c>
      <c r="C181" s="1255"/>
      <c r="D181" s="1263" t="s">
        <v>116</v>
      </c>
      <c r="E181" s="1255"/>
      <c r="F181" s="1255"/>
      <c r="G181" s="1255"/>
      <c r="H181" s="1255"/>
      <c r="I181" s="1255"/>
      <c r="J181" s="1325" t="s">
        <v>119</v>
      </c>
      <c r="K181" s="1255"/>
      <c r="L181" s="1255"/>
      <c r="M181" s="1263" t="s">
        <v>118</v>
      </c>
      <c r="N181" s="1273">
        <f>N179*N178</f>
        <v>2.4973580800000001</v>
      </c>
      <c r="O181" s="1254"/>
    </row>
    <row r="182" spans="1:15" x14ac:dyDescent="0.25">
      <c r="A182" s="1263" t="s">
        <v>121</v>
      </c>
      <c r="B182" s="1296" t="s">
        <v>2313</v>
      </c>
      <c r="C182" s="1255"/>
      <c r="D182" s="1255"/>
      <c r="E182" s="1255"/>
      <c r="F182" s="1255"/>
      <c r="G182" s="1255"/>
      <c r="H182" s="1255"/>
      <c r="I182" s="1255"/>
      <c r="J182" s="1325" t="s">
        <v>116</v>
      </c>
      <c r="K182" s="1255"/>
      <c r="L182" s="1255"/>
      <c r="M182" s="1255"/>
      <c r="N182" s="1255"/>
      <c r="O182" s="1254"/>
    </row>
    <row r="183" spans="1:15" x14ac:dyDescent="0.25">
      <c r="A183" s="1263" t="s">
        <v>117</v>
      </c>
      <c r="B183" s="1294" t="s">
        <v>23</v>
      </c>
      <c r="C183" s="1255"/>
      <c r="D183" s="1255"/>
      <c r="E183" s="1255"/>
      <c r="F183" s="1255"/>
      <c r="G183" s="1255"/>
      <c r="H183" s="1255"/>
      <c r="I183" s="1255"/>
      <c r="J183" s="1255"/>
      <c r="K183" s="1255"/>
      <c r="L183" s="1255"/>
      <c r="M183" s="1255"/>
      <c r="N183" s="1255"/>
      <c r="O183" s="1254"/>
    </row>
    <row r="184" spans="1:15" x14ac:dyDescent="0.25">
      <c r="A184" s="1263" t="s">
        <v>115</v>
      </c>
      <c r="B184" s="1294" t="s">
        <v>2312</v>
      </c>
      <c r="C184" s="1255"/>
      <c r="D184" s="1255"/>
      <c r="E184" s="1255"/>
      <c r="F184" s="1255"/>
      <c r="G184" s="1255"/>
      <c r="H184" s="1255"/>
      <c r="I184" s="1255"/>
      <c r="J184" s="1255"/>
      <c r="K184" s="1255"/>
      <c r="L184" s="1255"/>
      <c r="M184" s="1255"/>
      <c r="N184" s="1255"/>
      <c r="O184" s="1254"/>
    </row>
    <row r="185" spans="1:15" x14ac:dyDescent="0.25">
      <c r="A185" s="1324"/>
      <c r="B185" s="1323"/>
      <c r="C185" s="1323"/>
      <c r="D185" s="1323"/>
      <c r="E185" s="1323"/>
      <c r="F185" s="1255"/>
      <c r="G185" s="1255"/>
      <c r="H185" s="1255"/>
      <c r="I185" s="1255"/>
      <c r="J185" s="1255"/>
      <c r="K185" s="1255"/>
      <c r="L185" s="1255"/>
      <c r="M185" s="1255"/>
      <c r="N185" s="1255"/>
      <c r="O185" s="1254"/>
    </row>
    <row r="186" spans="1:15" x14ac:dyDescent="0.25">
      <c r="A186" s="1322" t="s">
        <v>67</v>
      </c>
      <c r="B186" s="1321" t="s">
        <v>112</v>
      </c>
      <c r="C186" s="1321" t="s">
        <v>66</v>
      </c>
      <c r="D186" s="1321" t="s">
        <v>65</v>
      </c>
      <c r="E186" s="1321" t="s">
        <v>81</v>
      </c>
      <c r="F186" s="1263" t="s">
        <v>80</v>
      </c>
      <c r="G186" s="1263" t="s">
        <v>79</v>
      </c>
      <c r="H186" s="1263" t="s">
        <v>78</v>
      </c>
      <c r="I186" s="1263" t="s">
        <v>111</v>
      </c>
      <c r="J186" s="1263" t="s">
        <v>110</v>
      </c>
      <c r="K186" s="1263" t="s">
        <v>109</v>
      </c>
      <c r="L186" s="1263" t="s">
        <v>108</v>
      </c>
      <c r="M186" s="1263" t="s">
        <v>40</v>
      </c>
      <c r="N186" s="1263" t="s">
        <v>58</v>
      </c>
      <c r="O186" s="1254"/>
    </row>
    <row r="187" spans="1:15" ht="30" x14ac:dyDescent="0.25">
      <c r="A187" s="1286">
        <v>10</v>
      </c>
      <c r="B187" s="1320" t="s">
        <v>519</v>
      </c>
      <c r="C187" s="1286" t="s">
        <v>682</v>
      </c>
      <c r="D187" s="1261">
        <v>2.25</v>
      </c>
      <c r="E187" s="1286">
        <v>36</v>
      </c>
      <c r="F187" s="1286" t="s">
        <v>68</v>
      </c>
      <c r="G187" s="1286">
        <v>4</v>
      </c>
      <c r="H187" s="1320" t="s">
        <v>68</v>
      </c>
      <c r="I187" s="1319" t="s">
        <v>2311</v>
      </c>
      <c r="J187" s="1318">
        <f>(E187*10^-3)*(G187*10^-3)</f>
        <v>1.4400000000000003E-4</v>
      </c>
      <c r="K187" s="1317">
        <v>3.5999999999999997E-2</v>
      </c>
      <c r="L187" s="1316">
        <v>7860</v>
      </c>
      <c r="M187" s="1265">
        <v>1</v>
      </c>
      <c r="N187" s="1261">
        <f>IF(J187="",D187*M187,D187*J187*K187*L187*M187)</f>
        <v>9.1679040000000017E-2</v>
      </c>
      <c r="O187" s="1281"/>
    </row>
    <row r="188" spans="1:15" x14ac:dyDescent="0.25">
      <c r="A188" s="1259"/>
      <c r="B188" s="1256"/>
      <c r="C188" s="1256" t="s">
        <v>2197</v>
      </c>
      <c r="D188" s="1256"/>
      <c r="E188" s="1256"/>
      <c r="F188" s="1256"/>
      <c r="G188" s="1256"/>
      <c r="H188" s="1256"/>
      <c r="I188" s="1256"/>
      <c r="J188" s="1256"/>
      <c r="K188" s="1256"/>
      <c r="L188" s="1256"/>
      <c r="M188" s="1258" t="s">
        <v>58</v>
      </c>
      <c r="N188" s="1305">
        <f>SUM(N187:N187)</f>
        <v>9.1679040000000017E-2</v>
      </c>
      <c r="O188" s="1254"/>
    </row>
    <row r="189" spans="1:15" x14ac:dyDescent="0.25">
      <c r="A189" s="1264"/>
      <c r="B189" s="1255"/>
      <c r="C189" s="1255"/>
      <c r="D189" s="1255"/>
      <c r="E189" s="1255"/>
      <c r="F189" s="1255"/>
      <c r="G189" s="1255"/>
      <c r="H189" s="1255"/>
      <c r="I189" s="1255"/>
      <c r="J189" s="1255"/>
      <c r="K189" s="1255"/>
      <c r="L189" s="1255"/>
      <c r="M189" s="1255"/>
      <c r="N189" s="1255"/>
      <c r="O189" s="1254"/>
    </row>
    <row r="190" spans="1:15" x14ac:dyDescent="0.25">
      <c r="A190" s="1263" t="s">
        <v>67</v>
      </c>
      <c r="B190" s="1263" t="s">
        <v>106</v>
      </c>
      <c r="C190" s="1263" t="s">
        <v>66</v>
      </c>
      <c r="D190" s="1263" t="s">
        <v>65</v>
      </c>
      <c r="E190" s="1263" t="s">
        <v>64</v>
      </c>
      <c r="F190" s="1263" t="s">
        <v>40</v>
      </c>
      <c r="G190" s="1263" t="s">
        <v>105</v>
      </c>
      <c r="H190" s="1263" t="s">
        <v>104</v>
      </c>
      <c r="I190" s="1263" t="s">
        <v>58</v>
      </c>
      <c r="J190" s="1315"/>
      <c r="K190" s="1315"/>
      <c r="L190" s="1315"/>
      <c r="M190" s="1315"/>
      <c r="N190" s="1315"/>
      <c r="O190" s="1269"/>
    </row>
    <row r="191" spans="1:15" ht="30" x14ac:dyDescent="0.25">
      <c r="A191" s="1314">
        <v>10</v>
      </c>
      <c r="B191" s="1272" t="s">
        <v>516</v>
      </c>
      <c r="C191" s="1314" t="s">
        <v>802</v>
      </c>
      <c r="D191" s="1313">
        <v>1.3</v>
      </c>
      <c r="E191" s="1272" t="s">
        <v>64</v>
      </c>
      <c r="F191" s="1314">
        <v>1</v>
      </c>
      <c r="G191" s="1314" t="s">
        <v>2269</v>
      </c>
      <c r="H191" s="1314">
        <v>0.5</v>
      </c>
      <c r="I191" s="1313">
        <f>IF(H191="",D191*F191,D191*F191*H191)</f>
        <v>0.65</v>
      </c>
      <c r="J191" s="1255"/>
      <c r="K191" s="1255"/>
      <c r="L191" s="1255"/>
      <c r="M191" s="1255"/>
      <c r="N191" s="1255"/>
      <c r="O191" s="1254"/>
    </row>
    <row r="192" spans="1:15" x14ac:dyDescent="0.25">
      <c r="A192" s="1262">
        <v>20</v>
      </c>
      <c r="B192" s="1272" t="s">
        <v>541</v>
      </c>
      <c r="C192" s="1262" t="s">
        <v>2298</v>
      </c>
      <c r="D192" s="1261">
        <v>0.01</v>
      </c>
      <c r="E192" s="1262" t="s">
        <v>101</v>
      </c>
      <c r="F192" s="1292">
        <v>16.899999999999999</v>
      </c>
      <c r="G192" s="1272" t="s">
        <v>695</v>
      </c>
      <c r="H192" s="1270">
        <v>3</v>
      </c>
      <c r="I192" s="1261">
        <f>IF(H192="",D192*F192,D192*F192*H192)</f>
        <v>0.5069999999999999</v>
      </c>
      <c r="J192" s="1260"/>
      <c r="K192" s="1260"/>
      <c r="L192" s="1260"/>
      <c r="M192" s="1260"/>
      <c r="N192" s="1260"/>
      <c r="O192" s="1271"/>
    </row>
    <row r="193" spans="1:15" x14ac:dyDescent="0.25">
      <c r="A193" s="1259"/>
      <c r="B193" s="1256"/>
      <c r="C193" s="1256"/>
      <c r="D193" s="1256"/>
      <c r="E193" s="1256"/>
      <c r="F193" s="1256"/>
      <c r="G193" s="1256"/>
      <c r="H193" s="1306" t="s">
        <v>58</v>
      </c>
      <c r="I193" s="1305">
        <f>SUM(I191:I192)</f>
        <v>1.157</v>
      </c>
      <c r="J193" s="1256"/>
      <c r="K193" s="1256"/>
      <c r="L193" s="1256"/>
      <c r="M193" s="1256"/>
      <c r="N193" s="1256"/>
      <c r="O193" s="1254"/>
    </row>
    <row r="194" spans="1:15" x14ac:dyDescent="0.25">
      <c r="A194" s="1259"/>
      <c r="B194" s="1256"/>
      <c r="C194" s="1256"/>
      <c r="D194" s="1256"/>
      <c r="E194" s="1256"/>
      <c r="F194" s="1256"/>
      <c r="G194" s="1256"/>
      <c r="H194" s="1256"/>
      <c r="I194" s="1256"/>
      <c r="J194" s="1256"/>
      <c r="K194" s="1256"/>
      <c r="L194" s="1256"/>
      <c r="M194" s="1256"/>
      <c r="N194" s="1256"/>
      <c r="O194" s="1254"/>
    </row>
    <row r="195" spans="1:15" x14ac:dyDescent="0.25">
      <c r="A195" s="1259"/>
      <c r="B195" s="1256"/>
      <c r="C195" s="1256"/>
      <c r="D195" s="1256"/>
      <c r="E195" s="1256"/>
      <c r="F195" s="1256"/>
      <c r="G195" s="1256"/>
      <c r="H195" s="1256"/>
      <c r="I195" s="1256"/>
      <c r="J195" s="1256"/>
      <c r="K195" s="1256"/>
      <c r="L195" s="1256"/>
      <c r="M195" s="1256"/>
      <c r="N195" s="1256"/>
      <c r="O195" s="1254"/>
    </row>
    <row r="196" spans="1:15" x14ac:dyDescent="0.25">
      <c r="A196" s="1259"/>
      <c r="B196" s="1256"/>
      <c r="C196" s="1256"/>
      <c r="D196" s="1256"/>
      <c r="E196" s="1256"/>
      <c r="F196" s="1256"/>
      <c r="G196" s="1256"/>
      <c r="H196" s="1256"/>
      <c r="I196" s="1256"/>
      <c r="J196" s="1256"/>
      <c r="K196" s="1256"/>
      <c r="L196" s="1256"/>
      <c r="M196" s="1256"/>
      <c r="N196" s="1256"/>
      <c r="O196" s="1254"/>
    </row>
    <row r="197" spans="1:15" x14ac:dyDescent="0.25">
      <c r="A197" s="1259"/>
      <c r="B197" s="1256"/>
      <c r="C197" s="1256"/>
      <c r="D197" s="1256"/>
      <c r="E197" s="1256"/>
      <c r="F197" s="1256"/>
      <c r="G197" s="1256"/>
      <c r="H197" s="1256"/>
      <c r="I197" s="1256"/>
      <c r="J197" s="1256"/>
      <c r="K197" s="1256"/>
      <c r="L197" s="1256"/>
      <c r="M197" s="1256"/>
      <c r="N197" s="1256"/>
      <c r="O197" s="1254"/>
    </row>
    <row r="198" spans="1:15" ht="15.75" thickBot="1" x14ac:dyDescent="0.3">
      <c r="A198" s="1253"/>
      <c r="B198" s="1252"/>
      <c r="C198" s="1252"/>
      <c r="D198" s="1252"/>
      <c r="E198" s="1252"/>
      <c r="F198" s="1252"/>
      <c r="G198" s="1252"/>
      <c r="H198" s="1252"/>
      <c r="I198" s="1252"/>
      <c r="J198" s="1252"/>
      <c r="K198" s="1252"/>
      <c r="L198" s="1252"/>
      <c r="M198" s="1252"/>
      <c r="N198" s="1252"/>
      <c r="O198" s="1251"/>
    </row>
    <row r="199" spans="1:15" ht="15.75" thickBot="1" x14ac:dyDescent="0.3">
      <c r="A199" s="1302"/>
      <c r="B199" s="1302"/>
      <c r="C199" s="1302"/>
      <c r="D199" s="1302"/>
      <c r="E199" s="1302"/>
      <c r="F199" s="1302"/>
      <c r="G199" s="1302"/>
      <c r="H199" s="1302"/>
      <c r="I199" s="1302"/>
      <c r="J199" s="1302"/>
      <c r="K199" s="1302"/>
      <c r="L199" s="1302"/>
      <c r="M199" s="1302"/>
      <c r="N199" s="1302"/>
      <c r="O199" s="1302"/>
    </row>
    <row r="200" spans="1:15" x14ac:dyDescent="0.25">
      <c r="A200" s="1301"/>
      <c r="B200" s="1300"/>
      <c r="C200" s="1300"/>
      <c r="D200" s="1300"/>
      <c r="E200" s="1300"/>
      <c r="F200" s="1300"/>
      <c r="G200" s="1300"/>
      <c r="H200" s="1300"/>
      <c r="I200" s="1300"/>
      <c r="J200" s="1300"/>
      <c r="K200" s="1300"/>
      <c r="L200" s="1300"/>
      <c r="M200" s="1300"/>
      <c r="N200" s="1300"/>
      <c r="O200" s="1299"/>
    </row>
    <row r="201" spans="1:15" x14ac:dyDescent="0.25">
      <c r="A201" s="1263" t="s">
        <v>57</v>
      </c>
      <c r="B201" s="1294" t="s">
        <v>523</v>
      </c>
      <c r="C201" s="1255"/>
      <c r="D201" s="1255"/>
      <c r="E201" s="1255"/>
      <c r="F201" s="1255"/>
      <c r="G201" s="1255"/>
      <c r="H201" s="1255"/>
      <c r="I201" s="1255"/>
      <c r="J201" s="1327" t="s">
        <v>51</v>
      </c>
      <c r="K201" s="1298">
        <v>81</v>
      </c>
      <c r="L201" s="1255"/>
      <c r="M201" s="1263" t="s">
        <v>113</v>
      </c>
      <c r="N201" s="1273">
        <f>N211+I218</f>
        <v>8.0538755999999996</v>
      </c>
      <c r="O201" s="1254"/>
    </row>
    <row r="202" spans="1:15" x14ac:dyDescent="0.25">
      <c r="A202" s="1263" t="s">
        <v>125</v>
      </c>
      <c r="B202" s="1297" t="s">
        <v>2210</v>
      </c>
      <c r="C202" s="1255"/>
      <c r="D202" s="1263" t="s">
        <v>122</v>
      </c>
      <c r="E202" s="1326" t="s">
        <v>522</v>
      </c>
      <c r="F202" s="1255"/>
      <c r="G202" s="1255"/>
      <c r="H202" s="1255"/>
      <c r="I202" s="1255"/>
      <c r="J202" s="1255"/>
      <c r="K202" s="1255"/>
      <c r="L202" s="1255"/>
      <c r="M202" s="1263" t="s">
        <v>124</v>
      </c>
      <c r="N202" s="1298">
        <v>1</v>
      </c>
      <c r="O202" s="1254"/>
    </row>
    <row r="203" spans="1:15" x14ac:dyDescent="0.25">
      <c r="A203" s="1263" t="s">
        <v>123</v>
      </c>
      <c r="B203" s="1326" t="str">
        <f>HYPERLINK("#MS_A0003",'MS Assemblies'!B95)</f>
        <v>Headrest</v>
      </c>
      <c r="C203" s="1255"/>
      <c r="D203" s="1263" t="s">
        <v>119</v>
      </c>
      <c r="E203" s="1255"/>
      <c r="F203" s="1255"/>
      <c r="G203" s="1255"/>
      <c r="H203" s="1255"/>
      <c r="I203" s="1255"/>
      <c r="J203" s="1325" t="s">
        <v>122</v>
      </c>
      <c r="K203" s="1255"/>
      <c r="L203" s="1255"/>
      <c r="M203" s="1255"/>
      <c r="N203" s="1255"/>
      <c r="O203" s="1254"/>
    </row>
    <row r="204" spans="1:15" x14ac:dyDescent="0.25">
      <c r="A204" s="1263" t="s">
        <v>114</v>
      </c>
      <c r="B204" s="1296" t="s">
        <v>2310</v>
      </c>
      <c r="C204" s="1255"/>
      <c r="D204" s="1263" t="s">
        <v>116</v>
      </c>
      <c r="E204" s="1255"/>
      <c r="F204" s="1255"/>
      <c r="G204" s="1255"/>
      <c r="H204" s="1255"/>
      <c r="I204" s="1255"/>
      <c r="J204" s="1325" t="s">
        <v>119</v>
      </c>
      <c r="K204" s="1255"/>
      <c r="L204" s="1255"/>
      <c r="M204" s="1263" t="s">
        <v>118</v>
      </c>
      <c r="N204" s="1273">
        <f>N202*N201</f>
        <v>8.0538755999999996</v>
      </c>
      <c r="O204" s="1254"/>
    </row>
    <row r="205" spans="1:15" x14ac:dyDescent="0.25">
      <c r="A205" s="1263" t="s">
        <v>121</v>
      </c>
      <c r="B205" s="1296" t="s">
        <v>2309</v>
      </c>
      <c r="C205" s="1255"/>
      <c r="D205" s="1255"/>
      <c r="E205" s="1255"/>
      <c r="F205" s="1255"/>
      <c r="G205" s="1255"/>
      <c r="H205" s="1255"/>
      <c r="I205" s="1255"/>
      <c r="J205" s="1325" t="s">
        <v>116</v>
      </c>
      <c r="K205" s="1255"/>
      <c r="L205" s="1255"/>
      <c r="M205" s="1255"/>
      <c r="N205" s="1255"/>
      <c r="O205" s="1254"/>
    </row>
    <row r="206" spans="1:15" x14ac:dyDescent="0.25">
      <c r="A206" s="1263" t="s">
        <v>117</v>
      </c>
      <c r="B206" s="1294" t="s">
        <v>23</v>
      </c>
      <c r="C206" s="1255"/>
      <c r="D206" s="1255"/>
      <c r="E206" s="1255"/>
      <c r="F206" s="1255"/>
      <c r="G206" s="1255"/>
      <c r="H206" s="1255"/>
      <c r="I206" s="1255"/>
      <c r="J206" s="1255"/>
      <c r="K206" s="1255"/>
      <c r="L206" s="1255"/>
      <c r="M206" s="1255"/>
      <c r="N206" s="1255"/>
      <c r="O206" s="1254"/>
    </row>
    <row r="207" spans="1:15" x14ac:dyDescent="0.25">
      <c r="A207" s="1263" t="s">
        <v>115</v>
      </c>
      <c r="B207" s="1294" t="s">
        <v>2308</v>
      </c>
      <c r="C207" s="1255"/>
      <c r="D207" s="1255"/>
      <c r="E207" s="1255"/>
      <c r="F207" s="1255"/>
      <c r="G207" s="1255"/>
      <c r="H207" s="1255"/>
      <c r="I207" s="1255"/>
      <c r="J207" s="1255"/>
      <c r="K207" s="1255"/>
      <c r="L207" s="1255"/>
      <c r="M207" s="1255"/>
      <c r="N207" s="1255"/>
      <c r="O207" s="1254"/>
    </row>
    <row r="208" spans="1:15" x14ac:dyDescent="0.25">
      <c r="A208" s="1324"/>
      <c r="B208" s="1323"/>
      <c r="C208" s="1323"/>
      <c r="D208" s="1323"/>
      <c r="E208" s="1323"/>
      <c r="F208" s="1255"/>
      <c r="G208" s="1255"/>
      <c r="H208" s="1255"/>
      <c r="I208" s="1255"/>
      <c r="J208" s="1255"/>
      <c r="K208" s="1255"/>
      <c r="L208" s="1255"/>
      <c r="M208" s="1255"/>
      <c r="N208" s="1255"/>
      <c r="O208" s="1254"/>
    </row>
    <row r="209" spans="1:15" x14ac:dyDescent="0.25">
      <c r="A209" s="1322" t="s">
        <v>67</v>
      </c>
      <c r="B209" s="1321" t="s">
        <v>112</v>
      </c>
      <c r="C209" s="1321" t="s">
        <v>66</v>
      </c>
      <c r="D209" s="1321" t="s">
        <v>65</v>
      </c>
      <c r="E209" s="1321" t="s">
        <v>81</v>
      </c>
      <c r="F209" s="1263" t="s">
        <v>80</v>
      </c>
      <c r="G209" s="1263" t="s">
        <v>79</v>
      </c>
      <c r="H209" s="1263" t="s">
        <v>78</v>
      </c>
      <c r="I209" s="1263" t="s">
        <v>111</v>
      </c>
      <c r="J209" s="1263" t="s">
        <v>110</v>
      </c>
      <c r="K209" s="1263" t="s">
        <v>109</v>
      </c>
      <c r="L209" s="1263" t="s">
        <v>108</v>
      </c>
      <c r="M209" s="1263" t="s">
        <v>40</v>
      </c>
      <c r="N209" s="1263" t="s">
        <v>58</v>
      </c>
      <c r="O209" s="1254"/>
    </row>
    <row r="210" spans="1:15" ht="30" x14ac:dyDescent="0.25">
      <c r="A210" s="1286">
        <v>10</v>
      </c>
      <c r="B210" s="1320" t="s">
        <v>683</v>
      </c>
      <c r="C210" s="1286" t="s">
        <v>682</v>
      </c>
      <c r="D210" s="1261">
        <v>4.2</v>
      </c>
      <c r="E210" s="1286">
        <v>262</v>
      </c>
      <c r="F210" s="1286" t="s">
        <v>68</v>
      </c>
      <c r="G210" s="1286">
        <v>2</v>
      </c>
      <c r="H210" s="1320" t="s">
        <v>68</v>
      </c>
      <c r="I210" s="1319" t="s">
        <v>2307</v>
      </c>
      <c r="J210" s="1318">
        <f>(E210*10^-3)*(G210*10^-3)</f>
        <v>5.2400000000000005E-4</v>
      </c>
      <c r="K210" s="1317">
        <v>0.45</v>
      </c>
      <c r="L210" s="1316">
        <v>2710</v>
      </c>
      <c r="M210" s="1265">
        <v>1</v>
      </c>
      <c r="N210" s="1261">
        <f>IF(J210="",D210*M210,D210*J210*K210*L210*M210)</f>
        <v>2.6838755999999999</v>
      </c>
      <c r="O210" s="1281"/>
    </row>
    <row r="211" spans="1:15" x14ac:dyDescent="0.25">
      <c r="A211" s="1259"/>
      <c r="B211" s="1256"/>
      <c r="C211" s="1256" t="s">
        <v>2197</v>
      </c>
      <c r="D211" s="1256"/>
      <c r="E211" s="1256"/>
      <c r="F211" s="1256"/>
      <c r="G211" s="1256"/>
      <c r="H211" s="1256"/>
      <c r="I211" s="1256"/>
      <c r="J211" s="1256"/>
      <c r="K211" s="1256"/>
      <c r="L211" s="1256"/>
      <c r="M211" s="1258" t="s">
        <v>58</v>
      </c>
      <c r="N211" s="1305">
        <f>SUM(N210:N210)</f>
        <v>2.6838755999999999</v>
      </c>
      <c r="O211" s="1254"/>
    </row>
    <row r="212" spans="1:15" x14ac:dyDescent="0.25">
      <c r="A212" s="1264"/>
      <c r="B212" s="1255"/>
      <c r="C212" s="1255"/>
      <c r="D212" s="1255"/>
      <c r="E212" s="1255"/>
      <c r="F212" s="1255"/>
      <c r="G212" s="1255"/>
      <c r="H212" s="1255"/>
      <c r="I212" s="1255"/>
      <c r="J212" s="1255"/>
      <c r="K212" s="1255"/>
      <c r="L212" s="1255"/>
      <c r="M212" s="1255"/>
      <c r="N212" s="1255"/>
      <c r="O212" s="1254"/>
    </row>
    <row r="213" spans="1:15" x14ac:dyDescent="0.25">
      <c r="A213" s="1263" t="s">
        <v>67</v>
      </c>
      <c r="B213" s="1263" t="s">
        <v>106</v>
      </c>
      <c r="C213" s="1263" t="s">
        <v>66</v>
      </c>
      <c r="D213" s="1263" t="s">
        <v>65</v>
      </c>
      <c r="E213" s="1263" t="s">
        <v>64</v>
      </c>
      <c r="F213" s="1263" t="s">
        <v>40</v>
      </c>
      <c r="G213" s="1263" t="s">
        <v>105</v>
      </c>
      <c r="H213" s="1263" t="s">
        <v>104</v>
      </c>
      <c r="I213" s="1263" t="s">
        <v>58</v>
      </c>
      <c r="J213" s="1315"/>
      <c r="K213" s="1315"/>
      <c r="L213" s="1315"/>
      <c r="M213" s="1315"/>
      <c r="N213" s="1315"/>
      <c r="O213" s="1269"/>
    </row>
    <row r="214" spans="1:15" x14ac:dyDescent="0.25">
      <c r="A214" s="1314">
        <v>10</v>
      </c>
      <c r="B214" s="1272" t="s">
        <v>516</v>
      </c>
      <c r="C214" s="1314" t="s">
        <v>802</v>
      </c>
      <c r="D214" s="1313">
        <v>1.3</v>
      </c>
      <c r="E214" s="1272" t="s">
        <v>64</v>
      </c>
      <c r="F214" s="1314">
        <v>1</v>
      </c>
      <c r="G214" s="1314"/>
      <c r="H214" s="1314"/>
      <c r="I214" s="1313">
        <f>IF(H214="",D214*F214,D214*F214*H214)</f>
        <v>1.3</v>
      </c>
      <c r="J214" s="1255"/>
      <c r="K214" s="1255"/>
      <c r="L214" s="1255"/>
      <c r="M214" s="1255"/>
      <c r="N214" s="1255"/>
      <c r="O214" s="1254"/>
    </row>
    <row r="215" spans="1:15" x14ac:dyDescent="0.25">
      <c r="A215" s="1262">
        <v>20</v>
      </c>
      <c r="B215" s="1272" t="s">
        <v>541</v>
      </c>
      <c r="C215" s="1262" t="s">
        <v>834</v>
      </c>
      <c r="D215" s="1261">
        <v>0.01</v>
      </c>
      <c r="E215" s="1262" t="s">
        <v>101</v>
      </c>
      <c r="F215" s="1292">
        <v>217</v>
      </c>
      <c r="G215" s="1272" t="s">
        <v>870</v>
      </c>
      <c r="H215" s="1270">
        <v>1</v>
      </c>
      <c r="I215" s="1261">
        <f>IF(H215="",D215*F215,D215*F215*H215)</f>
        <v>2.17</v>
      </c>
      <c r="J215" s="1260"/>
      <c r="K215" s="1260"/>
      <c r="L215" s="1260"/>
      <c r="M215" s="1260"/>
      <c r="N215" s="1260"/>
      <c r="O215" s="1271"/>
    </row>
    <row r="216" spans="1:15" x14ac:dyDescent="0.25">
      <c r="A216" s="1270">
        <v>30</v>
      </c>
      <c r="B216" s="1272" t="s">
        <v>539</v>
      </c>
      <c r="C216" s="1270" t="s">
        <v>2306</v>
      </c>
      <c r="D216" s="1261">
        <v>0.25</v>
      </c>
      <c r="E216" s="1262" t="s">
        <v>537</v>
      </c>
      <c r="F216" s="1270">
        <v>2</v>
      </c>
      <c r="G216" s="1270"/>
      <c r="H216" s="1270"/>
      <c r="I216" s="1261">
        <f>IF(H216="",D216*F216,D216*F216*H216)</f>
        <v>0.5</v>
      </c>
      <c r="J216" s="1255"/>
      <c r="K216" s="1255"/>
      <c r="L216" s="1255"/>
      <c r="M216" s="1255"/>
      <c r="N216" s="1255"/>
      <c r="O216" s="1254"/>
    </row>
    <row r="217" spans="1:15" x14ac:dyDescent="0.25">
      <c r="A217" s="1270">
        <v>40</v>
      </c>
      <c r="B217" s="1272" t="s">
        <v>296</v>
      </c>
      <c r="C217" s="1270" t="s">
        <v>2267</v>
      </c>
      <c r="D217" s="1261">
        <v>0.35</v>
      </c>
      <c r="E217" s="1262" t="s">
        <v>294</v>
      </c>
      <c r="F217" s="1270">
        <v>4</v>
      </c>
      <c r="G217" s="1270"/>
      <c r="H217" s="1270"/>
      <c r="I217" s="1261">
        <f>IF(H217="",D217*F217,D217*F217*H217)</f>
        <v>1.4</v>
      </c>
      <c r="J217" s="1255"/>
      <c r="K217" s="1255"/>
      <c r="L217" s="1255"/>
      <c r="M217" s="1255"/>
      <c r="N217" s="1255"/>
      <c r="O217" s="1254"/>
    </row>
    <row r="218" spans="1:15" x14ac:dyDescent="0.25">
      <c r="A218" s="1259"/>
      <c r="B218" s="1256"/>
      <c r="C218" s="1256"/>
      <c r="D218" s="1256"/>
      <c r="E218" s="1256"/>
      <c r="F218" s="1256"/>
      <c r="G218" s="1256"/>
      <c r="H218" s="1306" t="s">
        <v>58</v>
      </c>
      <c r="I218" s="1305">
        <f>SUM(I214:I217)</f>
        <v>5.3699999999999992</v>
      </c>
      <c r="J218" s="1256"/>
      <c r="K218" s="1256"/>
      <c r="L218" s="1256"/>
      <c r="M218" s="1256"/>
      <c r="N218" s="1256"/>
      <c r="O218" s="1254"/>
    </row>
    <row r="219" spans="1:15" x14ac:dyDescent="0.25">
      <c r="A219" s="1259"/>
      <c r="B219" s="1256"/>
      <c r="C219" s="1256"/>
      <c r="D219" s="1256"/>
      <c r="E219" s="1256"/>
      <c r="F219" s="1256"/>
      <c r="G219" s="1256"/>
      <c r="H219" s="1256"/>
      <c r="I219" s="1256"/>
      <c r="J219" s="1256"/>
      <c r="K219" s="1256"/>
      <c r="L219" s="1256"/>
      <c r="M219" s="1256"/>
      <c r="N219" s="1256"/>
      <c r="O219" s="1254"/>
    </row>
    <row r="220" spans="1:15" x14ac:dyDescent="0.25">
      <c r="A220" s="1259"/>
      <c r="B220" s="1256"/>
      <c r="C220" s="1256"/>
      <c r="D220" s="1256"/>
      <c r="E220" s="1256"/>
      <c r="F220" s="1256"/>
      <c r="G220" s="1256"/>
      <c r="H220" s="1256"/>
      <c r="I220" s="1256"/>
      <c r="J220" s="1256"/>
      <c r="K220" s="1256"/>
      <c r="L220" s="1256"/>
      <c r="M220" s="1256"/>
      <c r="N220" s="1256"/>
      <c r="O220" s="1254"/>
    </row>
    <row r="221" spans="1:15" x14ac:dyDescent="0.25">
      <c r="A221" s="1259"/>
      <c r="B221" s="1256"/>
      <c r="C221" s="1256"/>
      <c r="D221" s="1256"/>
      <c r="E221" s="1256"/>
      <c r="F221" s="1256"/>
      <c r="G221" s="1256"/>
      <c r="H221" s="1256"/>
      <c r="I221" s="1256"/>
      <c r="J221" s="1256"/>
      <c r="K221" s="1256"/>
      <c r="L221" s="1256"/>
      <c r="M221" s="1256"/>
      <c r="N221" s="1256"/>
      <c r="O221" s="1254"/>
    </row>
    <row r="222" spans="1:15" x14ac:dyDescent="0.25">
      <c r="A222" s="1259"/>
      <c r="B222" s="1256"/>
      <c r="C222" s="1256"/>
      <c r="D222" s="1256"/>
      <c r="E222" s="1256"/>
      <c r="F222" s="1256"/>
      <c r="G222" s="1256"/>
      <c r="H222" s="1256"/>
      <c r="I222" s="1256"/>
      <c r="J222" s="1256"/>
      <c r="K222" s="1256"/>
      <c r="L222" s="1256"/>
      <c r="M222" s="1256"/>
      <c r="N222" s="1256"/>
      <c r="O222" s="1254"/>
    </row>
    <row r="223" spans="1:15" x14ac:dyDescent="0.25">
      <c r="A223" s="1259"/>
      <c r="B223" s="1256"/>
      <c r="C223" s="1256"/>
      <c r="D223" s="1256"/>
      <c r="E223" s="1256"/>
      <c r="F223" s="1256"/>
      <c r="G223" s="1256"/>
      <c r="H223" s="1256"/>
      <c r="I223" s="1256"/>
      <c r="J223" s="1256"/>
      <c r="K223" s="1256"/>
      <c r="L223" s="1256"/>
      <c r="M223" s="1256"/>
      <c r="N223" s="1256"/>
      <c r="O223" s="1254"/>
    </row>
    <row r="224" spans="1:15" ht="15.75" thickBot="1" x14ac:dyDescent="0.3">
      <c r="A224" s="1253"/>
      <c r="B224" s="1252"/>
      <c r="C224" s="1252"/>
      <c r="D224" s="1252"/>
      <c r="E224" s="1252"/>
      <c r="F224" s="1252"/>
      <c r="G224" s="1252"/>
      <c r="H224" s="1252"/>
      <c r="I224" s="1252"/>
      <c r="J224" s="1252"/>
      <c r="K224" s="1252"/>
      <c r="L224" s="1252"/>
      <c r="M224" s="1252"/>
      <c r="N224" s="1252"/>
      <c r="O224" s="1251"/>
    </row>
    <row r="225" spans="1:15" ht="15.75" thickBot="1" x14ac:dyDescent="0.3">
      <c r="A225" s="1302"/>
      <c r="B225" s="1302"/>
      <c r="C225" s="1302"/>
      <c r="D225" s="1302"/>
      <c r="E225" s="1302"/>
      <c r="F225" s="1302"/>
      <c r="G225" s="1302"/>
      <c r="H225" s="1302"/>
      <c r="I225" s="1302"/>
      <c r="J225" s="1302"/>
      <c r="K225" s="1302"/>
      <c r="L225" s="1302"/>
      <c r="M225" s="1302"/>
      <c r="N225" s="1302"/>
      <c r="O225" s="1302"/>
    </row>
    <row r="226" spans="1:15" x14ac:dyDescent="0.25">
      <c r="A226" s="1301"/>
      <c r="B226" s="1300"/>
      <c r="C226" s="1300"/>
      <c r="D226" s="1300"/>
      <c r="E226" s="1300"/>
      <c r="F226" s="1300"/>
      <c r="G226" s="1300"/>
      <c r="H226" s="1300"/>
      <c r="I226" s="1300"/>
      <c r="J226" s="1300"/>
      <c r="K226" s="1300"/>
      <c r="L226" s="1300"/>
      <c r="M226" s="1300"/>
      <c r="N226" s="1300"/>
      <c r="O226" s="1299"/>
    </row>
    <row r="227" spans="1:15" x14ac:dyDescent="0.25">
      <c r="A227" s="1263" t="s">
        <v>57</v>
      </c>
      <c r="B227" s="1294" t="s">
        <v>523</v>
      </c>
      <c r="C227" s="1255"/>
      <c r="D227" s="1255"/>
      <c r="E227" s="1255"/>
      <c r="F227" s="1255"/>
      <c r="G227" s="1255"/>
      <c r="H227" s="1255"/>
      <c r="I227" s="1255"/>
      <c r="J227" s="1327" t="s">
        <v>51</v>
      </c>
      <c r="K227" s="1298">
        <v>81</v>
      </c>
      <c r="L227" s="1255"/>
      <c r="M227" s="1263" t="s">
        <v>113</v>
      </c>
      <c r="N227" s="1273">
        <f>N237+I242</f>
        <v>0.96332825</v>
      </c>
      <c r="O227" s="1254"/>
    </row>
    <row r="228" spans="1:15" x14ac:dyDescent="0.25">
      <c r="A228" s="1263" t="s">
        <v>125</v>
      </c>
      <c r="B228" s="1297" t="s">
        <v>2210</v>
      </c>
      <c r="C228" s="1255"/>
      <c r="D228" s="1263" t="s">
        <v>122</v>
      </c>
      <c r="E228" s="1326" t="s">
        <v>522</v>
      </c>
      <c r="F228" s="1255"/>
      <c r="G228" s="1255"/>
      <c r="H228" s="1255"/>
      <c r="I228" s="1255"/>
      <c r="J228" s="1255"/>
      <c r="K228" s="1255"/>
      <c r="L228" s="1255"/>
      <c r="M228" s="1263" t="s">
        <v>124</v>
      </c>
      <c r="N228" s="1298">
        <v>2</v>
      </c>
      <c r="O228" s="1254"/>
    </row>
    <row r="229" spans="1:15" x14ac:dyDescent="0.25">
      <c r="A229" s="1263" t="s">
        <v>123</v>
      </c>
      <c r="B229" s="1326" t="str">
        <f>HYPERLINK("#MS_A0003",'MS Assemblies'!B95)</f>
        <v>Headrest</v>
      </c>
      <c r="C229" s="1255"/>
      <c r="D229" s="1263" t="s">
        <v>119</v>
      </c>
      <c r="E229" s="1255"/>
      <c r="F229" s="1255"/>
      <c r="G229" s="1255"/>
      <c r="H229" s="1255"/>
      <c r="I229" s="1255"/>
      <c r="J229" s="1325" t="s">
        <v>122</v>
      </c>
      <c r="K229" s="1255"/>
      <c r="L229" s="1255"/>
      <c r="M229" s="1255"/>
      <c r="N229" s="1255"/>
      <c r="O229" s="1254"/>
    </row>
    <row r="230" spans="1:15" x14ac:dyDescent="0.25">
      <c r="A230" s="1263" t="s">
        <v>114</v>
      </c>
      <c r="B230" s="1296" t="s">
        <v>2305</v>
      </c>
      <c r="C230" s="1255"/>
      <c r="D230" s="1263" t="s">
        <v>116</v>
      </c>
      <c r="E230" s="1255"/>
      <c r="F230" s="1255"/>
      <c r="G230" s="1255"/>
      <c r="H230" s="1255"/>
      <c r="I230" s="1255"/>
      <c r="J230" s="1325" t="s">
        <v>119</v>
      </c>
      <c r="K230" s="1255"/>
      <c r="L230" s="1255"/>
      <c r="M230" s="1263" t="s">
        <v>118</v>
      </c>
      <c r="N230" s="1273">
        <f>N228*N227</f>
        <v>1.9266565</v>
      </c>
      <c r="O230" s="1254"/>
    </row>
    <row r="231" spans="1:15" x14ac:dyDescent="0.25">
      <c r="A231" s="1263" t="s">
        <v>121</v>
      </c>
      <c r="B231" s="1296" t="s">
        <v>2304</v>
      </c>
      <c r="C231" s="1255"/>
      <c r="D231" s="1255"/>
      <c r="E231" s="1255"/>
      <c r="F231" s="1255"/>
      <c r="G231" s="1255"/>
      <c r="H231" s="1255"/>
      <c r="I231" s="1255"/>
      <c r="J231" s="1325" t="s">
        <v>116</v>
      </c>
      <c r="K231" s="1255"/>
      <c r="L231" s="1255"/>
      <c r="M231" s="1255"/>
      <c r="N231" s="1255"/>
      <c r="O231" s="1254"/>
    </row>
    <row r="232" spans="1:15" x14ac:dyDescent="0.25">
      <c r="A232" s="1263" t="s">
        <v>117</v>
      </c>
      <c r="B232" s="1294" t="s">
        <v>23</v>
      </c>
      <c r="C232" s="1255"/>
      <c r="D232" s="1255"/>
      <c r="E232" s="1255"/>
      <c r="F232" s="1255"/>
      <c r="G232" s="1255"/>
      <c r="H232" s="1255"/>
      <c r="I232" s="1255"/>
      <c r="J232" s="1255"/>
      <c r="K232" s="1255"/>
      <c r="L232" s="1255"/>
      <c r="M232" s="1255"/>
      <c r="N232" s="1255"/>
      <c r="O232" s="1254"/>
    </row>
    <row r="233" spans="1:15" x14ac:dyDescent="0.25">
      <c r="A233" s="1263" t="s">
        <v>115</v>
      </c>
      <c r="B233" s="1294" t="s">
        <v>2300</v>
      </c>
      <c r="C233" s="1255"/>
      <c r="D233" s="1255"/>
      <c r="E233" s="1255"/>
      <c r="F233" s="1255"/>
      <c r="G233" s="1255"/>
      <c r="H233" s="1255"/>
      <c r="I233" s="1255"/>
      <c r="J233" s="1255"/>
      <c r="K233" s="1255"/>
      <c r="L233" s="1255"/>
      <c r="M233" s="1255"/>
      <c r="N233" s="1255"/>
      <c r="O233" s="1254"/>
    </row>
    <row r="234" spans="1:15" x14ac:dyDescent="0.25">
      <c r="A234" s="1324"/>
      <c r="B234" s="1323"/>
      <c r="C234" s="1323"/>
      <c r="D234" s="1323"/>
      <c r="E234" s="1323"/>
      <c r="F234" s="1255"/>
      <c r="G234" s="1255"/>
      <c r="H234" s="1255"/>
      <c r="I234" s="1255"/>
      <c r="J234" s="1255"/>
      <c r="K234" s="1255"/>
      <c r="L234" s="1255"/>
      <c r="M234" s="1255"/>
      <c r="N234" s="1255"/>
      <c r="O234" s="1254"/>
    </row>
    <row r="235" spans="1:15" x14ac:dyDescent="0.25">
      <c r="A235" s="1322" t="s">
        <v>67</v>
      </c>
      <c r="B235" s="1321" t="s">
        <v>112</v>
      </c>
      <c r="C235" s="1321" t="s">
        <v>66</v>
      </c>
      <c r="D235" s="1321" t="s">
        <v>65</v>
      </c>
      <c r="E235" s="1321" t="s">
        <v>81</v>
      </c>
      <c r="F235" s="1263" t="s">
        <v>80</v>
      </c>
      <c r="G235" s="1263" t="s">
        <v>79</v>
      </c>
      <c r="H235" s="1263" t="s">
        <v>78</v>
      </c>
      <c r="I235" s="1263" t="s">
        <v>111</v>
      </c>
      <c r="J235" s="1263" t="s">
        <v>110</v>
      </c>
      <c r="K235" s="1263" t="s">
        <v>109</v>
      </c>
      <c r="L235" s="1263" t="s">
        <v>108</v>
      </c>
      <c r="M235" s="1263" t="s">
        <v>40</v>
      </c>
      <c r="N235" s="1263" t="s">
        <v>58</v>
      </c>
      <c r="O235" s="1254"/>
    </row>
    <row r="236" spans="1:15" ht="30" x14ac:dyDescent="0.25">
      <c r="A236" s="1286">
        <v>10</v>
      </c>
      <c r="B236" s="1320" t="s">
        <v>519</v>
      </c>
      <c r="C236" s="1286" t="s">
        <v>682</v>
      </c>
      <c r="D236" s="1261">
        <v>2.25</v>
      </c>
      <c r="E236" s="1286">
        <v>35</v>
      </c>
      <c r="F236" s="1286" t="s">
        <v>68</v>
      </c>
      <c r="G236" s="1286">
        <v>2</v>
      </c>
      <c r="H236" s="1320" t="s">
        <v>68</v>
      </c>
      <c r="I236" s="1319" t="s">
        <v>2303</v>
      </c>
      <c r="J236" s="1318">
        <f>(E236*10^-3)*(G236*10^-3)</f>
        <v>7.0000000000000007E-5</v>
      </c>
      <c r="K236" s="1317">
        <v>3.5000000000000003E-2</v>
      </c>
      <c r="L236" s="1316">
        <v>7860</v>
      </c>
      <c r="M236" s="1265">
        <v>1</v>
      </c>
      <c r="N236" s="1261">
        <f>IF(J236="",D236*M236,D236*J236*K236*L236*M236)</f>
        <v>4.3328250000000006E-2</v>
      </c>
      <c r="O236" s="1281"/>
    </row>
    <row r="237" spans="1:15" x14ac:dyDescent="0.25">
      <c r="A237" s="1259"/>
      <c r="B237" s="1256"/>
      <c r="C237" s="1256" t="s">
        <v>2197</v>
      </c>
      <c r="D237" s="1256"/>
      <c r="E237" s="1256"/>
      <c r="F237" s="1256"/>
      <c r="G237" s="1256"/>
      <c r="H237" s="1256"/>
      <c r="I237" s="1256"/>
      <c r="J237" s="1256"/>
      <c r="K237" s="1256"/>
      <c r="L237" s="1256"/>
      <c r="M237" s="1258" t="s">
        <v>58</v>
      </c>
      <c r="N237" s="1305">
        <f>SUM(N236:N236)</f>
        <v>4.3328250000000006E-2</v>
      </c>
      <c r="O237" s="1254"/>
    </row>
    <row r="238" spans="1:15" x14ac:dyDescent="0.25">
      <c r="A238" s="1264"/>
      <c r="B238" s="1255"/>
      <c r="C238" s="1255"/>
      <c r="D238" s="1255"/>
      <c r="E238" s="1255"/>
      <c r="F238" s="1255"/>
      <c r="G238" s="1255"/>
      <c r="H238" s="1255"/>
      <c r="I238" s="1255"/>
      <c r="J238" s="1255"/>
      <c r="K238" s="1255"/>
      <c r="L238" s="1255"/>
      <c r="M238" s="1255"/>
      <c r="N238" s="1255"/>
      <c r="O238" s="1254"/>
    </row>
    <row r="239" spans="1:15" x14ac:dyDescent="0.25">
      <c r="A239" s="1263" t="s">
        <v>67</v>
      </c>
      <c r="B239" s="1263" t="s">
        <v>106</v>
      </c>
      <c r="C239" s="1263" t="s">
        <v>66</v>
      </c>
      <c r="D239" s="1263" t="s">
        <v>65</v>
      </c>
      <c r="E239" s="1263" t="s">
        <v>64</v>
      </c>
      <c r="F239" s="1263" t="s">
        <v>40</v>
      </c>
      <c r="G239" s="1263" t="s">
        <v>105</v>
      </c>
      <c r="H239" s="1263" t="s">
        <v>104</v>
      </c>
      <c r="I239" s="1263" t="s">
        <v>58</v>
      </c>
      <c r="J239" s="1315"/>
      <c r="K239" s="1315"/>
      <c r="L239" s="1315"/>
      <c r="M239" s="1315"/>
      <c r="N239" s="1315"/>
      <c r="O239" s="1269"/>
    </row>
    <row r="240" spans="1:15" ht="30" x14ac:dyDescent="0.25">
      <c r="A240" s="1314">
        <v>10</v>
      </c>
      <c r="B240" s="1272" t="s">
        <v>516</v>
      </c>
      <c r="C240" s="1314" t="s">
        <v>802</v>
      </c>
      <c r="D240" s="1313">
        <v>1.3</v>
      </c>
      <c r="E240" s="1272" t="s">
        <v>64</v>
      </c>
      <c r="F240" s="1314">
        <v>1</v>
      </c>
      <c r="G240" s="1314" t="s">
        <v>2269</v>
      </c>
      <c r="H240" s="1314">
        <v>0.5</v>
      </c>
      <c r="I240" s="1313">
        <f>IF(H240="",D240*F240,D240*F240*H240)</f>
        <v>0.65</v>
      </c>
      <c r="J240" s="1255"/>
      <c r="K240" s="1255"/>
      <c r="L240" s="1255"/>
      <c r="M240" s="1255"/>
      <c r="N240" s="1255"/>
      <c r="O240" s="1254"/>
    </row>
    <row r="241" spans="1:15" x14ac:dyDescent="0.25">
      <c r="A241" s="1262">
        <v>20</v>
      </c>
      <c r="B241" s="1272" t="s">
        <v>541</v>
      </c>
      <c r="C241" s="1262" t="s">
        <v>2298</v>
      </c>
      <c r="D241" s="1261">
        <v>0.01</v>
      </c>
      <c r="E241" s="1262" t="s">
        <v>101</v>
      </c>
      <c r="F241" s="1292">
        <v>9</v>
      </c>
      <c r="G241" s="1272" t="s">
        <v>695</v>
      </c>
      <c r="H241" s="1270">
        <v>3</v>
      </c>
      <c r="I241" s="1261">
        <f>IF(H241="",D241*F241,D241*F241*H241)</f>
        <v>0.27</v>
      </c>
      <c r="J241" s="1260"/>
      <c r="K241" s="1260"/>
      <c r="L241" s="1260"/>
      <c r="M241" s="1260"/>
      <c r="N241" s="1260"/>
      <c r="O241" s="1271"/>
    </row>
    <row r="242" spans="1:15" x14ac:dyDescent="0.25">
      <c r="A242" s="1259"/>
      <c r="B242" s="1256"/>
      <c r="C242" s="1256"/>
      <c r="D242" s="1256"/>
      <c r="E242" s="1256"/>
      <c r="F242" s="1256"/>
      <c r="G242" s="1256"/>
      <c r="H242" s="1306" t="s">
        <v>58</v>
      </c>
      <c r="I242" s="1305">
        <f>SUM(I240:I241)</f>
        <v>0.92</v>
      </c>
      <c r="J242" s="1256"/>
      <c r="K242" s="1256"/>
      <c r="L242" s="1256"/>
      <c r="M242" s="1256"/>
      <c r="N242" s="1256"/>
      <c r="O242" s="1254"/>
    </row>
    <row r="243" spans="1:15" x14ac:dyDescent="0.25">
      <c r="A243" s="1259"/>
      <c r="B243" s="1256"/>
      <c r="C243" s="1256"/>
      <c r="D243" s="1256"/>
      <c r="E243" s="1256"/>
      <c r="F243" s="1256"/>
      <c r="G243" s="1256"/>
      <c r="H243" s="1256"/>
      <c r="I243" s="1256"/>
      <c r="J243" s="1256"/>
      <c r="K243" s="1256"/>
      <c r="L243" s="1256"/>
      <c r="M243" s="1256"/>
      <c r="N243" s="1256"/>
      <c r="O243" s="1254"/>
    </row>
    <row r="244" spans="1:15" x14ac:dyDescent="0.25">
      <c r="A244" s="1259"/>
      <c r="B244" s="1256"/>
      <c r="C244" s="1256"/>
      <c r="D244" s="1256"/>
      <c r="E244" s="1256"/>
      <c r="F244" s="1256"/>
      <c r="G244" s="1256"/>
      <c r="H244" s="1256"/>
      <c r="I244" s="1256"/>
      <c r="J244" s="1256"/>
      <c r="K244" s="1256"/>
      <c r="L244" s="1256"/>
      <c r="M244" s="1256"/>
      <c r="N244" s="1256"/>
      <c r="O244" s="1254"/>
    </row>
    <row r="245" spans="1:15" x14ac:dyDescent="0.25">
      <c r="A245" s="1259"/>
      <c r="B245" s="1256"/>
      <c r="C245" s="1256"/>
      <c r="D245" s="1256"/>
      <c r="E245" s="1256"/>
      <c r="F245" s="1256"/>
      <c r="G245" s="1256"/>
      <c r="H245" s="1256"/>
      <c r="I245" s="1256"/>
      <c r="J245" s="1256"/>
      <c r="K245" s="1256"/>
      <c r="L245" s="1256"/>
      <c r="M245" s="1256"/>
      <c r="N245" s="1256"/>
      <c r="O245" s="1254"/>
    </row>
    <row r="246" spans="1:15" x14ac:dyDescent="0.25">
      <c r="A246" s="1259"/>
      <c r="B246" s="1256"/>
      <c r="C246" s="1256"/>
      <c r="D246" s="1256"/>
      <c r="E246" s="1256"/>
      <c r="F246" s="1256"/>
      <c r="G246" s="1256"/>
      <c r="H246" s="1256"/>
      <c r="I246" s="1256"/>
      <c r="J246" s="1256"/>
      <c r="K246" s="1256"/>
      <c r="L246" s="1256"/>
      <c r="M246" s="1256"/>
      <c r="N246" s="1256"/>
      <c r="O246" s="1254"/>
    </row>
    <row r="247" spans="1:15" x14ac:dyDescent="0.25">
      <c r="A247" s="1259"/>
      <c r="B247" s="1256"/>
      <c r="C247" s="1256"/>
      <c r="D247" s="1256"/>
      <c r="E247" s="1256"/>
      <c r="F247" s="1256"/>
      <c r="G247" s="1256"/>
      <c r="H247" s="1256"/>
      <c r="I247" s="1256"/>
      <c r="J247" s="1256"/>
      <c r="K247" s="1256"/>
      <c r="L247" s="1256"/>
      <c r="M247" s="1256"/>
      <c r="N247" s="1256"/>
      <c r="O247" s="1254"/>
    </row>
    <row r="248" spans="1:15" ht="15.75" thickBot="1" x14ac:dyDescent="0.3">
      <c r="A248" s="1253"/>
      <c r="B248" s="1252"/>
      <c r="C248" s="1252"/>
      <c r="D248" s="1252"/>
      <c r="E248" s="1252"/>
      <c r="F248" s="1252"/>
      <c r="G248" s="1252"/>
      <c r="H248" s="1252"/>
      <c r="I248" s="1252"/>
      <c r="J248" s="1252"/>
      <c r="K248" s="1252"/>
      <c r="L248" s="1252"/>
      <c r="M248" s="1252"/>
      <c r="N248" s="1252"/>
      <c r="O248" s="1251"/>
    </row>
    <row r="249" spans="1:15" ht="15.75" thickBot="1" x14ac:dyDescent="0.3">
      <c r="A249" s="1302"/>
      <c r="B249" s="1302"/>
      <c r="C249" s="1302"/>
      <c r="D249" s="1302"/>
      <c r="E249" s="1302"/>
      <c r="F249" s="1302"/>
      <c r="G249" s="1302"/>
      <c r="H249" s="1302"/>
      <c r="I249" s="1302"/>
      <c r="J249" s="1302"/>
      <c r="K249" s="1302"/>
      <c r="L249" s="1302"/>
      <c r="M249" s="1302"/>
      <c r="N249" s="1302"/>
      <c r="O249" s="1302"/>
    </row>
    <row r="250" spans="1:15" x14ac:dyDescent="0.25">
      <c r="A250" s="1301"/>
      <c r="B250" s="1300"/>
      <c r="C250" s="1300"/>
      <c r="D250" s="1300"/>
      <c r="E250" s="1300"/>
      <c r="F250" s="1300"/>
      <c r="G250" s="1300"/>
      <c r="H250" s="1300"/>
      <c r="I250" s="1300"/>
      <c r="J250" s="1300"/>
      <c r="K250" s="1300"/>
      <c r="L250" s="1300"/>
      <c r="M250" s="1300"/>
      <c r="N250" s="1300"/>
      <c r="O250" s="1299"/>
    </row>
    <row r="251" spans="1:15" x14ac:dyDescent="0.25">
      <c r="A251" s="1263" t="s">
        <v>57</v>
      </c>
      <c r="B251" s="1294" t="s">
        <v>523</v>
      </c>
      <c r="C251" s="1255"/>
      <c r="D251" s="1255"/>
      <c r="E251" s="1255"/>
      <c r="F251" s="1255"/>
      <c r="G251" s="1255"/>
      <c r="H251" s="1255"/>
      <c r="I251" s="1255"/>
      <c r="J251" s="1327" t="s">
        <v>51</v>
      </c>
      <c r="K251" s="1298">
        <v>81</v>
      </c>
      <c r="L251" s="1255"/>
      <c r="M251" s="1263" t="s">
        <v>113</v>
      </c>
      <c r="N251" s="1273">
        <f>N261+I266</f>
        <v>1.0195596800000002</v>
      </c>
      <c r="O251" s="1254"/>
    </row>
    <row r="252" spans="1:15" x14ac:dyDescent="0.25">
      <c r="A252" s="1263" t="s">
        <v>125</v>
      </c>
      <c r="B252" s="1297" t="s">
        <v>2210</v>
      </c>
      <c r="C252" s="1255"/>
      <c r="D252" s="1263" t="s">
        <v>122</v>
      </c>
      <c r="E252" s="1326" t="s">
        <v>522</v>
      </c>
      <c r="F252" s="1255"/>
      <c r="G252" s="1255"/>
      <c r="H252" s="1255"/>
      <c r="I252" s="1255"/>
      <c r="J252" s="1255"/>
      <c r="K252" s="1255"/>
      <c r="L252" s="1255"/>
      <c r="M252" s="1263" t="s">
        <v>124</v>
      </c>
      <c r="N252" s="1298">
        <v>2</v>
      </c>
      <c r="O252" s="1254"/>
    </row>
    <row r="253" spans="1:15" x14ac:dyDescent="0.25">
      <c r="A253" s="1263" t="s">
        <v>123</v>
      </c>
      <c r="B253" s="1326" t="str">
        <f>HYPERLINK("#MS_A0003",'MS Assemblies'!B95)</f>
        <v>Headrest</v>
      </c>
      <c r="C253" s="1255"/>
      <c r="D253" s="1263" t="s">
        <v>119</v>
      </c>
      <c r="E253" s="1255"/>
      <c r="F253" s="1255"/>
      <c r="G253" s="1255"/>
      <c r="H253" s="1255"/>
      <c r="I253" s="1255"/>
      <c r="J253" s="1325" t="s">
        <v>122</v>
      </c>
      <c r="K253" s="1255"/>
      <c r="L253" s="1255"/>
      <c r="M253" s="1255"/>
      <c r="N253" s="1255"/>
      <c r="O253" s="1254"/>
    </row>
    <row r="254" spans="1:15" x14ac:dyDescent="0.25">
      <c r="A254" s="1263" t="s">
        <v>114</v>
      </c>
      <c r="B254" s="1296" t="s">
        <v>2302</v>
      </c>
      <c r="C254" s="1255"/>
      <c r="D254" s="1263" t="s">
        <v>116</v>
      </c>
      <c r="E254" s="1255"/>
      <c r="F254" s="1255"/>
      <c r="G254" s="1255"/>
      <c r="H254" s="1255"/>
      <c r="I254" s="1255"/>
      <c r="J254" s="1325" t="s">
        <v>119</v>
      </c>
      <c r="K254" s="1255"/>
      <c r="L254" s="1255"/>
      <c r="M254" s="1263" t="s">
        <v>118</v>
      </c>
      <c r="N254" s="1273">
        <f>N252*N251</f>
        <v>2.0391193600000004</v>
      </c>
      <c r="O254" s="1254"/>
    </row>
    <row r="255" spans="1:15" x14ac:dyDescent="0.25">
      <c r="A255" s="1263" t="s">
        <v>121</v>
      </c>
      <c r="B255" s="1296" t="s">
        <v>2301</v>
      </c>
      <c r="C255" s="1255"/>
      <c r="D255" s="1255"/>
      <c r="E255" s="1255"/>
      <c r="F255" s="1255"/>
      <c r="G255" s="1255"/>
      <c r="H255" s="1255"/>
      <c r="I255" s="1255"/>
      <c r="J255" s="1325" t="s">
        <v>116</v>
      </c>
      <c r="K255" s="1255"/>
      <c r="L255" s="1255"/>
      <c r="M255" s="1255"/>
      <c r="N255" s="1255"/>
      <c r="O255" s="1254"/>
    </row>
    <row r="256" spans="1:15" x14ac:dyDescent="0.25">
      <c r="A256" s="1263" t="s">
        <v>117</v>
      </c>
      <c r="B256" s="1294" t="s">
        <v>23</v>
      </c>
      <c r="C256" s="1255"/>
      <c r="D256" s="1255"/>
      <c r="E256" s="1255"/>
      <c r="F256" s="1255"/>
      <c r="G256" s="1255"/>
      <c r="H256" s="1255"/>
      <c r="I256" s="1255"/>
      <c r="J256" s="1255"/>
      <c r="K256" s="1255"/>
      <c r="L256" s="1255"/>
      <c r="M256" s="1255"/>
      <c r="N256" s="1255"/>
      <c r="O256" s="1254"/>
    </row>
    <row r="257" spans="1:15" x14ac:dyDescent="0.25">
      <c r="A257" s="1263" t="s">
        <v>115</v>
      </c>
      <c r="B257" s="1294" t="s">
        <v>2300</v>
      </c>
      <c r="C257" s="1255"/>
      <c r="D257" s="1255"/>
      <c r="E257" s="1255"/>
      <c r="F257" s="1255"/>
      <c r="G257" s="1255"/>
      <c r="H257" s="1255"/>
      <c r="I257" s="1255"/>
      <c r="J257" s="1255"/>
      <c r="K257" s="1255"/>
      <c r="L257" s="1255"/>
      <c r="M257" s="1255"/>
      <c r="N257" s="1255"/>
      <c r="O257" s="1254"/>
    </row>
    <row r="258" spans="1:15" x14ac:dyDescent="0.25">
      <c r="A258" s="1324"/>
      <c r="B258" s="1323"/>
      <c r="C258" s="1323"/>
      <c r="D258" s="1323"/>
      <c r="E258" s="1323"/>
      <c r="F258" s="1255"/>
      <c r="G258" s="1255"/>
      <c r="H258" s="1255"/>
      <c r="I258" s="1255"/>
      <c r="J258" s="1255"/>
      <c r="K258" s="1255"/>
      <c r="L258" s="1255"/>
      <c r="M258" s="1255"/>
      <c r="N258" s="1255"/>
      <c r="O258" s="1254"/>
    </row>
    <row r="259" spans="1:15" x14ac:dyDescent="0.25">
      <c r="A259" s="1322" t="s">
        <v>67</v>
      </c>
      <c r="B259" s="1321" t="s">
        <v>112</v>
      </c>
      <c r="C259" s="1321" t="s">
        <v>66</v>
      </c>
      <c r="D259" s="1321" t="s">
        <v>65</v>
      </c>
      <c r="E259" s="1321" t="s">
        <v>81</v>
      </c>
      <c r="F259" s="1263" t="s">
        <v>80</v>
      </c>
      <c r="G259" s="1263" t="s">
        <v>79</v>
      </c>
      <c r="H259" s="1263" t="s">
        <v>78</v>
      </c>
      <c r="I259" s="1263" t="s">
        <v>111</v>
      </c>
      <c r="J259" s="1263" t="s">
        <v>110</v>
      </c>
      <c r="K259" s="1263" t="s">
        <v>109</v>
      </c>
      <c r="L259" s="1263" t="s">
        <v>108</v>
      </c>
      <c r="M259" s="1263" t="s">
        <v>40</v>
      </c>
      <c r="N259" s="1263" t="s">
        <v>58</v>
      </c>
      <c r="O259" s="1254"/>
    </row>
    <row r="260" spans="1:15" ht="30" x14ac:dyDescent="0.25">
      <c r="A260" s="1286">
        <v>10</v>
      </c>
      <c r="B260" s="1320" t="s">
        <v>519</v>
      </c>
      <c r="C260" s="1286" t="s">
        <v>682</v>
      </c>
      <c r="D260" s="1261">
        <v>2.25</v>
      </c>
      <c r="E260" s="1286">
        <v>27</v>
      </c>
      <c r="F260" s="1286" t="s">
        <v>68</v>
      </c>
      <c r="G260" s="1286">
        <v>2</v>
      </c>
      <c r="H260" s="1320" t="s">
        <v>68</v>
      </c>
      <c r="I260" s="1319" t="s">
        <v>2299</v>
      </c>
      <c r="J260" s="1318">
        <f>(E260*10^-3)*(G260*10^-3)</f>
        <v>5.3999999999999998E-5</v>
      </c>
      <c r="K260" s="1317">
        <v>3.2000000000000001E-2</v>
      </c>
      <c r="L260" s="1316">
        <v>7860</v>
      </c>
      <c r="M260" s="1265">
        <v>1</v>
      </c>
      <c r="N260" s="1261">
        <f>IF(J260="",D260*M260,D260*J260*K260*L260*M260)</f>
        <v>3.0559679999999999E-2</v>
      </c>
      <c r="O260" s="1281"/>
    </row>
    <row r="261" spans="1:15" x14ac:dyDescent="0.25">
      <c r="A261" s="1259"/>
      <c r="B261" s="1256"/>
      <c r="C261" s="1256" t="s">
        <v>2197</v>
      </c>
      <c r="D261" s="1256"/>
      <c r="E261" s="1256"/>
      <c r="F261" s="1256"/>
      <c r="G261" s="1256"/>
      <c r="H261" s="1256"/>
      <c r="I261" s="1256"/>
      <c r="J261" s="1256"/>
      <c r="K261" s="1256"/>
      <c r="L261" s="1256"/>
      <c r="M261" s="1258" t="s">
        <v>58</v>
      </c>
      <c r="N261" s="1305">
        <f>SUM(N260:N260)</f>
        <v>3.0559679999999999E-2</v>
      </c>
      <c r="O261" s="1254"/>
    </row>
    <row r="262" spans="1:15" x14ac:dyDescent="0.25">
      <c r="A262" s="1264"/>
      <c r="B262" s="1255"/>
      <c r="C262" s="1255"/>
      <c r="D262" s="1255"/>
      <c r="E262" s="1255"/>
      <c r="F262" s="1255"/>
      <c r="G262" s="1255"/>
      <c r="H262" s="1255"/>
      <c r="I262" s="1255"/>
      <c r="J262" s="1255"/>
      <c r="K262" s="1255"/>
      <c r="L262" s="1255"/>
      <c r="M262" s="1255"/>
      <c r="N262" s="1255"/>
      <c r="O262" s="1254"/>
    </row>
    <row r="263" spans="1:15" x14ac:dyDescent="0.25">
      <c r="A263" s="1263" t="s">
        <v>67</v>
      </c>
      <c r="B263" s="1263" t="s">
        <v>106</v>
      </c>
      <c r="C263" s="1263" t="s">
        <v>66</v>
      </c>
      <c r="D263" s="1263" t="s">
        <v>65</v>
      </c>
      <c r="E263" s="1263" t="s">
        <v>64</v>
      </c>
      <c r="F263" s="1263" t="s">
        <v>40</v>
      </c>
      <c r="G263" s="1263" t="s">
        <v>105</v>
      </c>
      <c r="H263" s="1263" t="s">
        <v>104</v>
      </c>
      <c r="I263" s="1263" t="s">
        <v>58</v>
      </c>
      <c r="J263" s="1315"/>
      <c r="K263" s="1315"/>
      <c r="L263" s="1315"/>
      <c r="M263" s="1315"/>
      <c r="N263" s="1315"/>
      <c r="O263" s="1269"/>
    </row>
    <row r="264" spans="1:15" ht="30" x14ac:dyDescent="0.25">
      <c r="A264" s="1314">
        <v>10</v>
      </c>
      <c r="B264" s="1272" t="s">
        <v>516</v>
      </c>
      <c r="C264" s="1314" t="s">
        <v>802</v>
      </c>
      <c r="D264" s="1313">
        <v>1.3</v>
      </c>
      <c r="E264" s="1272" t="s">
        <v>64</v>
      </c>
      <c r="F264" s="1314">
        <v>1</v>
      </c>
      <c r="G264" s="1314" t="s">
        <v>2269</v>
      </c>
      <c r="H264" s="1314">
        <v>0.5</v>
      </c>
      <c r="I264" s="1313">
        <f>IF(H264="",D264*F264,D264*F264*H264)</f>
        <v>0.65</v>
      </c>
      <c r="J264" s="1255"/>
      <c r="K264" s="1255"/>
      <c r="L264" s="1255"/>
      <c r="M264" s="1255"/>
      <c r="N264" s="1255"/>
      <c r="O264" s="1254"/>
    </row>
    <row r="265" spans="1:15" x14ac:dyDescent="0.25">
      <c r="A265" s="1262">
        <v>20</v>
      </c>
      <c r="B265" s="1272" t="s">
        <v>541</v>
      </c>
      <c r="C265" s="1262" t="s">
        <v>2298</v>
      </c>
      <c r="D265" s="1261">
        <v>0.01</v>
      </c>
      <c r="E265" s="1262" t="s">
        <v>101</v>
      </c>
      <c r="F265" s="1292">
        <v>11.3</v>
      </c>
      <c r="G265" s="1272" t="s">
        <v>695</v>
      </c>
      <c r="H265" s="1270">
        <v>3</v>
      </c>
      <c r="I265" s="1261">
        <f>IF(H265="",D265*F265,D265*F265*H265)</f>
        <v>0.33900000000000002</v>
      </c>
      <c r="J265" s="1260"/>
      <c r="K265" s="1260"/>
      <c r="L265" s="1260"/>
      <c r="M265" s="1260"/>
      <c r="N265" s="1260"/>
      <c r="O265" s="1271"/>
    </row>
    <row r="266" spans="1:15" x14ac:dyDescent="0.25">
      <c r="A266" s="1259"/>
      <c r="B266" s="1256"/>
      <c r="C266" s="1256"/>
      <c r="D266" s="1256"/>
      <c r="E266" s="1256"/>
      <c r="F266" s="1256"/>
      <c r="G266" s="1256"/>
      <c r="H266" s="1306" t="s">
        <v>58</v>
      </c>
      <c r="I266" s="1305">
        <f>SUM(I264:I265)</f>
        <v>0.9890000000000001</v>
      </c>
      <c r="J266" s="1256"/>
      <c r="K266" s="1256"/>
      <c r="L266" s="1256"/>
      <c r="M266" s="1256"/>
      <c r="N266" s="1256"/>
      <c r="O266" s="1254"/>
    </row>
    <row r="267" spans="1:15" x14ac:dyDescent="0.25">
      <c r="A267" s="1259"/>
      <c r="B267" s="1256"/>
      <c r="C267" s="1256"/>
      <c r="D267" s="1256"/>
      <c r="E267" s="1256"/>
      <c r="F267" s="1256"/>
      <c r="G267" s="1256"/>
      <c r="H267" s="1256"/>
      <c r="I267" s="1256"/>
      <c r="J267" s="1256"/>
      <c r="K267" s="1256"/>
      <c r="L267" s="1256"/>
      <c r="M267" s="1256"/>
      <c r="N267" s="1256"/>
      <c r="O267" s="1254"/>
    </row>
    <row r="268" spans="1:15" x14ac:dyDescent="0.25">
      <c r="A268" s="1259"/>
      <c r="B268" s="1256"/>
      <c r="C268" s="1256"/>
      <c r="D268" s="1256"/>
      <c r="E268" s="1256"/>
      <c r="F268" s="1256"/>
      <c r="G268" s="1256"/>
      <c r="H268" s="1256"/>
      <c r="I268" s="1256"/>
      <c r="J268" s="1256"/>
      <c r="K268" s="1256"/>
      <c r="L268" s="1256"/>
      <c r="M268" s="1256"/>
      <c r="N268" s="1256"/>
      <c r="O268" s="1254"/>
    </row>
    <row r="269" spans="1:15" x14ac:dyDescent="0.25">
      <c r="A269" s="1259"/>
      <c r="B269" s="1256"/>
      <c r="C269" s="1256"/>
      <c r="D269" s="1256"/>
      <c r="E269" s="1256"/>
      <c r="F269" s="1256"/>
      <c r="G269" s="1256"/>
      <c r="H269" s="1256"/>
      <c r="I269" s="1256"/>
      <c r="J269" s="1256"/>
      <c r="K269" s="1256"/>
      <c r="L269" s="1256"/>
      <c r="M269" s="1256"/>
      <c r="N269" s="1256"/>
      <c r="O269" s="1254"/>
    </row>
    <row r="270" spans="1:15" x14ac:dyDescent="0.25">
      <c r="A270" s="1259"/>
      <c r="B270" s="1256"/>
      <c r="C270" s="1256"/>
      <c r="D270" s="1256"/>
      <c r="E270" s="1256"/>
      <c r="F270" s="1256"/>
      <c r="G270" s="1256"/>
      <c r="H270" s="1256"/>
      <c r="I270" s="1256"/>
      <c r="J270" s="1256"/>
      <c r="K270" s="1256"/>
      <c r="L270" s="1256"/>
      <c r="M270" s="1256"/>
      <c r="N270" s="1256"/>
      <c r="O270" s="1254"/>
    </row>
    <row r="271" spans="1:15" x14ac:dyDescent="0.25">
      <c r="A271" s="1259"/>
      <c r="B271" s="1256"/>
      <c r="C271" s="1256"/>
      <c r="D271" s="1256"/>
      <c r="E271" s="1256"/>
      <c r="F271" s="1256"/>
      <c r="G271" s="1256"/>
      <c r="H271" s="1256"/>
      <c r="I271" s="1256"/>
      <c r="J271" s="1256"/>
      <c r="K271" s="1256"/>
      <c r="L271" s="1256"/>
      <c r="M271" s="1256"/>
      <c r="N271" s="1256"/>
      <c r="O271" s="1254"/>
    </row>
    <row r="272" spans="1:15" ht="15.75" thickBot="1" x14ac:dyDescent="0.3">
      <c r="A272" s="1253"/>
      <c r="B272" s="1252"/>
      <c r="C272" s="1252"/>
      <c r="D272" s="1252"/>
      <c r="E272" s="1252"/>
      <c r="F272" s="1252"/>
      <c r="G272" s="1252"/>
      <c r="H272" s="1252"/>
      <c r="I272" s="1252"/>
      <c r="J272" s="1252"/>
      <c r="K272" s="1252"/>
      <c r="L272" s="1252"/>
      <c r="M272" s="1252"/>
      <c r="N272" s="1252"/>
      <c r="O272" s="1251"/>
    </row>
    <row r="273" spans="1:15" ht="15.75" thickBot="1" x14ac:dyDescent="0.3">
      <c r="A273" s="1302"/>
      <c r="B273" s="1302"/>
      <c r="C273" s="1302"/>
      <c r="D273" s="1302"/>
      <c r="E273" s="1302"/>
      <c r="F273" s="1302"/>
      <c r="G273" s="1302"/>
      <c r="H273" s="1302"/>
      <c r="I273" s="1302"/>
      <c r="J273" s="1302"/>
      <c r="K273" s="1302"/>
      <c r="L273" s="1302"/>
      <c r="M273" s="1302"/>
      <c r="N273" s="1302"/>
      <c r="O273" s="1302"/>
    </row>
    <row r="274" spans="1:15" x14ac:dyDescent="0.25">
      <c r="A274" s="1301"/>
      <c r="B274" s="1300"/>
      <c r="C274" s="1300"/>
      <c r="D274" s="1300"/>
      <c r="E274" s="1300"/>
      <c r="F274" s="1300"/>
      <c r="G274" s="1300"/>
      <c r="H274" s="1300"/>
      <c r="I274" s="1300"/>
      <c r="J274" s="1300"/>
      <c r="K274" s="1300"/>
      <c r="L274" s="1300"/>
      <c r="M274" s="1300"/>
      <c r="N274" s="1300"/>
      <c r="O274" s="1299"/>
    </row>
    <row r="275" spans="1:15" x14ac:dyDescent="0.25">
      <c r="A275" s="1263" t="s">
        <v>57</v>
      </c>
      <c r="B275" s="1294" t="s">
        <v>523</v>
      </c>
      <c r="C275" s="1255"/>
      <c r="D275" s="1255"/>
      <c r="E275" s="1255"/>
      <c r="F275" s="1255"/>
      <c r="G275" s="1255"/>
      <c r="H275" s="1255"/>
      <c r="I275" s="1255"/>
      <c r="J275" s="1327" t="s">
        <v>51</v>
      </c>
      <c r="K275" s="1298">
        <v>81</v>
      </c>
      <c r="L275" s="1255"/>
      <c r="M275" s="1263" t="s">
        <v>113</v>
      </c>
      <c r="N275" s="1273">
        <f>N286+I290</f>
        <v>4.5</v>
      </c>
      <c r="O275" s="1254"/>
    </row>
    <row r="276" spans="1:15" x14ac:dyDescent="0.25">
      <c r="A276" s="1263" t="s">
        <v>125</v>
      </c>
      <c r="B276" s="1297" t="s">
        <v>2210</v>
      </c>
      <c r="C276" s="1255"/>
      <c r="D276" s="1263" t="s">
        <v>122</v>
      </c>
      <c r="E276" s="1326"/>
      <c r="F276" s="1255"/>
      <c r="G276" s="1255"/>
      <c r="H276" s="1255"/>
      <c r="I276" s="1255"/>
      <c r="J276" s="1255"/>
      <c r="K276" s="1255"/>
      <c r="L276" s="1255"/>
      <c r="M276" s="1263" t="s">
        <v>124</v>
      </c>
      <c r="N276" s="1298">
        <v>2</v>
      </c>
      <c r="O276" s="1254"/>
    </row>
    <row r="277" spans="1:15" x14ac:dyDescent="0.25">
      <c r="A277" s="1263" t="s">
        <v>123</v>
      </c>
      <c r="B277" s="1326" t="str">
        <f>HYPERLINK("#MS_A0004",'MS Assemblies'!B144)</f>
        <v>Safety</v>
      </c>
      <c r="C277" s="1255"/>
      <c r="D277" s="1263" t="s">
        <v>119</v>
      </c>
      <c r="E277" s="1255"/>
      <c r="F277" s="1255"/>
      <c r="G277" s="1255"/>
      <c r="H277" s="1255"/>
      <c r="I277" s="1255"/>
      <c r="J277" s="1325" t="s">
        <v>122</v>
      </c>
      <c r="K277" s="1255"/>
      <c r="L277" s="1255"/>
      <c r="M277" s="1255"/>
      <c r="N277" s="1255"/>
      <c r="O277" s="1254"/>
    </row>
    <row r="278" spans="1:15" x14ac:dyDescent="0.25">
      <c r="A278" s="1263" t="s">
        <v>114</v>
      </c>
      <c r="B278" s="1296" t="s">
        <v>2297</v>
      </c>
      <c r="C278" s="1255"/>
      <c r="D278" s="1263" t="s">
        <v>116</v>
      </c>
      <c r="E278" s="1255"/>
      <c r="F278" s="1255"/>
      <c r="G278" s="1255"/>
      <c r="H278" s="1255"/>
      <c r="I278" s="1255"/>
      <c r="J278" s="1325" t="s">
        <v>119</v>
      </c>
      <c r="K278" s="1255"/>
      <c r="L278" s="1255"/>
      <c r="M278" s="1263" t="s">
        <v>118</v>
      </c>
      <c r="N278" s="1273">
        <f>N276*N275</f>
        <v>9</v>
      </c>
      <c r="O278" s="1254"/>
    </row>
    <row r="279" spans="1:15" x14ac:dyDescent="0.25">
      <c r="A279" s="1263" t="s">
        <v>121</v>
      </c>
      <c r="B279" s="1296" t="s">
        <v>2296</v>
      </c>
      <c r="C279" s="1255"/>
      <c r="D279" s="1255"/>
      <c r="E279" s="1255"/>
      <c r="F279" s="1255"/>
      <c r="G279" s="1255"/>
      <c r="H279" s="1255"/>
      <c r="I279" s="1255"/>
      <c r="J279" s="1325" t="s">
        <v>116</v>
      </c>
      <c r="K279" s="1255"/>
      <c r="L279" s="1255"/>
      <c r="M279" s="1255"/>
      <c r="N279" s="1255"/>
      <c r="O279" s="1254"/>
    </row>
    <row r="280" spans="1:15" x14ac:dyDescent="0.25">
      <c r="A280" s="1263" t="s">
        <v>117</v>
      </c>
      <c r="B280" s="1294" t="s">
        <v>23</v>
      </c>
      <c r="C280" s="1255"/>
      <c r="D280" s="1255"/>
      <c r="E280" s="1255"/>
      <c r="F280" s="1255"/>
      <c r="G280" s="1255"/>
      <c r="H280" s="1255"/>
      <c r="I280" s="1255"/>
      <c r="J280" s="1255"/>
      <c r="K280" s="1255"/>
      <c r="L280" s="1255"/>
      <c r="M280" s="1255"/>
      <c r="N280" s="1255"/>
      <c r="O280" s="1254"/>
    </row>
    <row r="281" spans="1:15" x14ac:dyDescent="0.25">
      <c r="A281" s="1263" t="s">
        <v>115</v>
      </c>
      <c r="B281" s="1294" t="s">
        <v>2212</v>
      </c>
      <c r="C281" s="1255"/>
      <c r="D281" s="1255"/>
      <c r="E281" s="1255"/>
      <c r="F281" s="1255"/>
      <c r="G281" s="1255"/>
      <c r="H281" s="1255"/>
      <c r="I281" s="1255"/>
      <c r="J281" s="1255"/>
      <c r="K281" s="1255"/>
      <c r="L281" s="1255"/>
      <c r="M281" s="1255"/>
      <c r="N281" s="1255"/>
      <c r="O281" s="1254"/>
    </row>
    <row r="282" spans="1:15" x14ac:dyDescent="0.25">
      <c r="A282" s="1324"/>
      <c r="B282" s="1323"/>
      <c r="C282" s="1323"/>
      <c r="D282" s="1323"/>
      <c r="E282" s="1323"/>
      <c r="F282" s="1255"/>
      <c r="G282" s="1255"/>
      <c r="H282" s="1255"/>
      <c r="I282" s="1255"/>
      <c r="J282" s="1255"/>
      <c r="K282" s="1255"/>
      <c r="L282" s="1255"/>
      <c r="M282" s="1255"/>
      <c r="N282" s="1255"/>
      <c r="O282" s="1254"/>
    </row>
    <row r="283" spans="1:15" x14ac:dyDescent="0.25">
      <c r="A283" s="1322" t="s">
        <v>67</v>
      </c>
      <c r="B283" s="1321" t="s">
        <v>112</v>
      </c>
      <c r="C283" s="1321" t="s">
        <v>66</v>
      </c>
      <c r="D283" s="1321" t="s">
        <v>65</v>
      </c>
      <c r="E283" s="1321" t="s">
        <v>81</v>
      </c>
      <c r="F283" s="1263" t="s">
        <v>80</v>
      </c>
      <c r="G283" s="1263" t="s">
        <v>79</v>
      </c>
      <c r="H283" s="1263" t="s">
        <v>78</v>
      </c>
      <c r="I283" s="1263" t="s">
        <v>111</v>
      </c>
      <c r="J283" s="1263" t="s">
        <v>110</v>
      </c>
      <c r="K283" s="1263" t="s">
        <v>109</v>
      </c>
      <c r="L283" s="1263" t="s">
        <v>108</v>
      </c>
      <c r="M283" s="1263" t="s">
        <v>40</v>
      </c>
      <c r="N283" s="1263" t="s">
        <v>58</v>
      </c>
      <c r="O283" s="1254"/>
    </row>
    <row r="284" spans="1:15" x14ac:dyDescent="0.25">
      <c r="A284" s="1262">
        <v>10</v>
      </c>
      <c r="B284" s="1262" t="s">
        <v>2245</v>
      </c>
      <c r="C284" s="1262" t="s">
        <v>2295</v>
      </c>
      <c r="D284" s="1261">
        <v>0.05</v>
      </c>
      <c r="E284" s="1335">
        <v>30</v>
      </c>
      <c r="F284" s="1320" t="s">
        <v>101</v>
      </c>
      <c r="G284" s="1320"/>
      <c r="H284" s="1320"/>
      <c r="I284" s="1320"/>
      <c r="J284" s="1320"/>
      <c r="K284" s="1320"/>
      <c r="L284" s="1320"/>
      <c r="M284" s="1320">
        <v>1</v>
      </c>
      <c r="N284" s="1261">
        <f>M284*E284*D284</f>
        <v>1.5</v>
      </c>
      <c r="O284" s="1281"/>
    </row>
    <row r="285" spans="1:15" x14ac:dyDescent="0.25">
      <c r="A285" s="1262">
        <v>20</v>
      </c>
      <c r="B285" s="1262" t="s">
        <v>383</v>
      </c>
      <c r="C285" s="1262" t="s">
        <v>2294</v>
      </c>
      <c r="D285" s="1261">
        <v>0</v>
      </c>
      <c r="E285" s="1320"/>
      <c r="F285" s="1320"/>
      <c r="G285" s="1320"/>
      <c r="H285" s="1320"/>
      <c r="I285" s="1320"/>
      <c r="J285" s="1320"/>
      <c r="K285" s="1320"/>
      <c r="L285" s="1320"/>
      <c r="M285" s="1320"/>
      <c r="N285" s="1261">
        <f>M285*E285*D285</f>
        <v>0</v>
      </c>
      <c r="O285" s="1302"/>
    </row>
    <row r="286" spans="1:15" x14ac:dyDescent="0.25">
      <c r="A286" s="1259"/>
      <c r="B286" s="1256"/>
      <c r="C286" s="1256" t="s">
        <v>2197</v>
      </c>
      <c r="D286" s="1256"/>
      <c r="E286" s="1256"/>
      <c r="F286" s="1256"/>
      <c r="G286" s="1256"/>
      <c r="H286" s="1256"/>
      <c r="I286" s="1256"/>
      <c r="J286" s="1256"/>
      <c r="K286" s="1256"/>
      <c r="L286" s="1256"/>
      <c r="M286" s="1258" t="s">
        <v>58</v>
      </c>
      <c r="N286" s="1305">
        <f>SUM(N284:N285)</f>
        <v>1.5</v>
      </c>
      <c r="O286" s="1254"/>
    </row>
    <row r="287" spans="1:15" x14ac:dyDescent="0.25">
      <c r="A287" s="1264"/>
      <c r="B287" s="1255"/>
      <c r="C287" s="1255"/>
      <c r="D287" s="1255"/>
      <c r="E287" s="1255"/>
      <c r="F287" s="1255"/>
      <c r="G287" s="1255"/>
      <c r="H287" s="1255"/>
      <c r="I287" s="1255"/>
      <c r="J287" s="1255"/>
      <c r="K287" s="1255"/>
      <c r="L287" s="1255"/>
      <c r="M287" s="1255"/>
      <c r="N287" s="1255"/>
      <c r="O287" s="1254"/>
    </row>
    <row r="288" spans="1:15" x14ac:dyDescent="0.25">
      <c r="A288" s="1263" t="s">
        <v>67</v>
      </c>
      <c r="B288" s="1263" t="s">
        <v>106</v>
      </c>
      <c r="C288" s="1263" t="s">
        <v>66</v>
      </c>
      <c r="D288" s="1263" t="s">
        <v>65</v>
      </c>
      <c r="E288" s="1263" t="s">
        <v>64</v>
      </c>
      <c r="F288" s="1263" t="s">
        <v>40</v>
      </c>
      <c r="G288" s="1263" t="s">
        <v>105</v>
      </c>
      <c r="H288" s="1263" t="s">
        <v>104</v>
      </c>
      <c r="I288" s="1263" t="s">
        <v>58</v>
      </c>
      <c r="J288" s="1315"/>
      <c r="K288" s="1315"/>
      <c r="L288" s="1315"/>
      <c r="M288" s="1315"/>
      <c r="N288" s="1315"/>
      <c r="O288" s="1269"/>
    </row>
    <row r="289" spans="1:15" x14ac:dyDescent="0.25">
      <c r="A289" s="1262">
        <v>10</v>
      </c>
      <c r="B289" s="1272" t="s">
        <v>1166</v>
      </c>
      <c r="C289" s="1262" t="s">
        <v>2226</v>
      </c>
      <c r="D289" s="1261">
        <v>0.02</v>
      </c>
      <c r="E289" s="1262" t="s">
        <v>1164</v>
      </c>
      <c r="F289" s="1270">
        <v>150</v>
      </c>
      <c r="G289" s="1270"/>
      <c r="H289" s="1262"/>
      <c r="I289" s="1261">
        <f>IF(H289="",D289*F289,D289*F289*H289)</f>
        <v>3</v>
      </c>
      <c r="J289" s="1255"/>
      <c r="K289" s="1255"/>
      <c r="L289" s="1255"/>
      <c r="M289" s="1255"/>
      <c r="N289" s="1255"/>
      <c r="O289" s="1254"/>
    </row>
    <row r="290" spans="1:15" x14ac:dyDescent="0.25">
      <c r="A290" s="1259"/>
      <c r="B290" s="1256"/>
      <c r="C290" s="1256"/>
      <c r="D290" s="1256"/>
      <c r="E290" s="1256"/>
      <c r="F290" s="1256"/>
      <c r="G290" s="1256"/>
      <c r="H290" s="1306" t="s">
        <v>58</v>
      </c>
      <c r="I290" s="1305">
        <f>SUM(I289:I289)</f>
        <v>3</v>
      </c>
      <c r="J290" s="1256"/>
      <c r="K290" s="1256"/>
      <c r="L290" s="1256"/>
      <c r="M290" s="1256"/>
      <c r="N290" s="1256"/>
      <c r="O290" s="1254"/>
    </row>
    <row r="291" spans="1:15" ht="15.75" thickBot="1" x14ac:dyDescent="0.3">
      <c r="A291" s="1253"/>
      <c r="B291" s="1252"/>
      <c r="C291" s="1252"/>
      <c r="D291" s="1252"/>
      <c r="E291" s="1252"/>
      <c r="F291" s="1252"/>
      <c r="G291" s="1252"/>
      <c r="H291" s="1328"/>
      <c r="I291" s="1328"/>
      <c r="J291" s="1252"/>
      <c r="K291" s="1252"/>
      <c r="L291" s="1252"/>
      <c r="M291" s="1252"/>
      <c r="N291" s="1252"/>
      <c r="O291" s="1251"/>
    </row>
    <row r="292" spans="1:15" ht="15.75" thickBot="1" x14ac:dyDescent="0.3">
      <c r="A292" s="1302"/>
      <c r="B292" s="1302"/>
      <c r="C292" s="1302"/>
      <c r="D292" s="1302"/>
      <c r="E292" s="1302"/>
      <c r="F292" s="1302"/>
      <c r="G292" s="1302"/>
      <c r="H292" s="1302"/>
      <c r="I292" s="1302"/>
      <c r="J292" s="1302"/>
      <c r="K292" s="1302"/>
      <c r="L292" s="1302"/>
      <c r="M292" s="1302"/>
      <c r="N292" s="1302"/>
      <c r="O292" s="1302"/>
    </row>
    <row r="293" spans="1:15" x14ac:dyDescent="0.25">
      <c r="A293" s="1301"/>
      <c r="B293" s="1300"/>
      <c r="C293" s="1300"/>
      <c r="D293" s="1300"/>
      <c r="E293" s="1300"/>
      <c r="F293" s="1300"/>
      <c r="G293" s="1300"/>
      <c r="H293" s="1300"/>
      <c r="I293" s="1300"/>
      <c r="J293" s="1300"/>
      <c r="K293" s="1300"/>
      <c r="L293" s="1300"/>
      <c r="M293" s="1300"/>
      <c r="N293" s="1300"/>
      <c r="O293" s="1299"/>
    </row>
    <row r="294" spans="1:15" x14ac:dyDescent="0.25">
      <c r="A294" s="1263" t="s">
        <v>57</v>
      </c>
      <c r="B294" s="1294" t="s">
        <v>523</v>
      </c>
      <c r="C294" s="1255"/>
      <c r="D294" s="1255"/>
      <c r="E294" s="1255"/>
      <c r="F294" s="1255"/>
      <c r="G294" s="1255"/>
      <c r="H294" s="1255"/>
      <c r="I294" s="1255"/>
      <c r="J294" s="1327" t="s">
        <v>51</v>
      </c>
      <c r="K294" s="1298">
        <v>81</v>
      </c>
      <c r="L294" s="1255"/>
      <c r="M294" s="1263" t="s">
        <v>113</v>
      </c>
      <c r="N294" s="1273">
        <f>N306+I317+I321</f>
        <v>198.86666666666665</v>
      </c>
      <c r="O294" s="1254"/>
    </row>
    <row r="295" spans="1:15" x14ac:dyDescent="0.25">
      <c r="A295" s="1263" t="s">
        <v>125</v>
      </c>
      <c r="B295" s="1297" t="s">
        <v>2210</v>
      </c>
      <c r="C295" s="1255"/>
      <c r="D295" s="1263" t="s">
        <v>122</v>
      </c>
      <c r="E295" s="1326"/>
      <c r="F295" s="1255"/>
      <c r="G295" s="1255"/>
      <c r="H295" s="1255"/>
      <c r="I295" s="1255"/>
      <c r="J295" s="1255"/>
      <c r="K295" s="1255"/>
      <c r="L295" s="1255"/>
      <c r="M295" s="1263" t="s">
        <v>124</v>
      </c>
      <c r="N295" s="1298">
        <v>1</v>
      </c>
      <c r="O295" s="1254"/>
    </row>
    <row r="296" spans="1:15" x14ac:dyDescent="0.25">
      <c r="A296" s="1263" t="s">
        <v>123</v>
      </c>
      <c r="B296" s="1326" t="str">
        <f>HYPERLINK("#MS_A0005",'MS Assemblies'!B166)</f>
        <v>Seat</v>
      </c>
      <c r="C296" s="1255"/>
      <c r="D296" s="1263" t="s">
        <v>119</v>
      </c>
      <c r="E296" s="1255"/>
      <c r="F296" s="1255"/>
      <c r="G296" s="1255"/>
      <c r="H296" s="1255"/>
      <c r="I296" s="1255"/>
      <c r="J296" s="1325" t="s">
        <v>122</v>
      </c>
      <c r="K296" s="1255"/>
      <c r="L296" s="1255"/>
      <c r="M296" s="1255"/>
      <c r="N296" s="1255"/>
      <c r="O296" s="1254"/>
    </row>
    <row r="297" spans="1:15" x14ac:dyDescent="0.25">
      <c r="A297" s="1263" t="s">
        <v>114</v>
      </c>
      <c r="B297" s="1296" t="s">
        <v>2293</v>
      </c>
      <c r="C297" s="1255"/>
      <c r="D297" s="1263" t="s">
        <v>116</v>
      </c>
      <c r="E297" s="1255"/>
      <c r="F297" s="1255"/>
      <c r="G297" s="1255"/>
      <c r="H297" s="1255"/>
      <c r="I297" s="1255"/>
      <c r="J297" s="1325" t="s">
        <v>119</v>
      </c>
      <c r="K297" s="1255"/>
      <c r="L297" s="1255"/>
      <c r="M297" s="1263" t="s">
        <v>118</v>
      </c>
      <c r="N297" s="1273">
        <f>N295*N294</f>
        <v>198.86666666666665</v>
      </c>
      <c r="O297" s="1254"/>
    </row>
    <row r="298" spans="1:15" x14ac:dyDescent="0.25">
      <c r="A298" s="1263" t="s">
        <v>121</v>
      </c>
      <c r="B298" s="1296" t="s">
        <v>2292</v>
      </c>
      <c r="C298" s="1255"/>
      <c r="D298" s="1255"/>
      <c r="E298" s="1255"/>
      <c r="F298" s="1255"/>
      <c r="G298" s="1255"/>
      <c r="H298" s="1255"/>
      <c r="I298" s="1255"/>
      <c r="J298" s="1325" t="s">
        <v>116</v>
      </c>
      <c r="K298" s="1255"/>
      <c r="L298" s="1255"/>
      <c r="M298" s="1255"/>
      <c r="N298" s="1255"/>
      <c r="O298" s="1254"/>
    </row>
    <row r="299" spans="1:15" x14ac:dyDescent="0.25">
      <c r="A299" s="1263" t="s">
        <v>117</v>
      </c>
      <c r="B299" s="1294" t="s">
        <v>23</v>
      </c>
      <c r="C299" s="1255"/>
      <c r="D299" s="1255"/>
      <c r="E299" s="1255"/>
      <c r="F299" s="1255"/>
      <c r="G299" s="1255"/>
      <c r="H299" s="1255"/>
      <c r="I299" s="1255"/>
      <c r="J299" s="1255"/>
      <c r="K299" s="1255"/>
      <c r="L299" s="1255"/>
      <c r="M299" s="1255"/>
      <c r="N299" s="1255"/>
      <c r="O299" s="1254"/>
    </row>
    <row r="300" spans="1:15" x14ac:dyDescent="0.25">
      <c r="A300" s="1263" t="s">
        <v>115</v>
      </c>
      <c r="B300" s="1294" t="s">
        <v>2291</v>
      </c>
      <c r="C300" s="1255"/>
      <c r="D300" s="1255"/>
      <c r="E300" s="1255"/>
      <c r="F300" s="1255"/>
      <c r="G300" s="1255"/>
      <c r="H300" s="1255"/>
      <c r="I300" s="1255"/>
      <c r="J300" s="1255"/>
      <c r="K300" s="1255"/>
      <c r="L300" s="1255"/>
      <c r="M300" s="1255"/>
      <c r="N300" s="1255"/>
      <c r="O300" s="1254"/>
    </row>
    <row r="301" spans="1:15" x14ac:dyDescent="0.25">
      <c r="A301" s="1324"/>
      <c r="B301" s="1323"/>
      <c r="C301" s="1323"/>
      <c r="D301" s="1323"/>
      <c r="E301" s="1323"/>
      <c r="F301" s="1255"/>
      <c r="G301" s="1255"/>
      <c r="H301" s="1255"/>
      <c r="I301" s="1255"/>
      <c r="J301" s="1255"/>
      <c r="K301" s="1255"/>
      <c r="L301" s="1255"/>
      <c r="M301" s="1255"/>
      <c r="N301" s="1255"/>
      <c r="O301" s="1254"/>
    </row>
    <row r="302" spans="1:15" x14ac:dyDescent="0.25">
      <c r="A302" s="1322" t="s">
        <v>67</v>
      </c>
      <c r="B302" s="1321" t="s">
        <v>112</v>
      </c>
      <c r="C302" s="1321" t="s">
        <v>66</v>
      </c>
      <c r="D302" s="1321" t="s">
        <v>65</v>
      </c>
      <c r="E302" s="1321" t="s">
        <v>81</v>
      </c>
      <c r="F302" s="1263" t="s">
        <v>80</v>
      </c>
      <c r="G302" s="1263" t="s">
        <v>79</v>
      </c>
      <c r="H302" s="1263" t="s">
        <v>78</v>
      </c>
      <c r="I302" s="1263" t="s">
        <v>111</v>
      </c>
      <c r="J302" s="1263" t="s">
        <v>110</v>
      </c>
      <c r="K302" s="1263" t="s">
        <v>109</v>
      </c>
      <c r="L302" s="1263" t="s">
        <v>108</v>
      </c>
      <c r="M302" s="1263" t="s">
        <v>40</v>
      </c>
      <c r="N302" s="1263" t="s">
        <v>58</v>
      </c>
      <c r="O302" s="1254"/>
    </row>
    <row r="303" spans="1:15" x14ac:dyDescent="0.25">
      <c r="A303" s="1286">
        <v>10</v>
      </c>
      <c r="B303" s="1334" t="s">
        <v>796</v>
      </c>
      <c r="C303" s="1286" t="s">
        <v>682</v>
      </c>
      <c r="D303" s="1261">
        <v>100</v>
      </c>
      <c r="E303" s="1286">
        <v>0.09</v>
      </c>
      <c r="F303" s="1286" t="s">
        <v>794</v>
      </c>
      <c r="G303" s="1286"/>
      <c r="H303" s="1320"/>
      <c r="I303" s="1284"/>
      <c r="J303" s="1277"/>
      <c r="K303" s="1283"/>
      <c r="L303" s="1316"/>
      <c r="M303" s="1265">
        <v>2</v>
      </c>
      <c r="N303" s="1261">
        <f>IF(J303="",D303*M303*E303,D303*J303*K303*L303*M303)</f>
        <v>18</v>
      </c>
      <c r="O303" s="1281"/>
    </row>
    <row r="304" spans="1:15" x14ac:dyDescent="0.25">
      <c r="A304" s="1333">
        <v>20</v>
      </c>
      <c r="B304" s="1332" t="s">
        <v>1522</v>
      </c>
      <c r="C304" s="1331" t="s">
        <v>682</v>
      </c>
      <c r="D304" s="1261">
        <v>150</v>
      </c>
      <c r="E304" s="1286">
        <v>0.252</v>
      </c>
      <c r="F304" s="1286" t="s">
        <v>794</v>
      </c>
      <c r="G304" s="1286"/>
      <c r="H304" s="1320"/>
      <c r="I304" s="1284"/>
      <c r="J304" s="1277"/>
      <c r="K304" s="1283"/>
      <c r="L304" s="1316"/>
      <c r="M304" s="1265">
        <v>2</v>
      </c>
      <c r="N304" s="1261">
        <f>IF(J304="",D304*M304*E304,D304*J304*K304*L304*M304)</f>
        <v>75.599999999999994</v>
      </c>
      <c r="O304" s="1281"/>
    </row>
    <row r="305" spans="1:15" x14ac:dyDescent="0.25">
      <c r="A305" s="1333">
        <v>30</v>
      </c>
      <c r="B305" s="1332" t="s">
        <v>2290</v>
      </c>
      <c r="C305" s="1331" t="s">
        <v>2289</v>
      </c>
      <c r="D305" s="1261">
        <v>0.05</v>
      </c>
      <c r="E305" s="1286"/>
      <c r="F305" s="1286"/>
      <c r="G305" s="1286"/>
      <c r="H305" s="1320"/>
      <c r="I305" s="1284"/>
      <c r="J305" s="1277"/>
      <c r="K305" s="1283"/>
      <c r="L305" s="1316"/>
      <c r="M305" s="1265">
        <v>16</v>
      </c>
      <c r="N305" s="1261">
        <f>IF(J305="",D305*M305,D305*J305*K305*L305*M305)</f>
        <v>0.8</v>
      </c>
      <c r="O305" s="1281"/>
    </row>
    <row r="306" spans="1:15" x14ac:dyDescent="0.25">
      <c r="A306" s="1259"/>
      <c r="B306" s="1256"/>
      <c r="C306" s="1256" t="s">
        <v>2197</v>
      </c>
      <c r="D306" s="1256"/>
      <c r="E306" s="1256"/>
      <c r="F306" s="1256"/>
      <c r="G306" s="1256"/>
      <c r="H306" s="1256"/>
      <c r="I306" s="1256"/>
      <c r="J306" s="1256"/>
      <c r="K306" s="1256"/>
      <c r="L306" s="1256"/>
      <c r="M306" s="1258" t="s">
        <v>58</v>
      </c>
      <c r="N306" s="1305">
        <f>SUM(N303:N305)</f>
        <v>94.399999999999991</v>
      </c>
      <c r="O306" s="1254"/>
    </row>
    <row r="307" spans="1:15" x14ac:dyDescent="0.25">
      <c r="A307" s="1264"/>
      <c r="B307" s="1255"/>
      <c r="C307" s="1255"/>
      <c r="D307" s="1255"/>
      <c r="E307" s="1255"/>
      <c r="F307" s="1255"/>
      <c r="G307" s="1255"/>
      <c r="H307" s="1255"/>
      <c r="I307" s="1255"/>
      <c r="J307" s="1255"/>
      <c r="K307" s="1255"/>
      <c r="L307" s="1255"/>
      <c r="M307" s="1255"/>
      <c r="N307" s="1255"/>
      <c r="O307" s="1254"/>
    </row>
    <row r="308" spans="1:15" x14ac:dyDescent="0.25">
      <c r="A308" s="1263" t="s">
        <v>67</v>
      </c>
      <c r="B308" s="1263" t="s">
        <v>106</v>
      </c>
      <c r="C308" s="1263" t="s">
        <v>66</v>
      </c>
      <c r="D308" s="1263" t="s">
        <v>65</v>
      </c>
      <c r="E308" s="1263" t="s">
        <v>64</v>
      </c>
      <c r="F308" s="1263" t="s">
        <v>40</v>
      </c>
      <c r="G308" s="1263" t="s">
        <v>105</v>
      </c>
      <c r="H308" s="1263" t="s">
        <v>104</v>
      </c>
      <c r="I308" s="1263" t="s">
        <v>58</v>
      </c>
      <c r="J308" s="1315"/>
      <c r="K308" s="1315"/>
      <c r="L308" s="1315"/>
      <c r="M308" s="1315"/>
      <c r="N308" s="1315"/>
      <c r="O308" s="1269"/>
    </row>
    <row r="309" spans="1:15" x14ac:dyDescent="0.25">
      <c r="A309" s="1262">
        <v>10</v>
      </c>
      <c r="B309" s="1274" t="s">
        <v>290</v>
      </c>
      <c r="C309" s="1262" t="s">
        <v>2288</v>
      </c>
      <c r="D309" s="1273">
        <v>0.06</v>
      </c>
      <c r="E309" s="1262" t="s">
        <v>101</v>
      </c>
      <c r="F309" s="1270">
        <v>230</v>
      </c>
      <c r="G309" s="1262" t="s">
        <v>2286</v>
      </c>
      <c r="H309" s="1262">
        <v>3</v>
      </c>
      <c r="I309" s="1273">
        <f t="shared" ref="I309:I316" si="0">IF(H309="",D309*F309,D309*F309*H309)</f>
        <v>41.4</v>
      </c>
      <c r="J309" s="1260"/>
      <c r="K309" s="1260"/>
      <c r="L309" s="1260"/>
      <c r="M309" s="1260"/>
      <c r="N309" s="1260"/>
      <c r="O309" s="1271"/>
    </row>
    <row r="310" spans="1:15" x14ac:dyDescent="0.25">
      <c r="A310" s="1314">
        <v>20</v>
      </c>
      <c r="B310" s="1272" t="s">
        <v>790</v>
      </c>
      <c r="C310" s="1314" t="s">
        <v>2277</v>
      </c>
      <c r="D310" s="1261">
        <v>35</v>
      </c>
      <c r="E310" s="1272" t="s">
        <v>299</v>
      </c>
      <c r="F310" s="1314">
        <v>0.44</v>
      </c>
      <c r="G310" s="1262" t="s">
        <v>2286</v>
      </c>
      <c r="H310" s="1314">
        <v>3</v>
      </c>
      <c r="I310" s="1313">
        <f t="shared" si="0"/>
        <v>46.2</v>
      </c>
      <c r="J310" s="1255"/>
      <c r="K310" s="1255"/>
      <c r="L310" s="1255"/>
      <c r="M310" s="1255"/>
      <c r="N310" s="1255"/>
      <c r="O310" s="1254"/>
    </row>
    <row r="311" spans="1:15" x14ac:dyDescent="0.25">
      <c r="A311" s="1262">
        <v>30</v>
      </c>
      <c r="B311" s="1272" t="s">
        <v>788</v>
      </c>
      <c r="C311" s="1262" t="s">
        <v>2287</v>
      </c>
      <c r="D311" s="1261">
        <v>5</v>
      </c>
      <c r="E311" s="1272" t="s">
        <v>299</v>
      </c>
      <c r="F311" s="1314">
        <v>0.44</v>
      </c>
      <c r="G311" s="1262" t="s">
        <v>2286</v>
      </c>
      <c r="H311" s="1314">
        <v>3</v>
      </c>
      <c r="I311" s="1313">
        <f t="shared" si="0"/>
        <v>6.6000000000000005</v>
      </c>
      <c r="J311" s="1260"/>
      <c r="K311" s="1260"/>
      <c r="L311" s="1260"/>
      <c r="M311" s="1260"/>
      <c r="N311" s="1260"/>
      <c r="O311" s="1271"/>
    </row>
    <row r="312" spans="1:15" x14ac:dyDescent="0.25">
      <c r="A312" s="1314">
        <v>40</v>
      </c>
      <c r="B312" s="1272" t="s">
        <v>2284</v>
      </c>
      <c r="C312" s="1270" t="s">
        <v>2285</v>
      </c>
      <c r="D312" s="1261">
        <v>1.4</v>
      </c>
      <c r="E312" s="1262" t="s">
        <v>999</v>
      </c>
      <c r="F312" s="1270">
        <v>1</v>
      </c>
      <c r="G312" s="1270"/>
      <c r="H312" s="1270"/>
      <c r="I312" s="1313">
        <f t="shared" si="0"/>
        <v>1.4</v>
      </c>
      <c r="J312" s="1260"/>
      <c r="K312" s="1260"/>
      <c r="L312" s="1260"/>
      <c r="M312" s="1260"/>
      <c r="N312" s="1260"/>
      <c r="O312" s="1271"/>
    </row>
    <row r="313" spans="1:15" x14ac:dyDescent="0.25">
      <c r="A313" s="1262">
        <v>50</v>
      </c>
      <c r="B313" s="1272" t="s">
        <v>2284</v>
      </c>
      <c r="C313" s="1270" t="s">
        <v>2283</v>
      </c>
      <c r="D313" s="1261">
        <v>1.4</v>
      </c>
      <c r="E313" s="1262" t="s">
        <v>999</v>
      </c>
      <c r="F313" s="1270">
        <v>2</v>
      </c>
      <c r="G313" s="1270"/>
      <c r="H313" s="1270"/>
      <c r="I313" s="1313">
        <f t="shared" si="0"/>
        <v>2.8</v>
      </c>
      <c r="J313" s="1260"/>
      <c r="K313" s="1260"/>
      <c r="L313" s="1260"/>
      <c r="M313" s="1260"/>
      <c r="N313" s="1260"/>
      <c r="O313" s="1271"/>
    </row>
    <row r="314" spans="1:15" x14ac:dyDescent="0.25">
      <c r="A314" s="1314">
        <v>60</v>
      </c>
      <c r="B314" s="1272" t="s">
        <v>2282</v>
      </c>
      <c r="C314" s="1270" t="s">
        <v>2281</v>
      </c>
      <c r="D314" s="1273">
        <v>0.2</v>
      </c>
      <c r="E314" s="1262" t="s">
        <v>679</v>
      </c>
      <c r="F314" s="1270">
        <v>1</v>
      </c>
      <c r="G314" s="1262"/>
      <c r="H314" s="1262"/>
      <c r="I314" s="1273">
        <f t="shared" si="0"/>
        <v>0.2</v>
      </c>
      <c r="J314" s="1260"/>
      <c r="K314" s="1260"/>
      <c r="L314" s="1260"/>
      <c r="M314" s="1260"/>
      <c r="N314" s="1260"/>
      <c r="O314" s="1271"/>
    </row>
    <row r="315" spans="1:15" x14ac:dyDescent="0.25">
      <c r="A315" s="1262">
        <v>70</v>
      </c>
      <c r="B315" s="1330" t="s">
        <v>95</v>
      </c>
      <c r="C315" s="1270" t="s">
        <v>2280</v>
      </c>
      <c r="D315" s="1261">
        <v>0.1875</v>
      </c>
      <c r="E315" s="1262" t="s">
        <v>64</v>
      </c>
      <c r="F315" s="1329">
        <f>M305</f>
        <v>16</v>
      </c>
      <c r="G315" s="1270"/>
      <c r="H315" s="1270"/>
      <c r="I315" s="1313">
        <f t="shared" si="0"/>
        <v>3</v>
      </c>
      <c r="J315" s="1260"/>
      <c r="K315" s="1260"/>
      <c r="L315" s="1260"/>
      <c r="M315" s="1260"/>
      <c r="N315" s="1260"/>
      <c r="O315" s="1271"/>
    </row>
    <row r="316" spans="1:15" x14ac:dyDescent="0.25">
      <c r="A316" s="1314">
        <v>80</v>
      </c>
      <c r="B316" s="1272" t="s">
        <v>296</v>
      </c>
      <c r="C316" s="1270" t="s">
        <v>2279</v>
      </c>
      <c r="D316" s="1261">
        <v>0.35</v>
      </c>
      <c r="E316" s="1262" t="s">
        <v>294</v>
      </c>
      <c r="F316" s="1270">
        <v>4</v>
      </c>
      <c r="G316" s="1270"/>
      <c r="H316" s="1270"/>
      <c r="I316" s="1313">
        <f t="shared" si="0"/>
        <v>1.4</v>
      </c>
      <c r="J316" s="1255"/>
      <c r="K316" s="1255"/>
      <c r="L316" s="1255"/>
      <c r="M316" s="1255"/>
      <c r="N316" s="1255"/>
      <c r="O316" s="1254"/>
    </row>
    <row r="317" spans="1:15" x14ac:dyDescent="0.25">
      <c r="A317" s="1259"/>
      <c r="B317" s="1256"/>
      <c r="C317" s="1256"/>
      <c r="D317" s="1256"/>
      <c r="E317" s="1256"/>
      <c r="F317" s="1256"/>
      <c r="G317" s="1256"/>
      <c r="H317" s="1306" t="s">
        <v>58</v>
      </c>
      <c r="I317" s="1305">
        <f>SUM(I309:I316)</f>
        <v>103</v>
      </c>
      <c r="J317" s="1256"/>
      <c r="K317" s="1256"/>
      <c r="L317" s="1256"/>
      <c r="M317" s="1256"/>
      <c r="N317" s="1256"/>
      <c r="O317" s="1254"/>
    </row>
    <row r="318" spans="1:15" x14ac:dyDescent="0.25">
      <c r="A318" s="1302"/>
      <c r="B318" s="1302"/>
      <c r="C318" s="1302"/>
      <c r="D318" s="1302"/>
      <c r="E318" s="1302"/>
      <c r="F318" s="1302"/>
      <c r="G318" s="1302"/>
      <c r="H318" s="1302"/>
      <c r="I318" s="1302"/>
      <c r="J318" s="1302"/>
      <c r="K318" s="1302"/>
      <c r="L318" s="1302"/>
      <c r="M318" s="1255"/>
      <c r="N318" s="1255"/>
      <c r="O318" s="1254"/>
    </row>
    <row r="319" spans="1:15" x14ac:dyDescent="0.25">
      <c r="A319" s="1263" t="s">
        <v>67</v>
      </c>
      <c r="B319" s="1263" t="s">
        <v>13</v>
      </c>
      <c r="C319" s="1263" t="s">
        <v>66</v>
      </c>
      <c r="D319" s="1263" t="s">
        <v>65</v>
      </c>
      <c r="E319" s="1263" t="s">
        <v>64</v>
      </c>
      <c r="F319" s="1263" t="s">
        <v>40</v>
      </c>
      <c r="G319" s="1263" t="s">
        <v>63</v>
      </c>
      <c r="H319" s="1263" t="s">
        <v>62</v>
      </c>
      <c r="I319" s="1263" t="s">
        <v>58</v>
      </c>
      <c r="J319" s="1256"/>
      <c r="K319" s="1255"/>
      <c r="L319" s="1255"/>
      <c r="M319" s="1255"/>
      <c r="N319" s="1255"/>
      <c r="O319" s="1254"/>
    </row>
    <row r="320" spans="1:15" x14ac:dyDescent="0.25">
      <c r="A320" s="1262">
        <v>10</v>
      </c>
      <c r="B320" s="1262" t="s">
        <v>2278</v>
      </c>
      <c r="C320" s="1262" t="s">
        <v>2277</v>
      </c>
      <c r="D320" s="1261">
        <v>10000</v>
      </c>
      <c r="E320" s="1262" t="s">
        <v>241</v>
      </c>
      <c r="F320" s="1262">
        <v>0.44</v>
      </c>
      <c r="G320" s="1262">
        <v>3000</v>
      </c>
      <c r="H320" s="1262">
        <v>1</v>
      </c>
      <c r="I320" s="1261">
        <f>D320*F320/G320*H320</f>
        <v>1.4666666666666666</v>
      </c>
      <c r="J320" s="1260"/>
      <c r="K320" s="1255"/>
      <c r="L320" s="1255"/>
      <c r="M320" s="1255"/>
      <c r="N320" s="1255"/>
      <c r="O320" s="1254"/>
    </row>
    <row r="321" spans="1:15" x14ac:dyDescent="0.25">
      <c r="A321" s="1259"/>
      <c r="B321" s="1256"/>
      <c r="C321" s="1256"/>
      <c r="D321" s="1256"/>
      <c r="E321" s="1256"/>
      <c r="F321" s="1256"/>
      <c r="G321" s="1256"/>
      <c r="H321" s="1258" t="s">
        <v>58</v>
      </c>
      <c r="I321" s="1257">
        <f>SUM(I320)</f>
        <v>1.4666666666666666</v>
      </c>
      <c r="J321" s="1256"/>
      <c r="K321" s="1255"/>
      <c r="L321" s="1255"/>
      <c r="M321" s="1255"/>
      <c r="N321" s="1255"/>
      <c r="O321" s="1254"/>
    </row>
    <row r="322" spans="1:15" ht="15.75" thickBot="1" x14ac:dyDescent="0.3">
      <c r="A322" s="1253"/>
      <c r="B322" s="1252"/>
      <c r="C322" s="1252"/>
      <c r="D322" s="1252"/>
      <c r="E322" s="1252"/>
      <c r="F322" s="1252"/>
      <c r="G322" s="1252"/>
      <c r="H322" s="1328"/>
      <c r="I322" s="1328"/>
      <c r="J322" s="1252"/>
      <c r="K322" s="1252"/>
      <c r="L322" s="1252"/>
      <c r="M322" s="1252"/>
      <c r="N322" s="1252"/>
      <c r="O322" s="1251"/>
    </row>
    <row r="323" spans="1:15" ht="15.75" thickBot="1" x14ac:dyDescent="0.3">
      <c r="A323" s="1302"/>
      <c r="B323" s="1302"/>
      <c r="C323" s="1302"/>
      <c r="D323" s="1302"/>
      <c r="E323" s="1302"/>
      <c r="F323" s="1302"/>
      <c r="G323" s="1302"/>
      <c r="H323" s="1302"/>
      <c r="I323" s="1302"/>
      <c r="J323" s="1302"/>
      <c r="K323" s="1302"/>
      <c r="L323" s="1302"/>
      <c r="M323" s="1302"/>
      <c r="N323" s="1302"/>
      <c r="O323" s="1302"/>
    </row>
    <row r="324" spans="1:15" x14ac:dyDescent="0.25">
      <c r="A324" s="1301"/>
      <c r="B324" s="1300"/>
      <c r="C324" s="1300"/>
      <c r="D324" s="1300"/>
      <c r="E324" s="1300"/>
      <c r="F324" s="1300"/>
      <c r="G324" s="1300"/>
      <c r="H324" s="1300"/>
      <c r="I324" s="1300"/>
      <c r="J324" s="1300"/>
      <c r="K324" s="1300"/>
      <c r="L324" s="1300"/>
      <c r="M324" s="1300"/>
      <c r="N324" s="1300"/>
      <c r="O324" s="1299"/>
    </row>
    <row r="325" spans="1:15" x14ac:dyDescent="0.25">
      <c r="A325" s="1263" t="s">
        <v>57</v>
      </c>
      <c r="B325" s="1294" t="s">
        <v>523</v>
      </c>
      <c r="C325" s="1255"/>
      <c r="D325" s="1255"/>
      <c r="E325" s="1255"/>
      <c r="F325" s="1255"/>
      <c r="G325" s="1255"/>
      <c r="H325" s="1255"/>
      <c r="I325" s="1255"/>
      <c r="J325" s="1327" t="s">
        <v>51</v>
      </c>
      <c r="K325" s="1298">
        <v>81</v>
      </c>
      <c r="L325" s="1255"/>
      <c r="M325" s="1263" t="s">
        <v>113</v>
      </c>
      <c r="N325" s="1273">
        <f>N335+I341</f>
        <v>1.7097400000000003</v>
      </c>
      <c r="O325" s="1254"/>
    </row>
    <row r="326" spans="1:15" x14ac:dyDescent="0.25">
      <c r="A326" s="1263" t="s">
        <v>125</v>
      </c>
      <c r="B326" s="1297" t="s">
        <v>2210</v>
      </c>
      <c r="C326" s="1255"/>
      <c r="D326" s="1263" t="s">
        <v>122</v>
      </c>
      <c r="E326" s="1326" t="s">
        <v>522</v>
      </c>
      <c r="F326" s="1255"/>
      <c r="G326" s="1255"/>
      <c r="H326" s="1255"/>
      <c r="I326" s="1255"/>
      <c r="J326" s="1255"/>
      <c r="K326" s="1255"/>
      <c r="L326" s="1255"/>
      <c r="M326" s="1263" t="s">
        <v>124</v>
      </c>
      <c r="N326" s="1298">
        <v>2</v>
      </c>
      <c r="O326" s="1254"/>
    </row>
    <row r="327" spans="1:15" x14ac:dyDescent="0.25">
      <c r="A327" s="1263" t="s">
        <v>123</v>
      </c>
      <c r="B327" s="1326" t="str">
        <f>HYPERLINK("#MS_A0005",'MS Assemblies'!B166)</f>
        <v>Seat</v>
      </c>
      <c r="C327" s="1255"/>
      <c r="D327" s="1263" t="s">
        <v>119</v>
      </c>
      <c r="E327" s="1255"/>
      <c r="F327" s="1255"/>
      <c r="G327" s="1255"/>
      <c r="H327" s="1255"/>
      <c r="I327" s="1255"/>
      <c r="J327" s="1325" t="s">
        <v>122</v>
      </c>
      <c r="K327" s="1255"/>
      <c r="L327" s="1255"/>
      <c r="M327" s="1255"/>
      <c r="N327" s="1255"/>
      <c r="O327" s="1254"/>
    </row>
    <row r="328" spans="1:15" x14ac:dyDescent="0.25">
      <c r="A328" s="1263" t="s">
        <v>114</v>
      </c>
      <c r="B328" s="1296" t="s">
        <v>2276</v>
      </c>
      <c r="C328" s="1255"/>
      <c r="D328" s="1263" t="s">
        <v>116</v>
      </c>
      <c r="E328" s="1255"/>
      <c r="F328" s="1255"/>
      <c r="G328" s="1255"/>
      <c r="H328" s="1255"/>
      <c r="I328" s="1255"/>
      <c r="J328" s="1325" t="s">
        <v>119</v>
      </c>
      <c r="K328" s="1255"/>
      <c r="L328" s="1255"/>
      <c r="M328" s="1263" t="s">
        <v>118</v>
      </c>
      <c r="N328" s="1273">
        <f>N326*N325</f>
        <v>3.4194800000000005</v>
      </c>
      <c r="O328" s="1254"/>
    </row>
    <row r="329" spans="1:15" x14ac:dyDescent="0.25">
      <c r="A329" s="1263" t="s">
        <v>121</v>
      </c>
      <c r="B329" s="1296" t="s">
        <v>2275</v>
      </c>
      <c r="C329" s="1255"/>
      <c r="D329" s="1255"/>
      <c r="E329" s="1255"/>
      <c r="F329" s="1255"/>
      <c r="G329" s="1255"/>
      <c r="H329" s="1255"/>
      <c r="I329" s="1255"/>
      <c r="J329" s="1325" t="s">
        <v>116</v>
      </c>
      <c r="K329" s="1255"/>
      <c r="L329" s="1255"/>
      <c r="M329" s="1255"/>
      <c r="N329" s="1255"/>
      <c r="O329" s="1254"/>
    </row>
    <row r="330" spans="1:15" x14ac:dyDescent="0.25">
      <c r="A330" s="1263" t="s">
        <v>117</v>
      </c>
      <c r="B330" s="1294" t="s">
        <v>23</v>
      </c>
      <c r="C330" s="1255"/>
      <c r="D330" s="1255"/>
      <c r="E330" s="1255"/>
      <c r="F330" s="1255"/>
      <c r="G330" s="1255"/>
      <c r="H330" s="1255"/>
      <c r="I330" s="1255"/>
      <c r="J330" s="1255"/>
      <c r="K330" s="1255"/>
      <c r="L330" s="1255"/>
      <c r="M330" s="1255"/>
      <c r="N330" s="1255"/>
      <c r="O330" s="1254"/>
    </row>
    <row r="331" spans="1:15" x14ac:dyDescent="0.25">
      <c r="A331" s="1263" t="s">
        <v>115</v>
      </c>
      <c r="B331" s="1294" t="s">
        <v>2271</v>
      </c>
      <c r="C331" s="1255"/>
      <c r="D331" s="1255"/>
      <c r="E331" s="1255"/>
      <c r="F331" s="1255"/>
      <c r="G331" s="1255"/>
      <c r="H331" s="1255"/>
      <c r="I331" s="1255"/>
      <c r="J331" s="1255"/>
      <c r="K331" s="1255"/>
      <c r="L331" s="1255"/>
      <c r="M331" s="1255"/>
      <c r="N331" s="1255"/>
      <c r="O331" s="1254"/>
    </row>
    <row r="332" spans="1:15" x14ac:dyDescent="0.25">
      <c r="A332" s="1324"/>
      <c r="B332" s="1323"/>
      <c r="C332" s="1323"/>
      <c r="D332" s="1323"/>
      <c r="E332" s="1323"/>
      <c r="F332" s="1255"/>
      <c r="G332" s="1255"/>
      <c r="H332" s="1255"/>
      <c r="I332" s="1255"/>
      <c r="J332" s="1255"/>
      <c r="K332" s="1255"/>
      <c r="L332" s="1255"/>
      <c r="M332" s="1255"/>
      <c r="N332" s="1255"/>
      <c r="O332" s="1254"/>
    </row>
    <row r="333" spans="1:15" x14ac:dyDescent="0.25">
      <c r="A333" s="1322" t="s">
        <v>67</v>
      </c>
      <c r="B333" s="1321" t="s">
        <v>112</v>
      </c>
      <c r="C333" s="1321" t="s">
        <v>66</v>
      </c>
      <c r="D333" s="1321" t="s">
        <v>65</v>
      </c>
      <c r="E333" s="1321" t="s">
        <v>81</v>
      </c>
      <c r="F333" s="1263" t="s">
        <v>80</v>
      </c>
      <c r="G333" s="1263" t="s">
        <v>79</v>
      </c>
      <c r="H333" s="1263" t="s">
        <v>78</v>
      </c>
      <c r="I333" s="1263" t="s">
        <v>111</v>
      </c>
      <c r="J333" s="1263" t="s">
        <v>110</v>
      </c>
      <c r="K333" s="1263" t="s">
        <v>109</v>
      </c>
      <c r="L333" s="1263" t="s">
        <v>108</v>
      </c>
      <c r="M333" s="1263" t="s">
        <v>40</v>
      </c>
      <c r="N333" s="1263" t="s">
        <v>58</v>
      </c>
      <c r="O333" s="1254"/>
    </row>
    <row r="334" spans="1:15" ht="30" x14ac:dyDescent="0.25">
      <c r="A334" s="1286">
        <v>10</v>
      </c>
      <c r="B334" s="1320" t="s">
        <v>519</v>
      </c>
      <c r="C334" s="1286" t="s">
        <v>682</v>
      </c>
      <c r="D334" s="1261">
        <v>2.25</v>
      </c>
      <c r="E334" s="1286">
        <v>20</v>
      </c>
      <c r="F334" s="1286" t="s">
        <v>68</v>
      </c>
      <c r="G334" s="1286">
        <v>2</v>
      </c>
      <c r="H334" s="1320" t="s">
        <v>68</v>
      </c>
      <c r="I334" s="1319" t="s">
        <v>2274</v>
      </c>
      <c r="J334" s="1318">
        <f>(E334*10^-3)*(G334*10^-3)</f>
        <v>4.0000000000000003E-5</v>
      </c>
      <c r="K334" s="1317">
        <v>0.1</v>
      </c>
      <c r="L334" s="1316">
        <v>7860</v>
      </c>
      <c r="M334" s="1265">
        <v>1</v>
      </c>
      <c r="N334" s="1261">
        <f>IF(J334="",D334*M334,D334*J334*K334*L334*M334)</f>
        <v>7.0739999999999997E-2</v>
      </c>
      <c r="O334" s="1281"/>
    </row>
    <row r="335" spans="1:15" x14ac:dyDescent="0.25">
      <c r="A335" s="1259"/>
      <c r="B335" s="1256"/>
      <c r="C335" s="1256" t="s">
        <v>2197</v>
      </c>
      <c r="D335" s="1256"/>
      <c r="E335" s="1256"/>
      <c r="F335" s="1256"/>
      <c r="G335" s="1256"/>
      <c r="H335" s="1256"/>
      <c r="I335" s="1256"/>
      <c r="J335" s="1256"/>
      <c r="K335" s="1256"/>
      <c r="L335" s="1256"/>
      <c r="M335" s="1258" t="s">
        <v>58</v>
      </c>
      <c r="N335" s="1305">
        <f>SUM(N334:N334)</f>
        <v>7.0739999999999997E-2</v>
      </c>
      <c r="O335" s="1254"/>
    </row>
    <row r="336" spans="1:15" x14ac:dyDescent="0.25">
      <c r="A336" s="1264"/>
      <c r="B336" s="1255"/>
      <c r="C336" s="1255"/>
      <c r="D336" s="1255"/>
      <c r="E336" s="1255"/>
      <c r="F336" s="1255"/>
      <c r="G336" s="1255"/>
      <c r="H336" s="1255"/>
      <c r="I336" s="1255"/>
      <c r="J336" s="1255"/>
      <c r="K336" s="1255"/>
      <c r="L336" s="1255"/>
      <c r="M336" s="1255"/>
      <c r="N336" s="1255"/>
      <c r="O336" s="1254"/>
    </row>
    <row r="337" spans="1:15" x14ac:dyDescent="0.25">
      <c r="A337" s="1263" t="s">
        <v>67</v>
      </c>
      <c r="B337" s="1263" t="s">
        <v>106</v>
      </c>
      <c r="C337" s="1263" t="s">
        <v>66</v>
      </c>
      <c r="D337" s="1263" t="s">
        <v>65</v>
      </c>
      <c r="E337" s="1263" t="s">
        <v>64</v>
      </c>
      <c r="F337" s="1263" t="s">
        <v>40</v>
      </c>
      <c r="G337" s="1263" t="s">
        <v>105</v>
      </c>
      <c r="H337" s="1263" t="s">
        <v>104</v>
      </c>
      <c r="I337" s="1263" t="s">
        <v>58</v>
      </c>
      <c r="J337" s="1315"/>
      <c r="K337" s="1315"/>
      <c r="L337" s="1315"/>
      <c r="M337" s="1315"/>
      <c r="N337" s="1315"/>
      <c r="O337" s="1269"/>
    </row>
    <row r="338" spans="1:15" ht="30" x14ac:dyDescent="0.25">
      <c r="A338" s="1314">
        <v>10</v>
      </c>
      <c r="B338" s="1272" t="s">
        <v>516</v>
      </c>
      <c r="C338" s="1314" t="s">
        <v>802</v>
      </c>
      <c r="D338" s="1313">
        <v>1.3</v>
      </c>
      <c r="E338" s="1272" t="s">
        <v>64</v>
      </c>
      <c r="F338" s="1314">
        <v>1</v>
      </c>
      <c r="G338" s="1314" t="s">
        <v>2269</v>
      </c>
      <c r="H338" s="1314">
        <v>0.5</v>
      </c>
      <c r="I338" s="1313">
        <f>IF(H338="",D338*F338,D338*F338*H338)</f>
        <v>0.65</v>
      </c>
      <c r="J338" s="1255"/>
      <c r="K338" s="1255"/>
      <c r="L338" s="1255"/>
      <c r="M338" s="1255"/>
      <c r="N338" s="1255"/>
      <c r="O338" s="1254"/>
    </row>
    <row r="339" spans="1:15" x14ac:dyDescent="0.25">
      <c r="A339" s="1262">
        <v>20</v>
      </c>
      <c r="B339" s="1272" t="s">
        <v>541</v>
      </c>
      <c r="C339" s="1262" t="s">
        <v>834</v>
      </c>
      <c r="D339" s="1261">
        <v>0.01</v>
      </c>
      <c r="E339" s="1262" t="s">
        <v>101</v>
      </c>
      <c r="F339" s="1312">
        <v>21.3</v>
      </c>
      <c r="G339" s="1272" t="s">
        <v>695</v>
      </c>
      <c r="H339" s="1270">
        <v>3</v>
      </c>
      <c r="I339" s="1261">
        <f>IF(H339="",D339*F339,D339*F339*H339)</f>
        <v>0.63900000000000001</v>
      </c>
      <c r="J339" s="1260"/>
      <c r="K339" s="1260"/>
      <c r="L339" s="1260"/>
      <c r="M339" s="1260"/>
      <c r="N339" s="1260"/>
      <c r="O339" s="1271"/>
    </row>
    <row r="340" spans="1:15" x14ac:dyDescent="0.25">
      <c r="A340" s="1270">
        <v>30</v>
      </c>
      <c r="B340" s="1272" t="s">
        <v>296</v>
      </c>
      <c r="C340" s="1270" t="s">
        <v>2267</v>
      </c>
      <c r="D340" s="1261">
        <v>0.35</v>
      </c>
      <c r="E340" s="1262" t="s">
        <v>294</v>
      </c>
      <c r="F340" s="1270">
        <v>1</v>
      </c>
      <c r="G340" s="1270"/>
      <c r="H340" s="1270"/>
      <c r="I340" s="1261">
        <f>IF(H340="",D340*F340,D340*F340*H340)</f>
        <v>0.35</v>
      </c>
      <c r="J340" s="1255"/>
      <c r="K340" s="1255"/>
      <c r="L340" s="1255"/>
      <c r="M340" s="1255"/>
      <c r="N340" s="1255"/>
      <c r="O340" s="1254"/>
    </row>
    <row r="341" spans="1:15" x14ac:dyDescent="0.25">
      <c r="A341" s="1259"/>
      <c r="B341" s="1256"/>
      <c r="C341" s="1256"/>
      <c r="D341" s="1256"/>
      <c r="E341" s="1256"/>
      <c r="F341" s="1256"/>
      <c r="G341" s="1256"/>
      <c r="H341" s="1306" t="s">
        <v>58</v>
      </c>
      <c r="I341" s="1305">
        <f>SUM(I338:I340)</f>
        <v>1.6390000000000002</v>
      </c>
      <c r="J341" s="1256"/>
      <c r="K341" s="1256"/>
      <c r="L341" s="1256"/>
      <c r="M341" s="1256"/>
      <c r="N341" s="1256"/>
      <c r="O341" s="1254"/>
    </row>
    <row r="342" spans="1:15" x14ac:dyDescent="0.25">
      <c r="A342" s="1259"/>
      <c r="B342" s="1256"/>
      <c r="C342" s="1256"/>
      <c r="D342" s="1256"/>
      <c r="E342" s="1256"/>
      <c r="F342" s="1256"/>
      <c r="G342" s="1256"/>
      <c r="H342" s="1256"/>
      <c r="I342" s="1256"/>
      <c r="J342" s="1256"/>
      <c r="K342" s="1256"/>
      <c r="L342" s="1256"/>
      <c r="M342" s="1256"/>
      <c r="N342" s="1256"/>
      <c r="O342" s="1254"/>
    </row>
    <row r="343" spans="1:15" x14ac:dyDescent="0.25">
      <c r="A343" s="1259"/>
      <c r="B343" s="1256"/>
      <c r="C343" s="1256"/>
      <c r="D343" s="1256"/>
      <c r="E343" s="1256"/>
      <c r="F343" s="1256"/>
      <c r="G343" s="1256"/>
      <c r="H343" s="1256"/>
      <c r="I343" s="1256"/>
      <c r="J343" s="1256"/>
      <c r="K343" s="1256"/>
      <c r="L343" s="1256"/>
      <c r="M343" s="1256"/>
      <c r="N343" s="1256"/>
      <c r="O343" s="1254"/>
    </row>
    <row r="344" spans="1:15" x14ac:dyDescent="0.25">
      <c r="A344" s="1259"/>
      <c r="B344" s="1256"/>
      <c r="C344" s="1256"/>
      <c r="D344" s="1256"/>
      <c r="E344" s="1256"/>
      <c r="F344" s="1256"/>
      <c r="G344" s="1256"/>
      <c r="H344" s="1256"/>
      <c r="I344" s="1256"/>
      <c r="J344" s="1256"/>
      <c r="K344" s="1256"/>
      <c r="L344" s="1256"/>
      <c r="M344" s="1256"/>
      <c r="N344" s="1256"/>
      <c r="O344" s="1254"/>
    </row>
    <row r="345" spans="1:15" x14ac:dyDescent="0.25">
      <c r="A345" s="1259"/>
      <c r="B345" s="1256"/>
      <c r="C345" s="1256"/>
      <c r="D345" s="1256"/>
      <c r="E345" s="1256"/>
      <c r="F345" s="1256"/>
      <c r="G345" s="1256"/>
      <c r="H345" s="1256"/>
      <c r="I345" s="1256"/>
      <c r="J345" s="1256"/>
      <c r="K345" s="1256"/>
      <c r="L345" s="1256"/>
      <c r="M345" s="1256"/>
      <c r="N345" s="1256"/>
      <c r="O345" s="1254"/>
    </row>
    <row r="346" spans="1:15" ht="15.75" thickBot="1" x14ac:dyDescent="0.3">
      <c r="A346" s="1253"/>
      <c r="B346" s="1252"/>
      <c r="C346" s="1252"/>
      <c r="D346" s="1252"/>
      <c r="E346" s="1252"/>
      <c r="F346" s="1252"/>
      <c r="G346" s="1252"/>
      <c r="H346" s="1252"/>
      <c r="I346" s="1252"/>
      <c r="J346" s="1252"/>
      <c r="K346" s="1252"/>
      <c r="L346" s="1252"/>
      <c r="M346" s="1252"/>
      <c r="N346" s="1252"/>
      <c r="O346" s="1251"/>
    </row>
    <row r="347" spans="1:15" ht="15.75" thickBot="1" x14ac:dyDescent="0.3">
      <c r="A347" s="1302"/>
      <c r="B347" s="1302"/>
      <c r="C347" s="1302"/>
      <c r="D347" s="1302"/>
      <c r="E347" s="1302"/>
      <c r="F347" s="1302"/>
      <c r="G347" s="1302"/>
      <c r="H347" s="1302"/>
      <c r="I347" s="1302"/>
      <c r="J347" s="1302"/>
      <c r="K347" s="1302"/>
      <c r="L347" s="1302"/>
      <c r="M347" s="1302"/>
      <c r="N347" s="1302"/>
      <c r="O347" s="1302"/>
    </row>
    <row r="348" spans="1:15" x14ac:dyDescent="0.25">
      <c r="A348" s="1301"/>
      <c r="B348" s="1300"/>
      <c r="C348" s="1300"/>
      <c r="D348" s="1300"/>
      <c r="E348" s="1300"/>
      <c r="F348" s="1300"/>
      <c r="G348" s="1300"/>
      <c r="H348" s="1300"/>
      <c r="I348" s="1300"/>
      <c r="J348" s="1300"/>
      <c r="K348" s="1300"/>
      <c r="L348" s="1300"/>
      <c r="M348" s="1300"/>
      <c r="N348" s="1300"/>
      <c r="O348" s="1299"/>
    </row>
    <row r="349" spans="1:15" x14ac:dyDescent="0.25">
      <c r="A349" s="1263" t="s">
        <v>57</v>
      </c>
      <c r="B349" s="1294" t="s">
        <v>523</v>
      </c>
      <c r="C349" s="1255"/>
      <c r="D349" s="1255"/>
      <c r="E349" s="1255"/>
      <c r="F349" s="1255"/>
      <c r="G349" s="1255"/>
      <c r="H349" s="1255"/>
      <c r="I349" s="1255"/>
      <c r="J349" s="1327" t="s">
        <v>51</v>
      </c>
      <c r="K349" s="1298">
        <v>81</v>
      </c>
      <c r="L349" s="1255"/>
      <c r="M349" s="1263" t="s">
        <v>113</v>
      </c>
      <c r="N349" s="1273">
        <f>N359+I366</f>
        <v>2.1069360599999998</v>
      </c>
      <c r="O349" s="1254"/>
    </row>
    <row r="350" spans="1:15" x14ac:dyDescent="0.25">
      <c r="A350" s="1263" t="s">
        <v>125</v>
      </c>
      <c r="B350" s="1297" t="s">
        <v>2210</v>
      </c>
      <c r="C350" s="1255"/>
      <c r="D350" s="1263" t="s">
        <v>122</v>
      </c>
      <c r="E350" s="1326" t="s">
        <v>522</v>
      </c>
      <c r="F350" s="1255"/>
      <c r="G350" s="1255"/>
      <c r="H350" s="1255"/>
      <c r="I350" s="1255"/>
      <c r="J350" s="1255"/>
      <c r="K350" s="1255"/>
      <c r="L350" s="1255"/>
      <c r="M350" s="1263" t="s">
        <v>124</v>
      </c>
      <c r="N350" s="1298">
        <v>2</v>
      </c>
      <c r="O350" s="1254"/>
    </row>
    <row r="351" spans="1:15" x14ac:dyDescent="0.25">
      <c r="A351" s="1263" t="s">
        <v>123</v>
      </c>
      <c r="B351" s="1326" t="str">
        <f>HYPERLINK("#MS_A0005",'MS Assemblies'!B166)</f>
        <v>Seat</v>
      </c>
      <c r="C351" s="1255"/>
      <c r="D351" s="1263" t="s">
        <v>119</v>
      </c>
      <c r="E351" s="1255"/>
      <c r="F351" s="1255"/>
      <c r="G351" s="1255"/>
      <c r="H351" s="1255"/>
      <c r="I351" s="1255"/>
      <c r="J351" s="1325" t="s">
        <v>122</v>
      </c>
      <c r="K351" s="1255"/>
      <c r="L351" s="1255"/>
      <c r="M351" s="1255"/>
      <c r="N351" s="1255"/>
      <c r="O351" s="1254"/>
    </row>
    <row r="352" spans="1:15" x14ac:dyDescent="0.25">
      <c r="A352" s="1263" t="s">
        <v>114</v>
      </c>
      <c r="B352" s="1296" t="s">
        <v>2273</v>
      </c>
      <c r="C352" s="1255"/>
      <c r="D352" s="1263" t="s">
        <v>116</v>
      </c>
      <c r="E352" s="1255"/>
      <c r="F352" s="1255"/>
      <c r="G352" s="1255"/>
      <c r="H352" s="1255"/>
      <c r="I352" s="1255"/>
      <c r="J352" s="1325" t="s">
        <v>119</v>
      </c>
      <c r="K352" s="1255"/>
      <c r="L352" s="1255"/>
      <c r="M352" s="1263" t="s">
        <v>118</v>
      </c>
      <c r="N352" s="1273">
        <f>N350*N349</f>
        <v>4.2138721199999996</v>
      </c>
      <c r="O352" s="1254"/>
    </row>
    <row r="353" spans="1:15" x14ac:dyDescent="0.25">
      <c r="A353" s="1263" t="s">
        <v>121</v>
      </c>
      <c r="B353" s="1296" t="s">
        <v>2272</v>
      </c>
      <c r="C353" s="1255"/>
      <c r="D353" s="1255"/>
      <c r="E353" s="1255"/>
      <c r="F353" s="1255"/>
      <c r="G353" s="1255"/>
      <c r="H353" s="1255"/>
      <c r="I353" s="1255"/>
      <c r="J353" s="1325" t="s">
        <v>116</v>
      </c>
      <c r="K353" s="1255"/>
      <c r="L353" s="1255"/>
      <c r="M353" s="1255"/>
      <c r="N353" s="1255"/>
      <c r="O353" s="1254"/>
    </row>
    <row r="354" spans="1:15" x14ac:dyDescent="0.25">
      <c r="A354" s="1263" t="s">
        <v>117</v>
      </c>
      <c r="B354" s="1294" t="s">
        <v>23</v>
      </c>
      <c r="C354" s="1255"/>
      <c r="D354" s="1255"/>
      <c r="E354" s="1255"/>
      <c r="F354" s="1255"/>
      <c r="G354" s="1255"/>
      <c r="H354" s="1255"/>
      <c r="I354" s="1255"/>
      <c r="J354" s="1255"/>
      <c r="K354" s="1255"/>
      <c r="L354" s="1255"/>
      <c r="M354" s="1255"/>
      <c r="N354" s="1255"/>
      <c r="O354" s="1254"/>
    </row>
    <row r="355" spans="1:15" x14ac:dyDescent="0.25">
      <c r="A355" s="1263" t="s">
        <v>115</v>
      </c>
      <c r="B355" s="1294" t="s">
        <v>2271</v>
      </c>
      <c r="C355" s="1255"/>
      <c r="D355" s="1255"/>
      <c r="E355" s="1255"/>
      <c r="F355" s="1255"/>
      <c r="G355" s="1255"/>
      <c r="H355" s="1255"/>
      <c r="I355" s="1255"/>
      <c r="J355" s="1255"/>
      <c r="K355" s="1255"/>
      <c r="L355" s="1255"/>
      <c r="M355" s="1255"/>
      <c r="N355" s="1255"/>
      <c r="O355" s="1254"/>
    </row>
    <row r="356" spans="1:15" x14ac:dyDescent="0.25">
      <c r="A356" s="1324"/>
      <c r="B356" s="1323"/>
      <c r="C356" s="1323"/>
      <c r="D356" s="1323"/>
      <c r="E356" s="1323"/>
      <c r="F356" s="1255"/>
      <c r="G356" s="1255"/>
      <c r="H356" s="1255"/>
      <c r="I356" s="1255"/>
      <c r="J356" s="1255"/>
      <c r="K356" s="1255"/>
      <c r="L356" s="1255"/>
      <c r="M356" s="1255"/>
      <c r="N356" s="1255"/>
      <c r="O356" s="1254"/>
    </row>
    <row r="357" spans="1:15" x14ac:dyDescent="0.25">
      <c r="A357" s="1322" t="s">
        <v>67</v>
      </c>
      <c r="B357" s="1321" t="s">
        <v>112</v>
      </c>
      <c r="C357" s="1321" t="s">
        <v>66</v>
      </c>
      <c r="D357" s="1321" t="s">
        <v>65</v>
      </c>
      <c r="E357" s="1321" t="s">
        <v>81</v>
      </c>
      <c r="F357" s="1263" t="s">
        <v>80</v>
      </c>
      <c r="G357" s="1263" t="s">
        <v>79</v>
      </c>
      <c r="H357" s="1263" t="s">
        <v>78</v>
      </c>
      <c r="I357" s="1263" t="s">
        <v>111</v>
      </c>
      <c r="J357" s="1263" t="s">
        <v>110</v>
      </c>
      <c r="K357" s="1263" t="s">
        <v>109</v>
      </c>
      <c r="L357" s="1263" t="s">
        <v>108</v>
      </c>
      <c r="M357" s="1263" t="s">
        <v>40</v>
      </c>
      <c r="N357" s="1263" t="s">
        <v>58</v>
      </c>
      <c r="O357" s="1254"/>
    </row>
    <row r="358" spans="1:15" ht="30" x14ac:dyDescent="0.25">
      <c r="A358" s="1286">
        <v>10</v>
      </c>
      <c r="B358" s="1320" t="s">
        <v>519</v>
      </c>
      <c r="C358" s="1286" t="s">
        <v>682</v>
      </c>
      <c r="D358" s="1261">
        <v>2.25</v>
      </c>
      <c r="E358" s="1286">
        <v>21</v>
      </c>
      <c r="F358" s="1286" t="s">
        <v>68</v>
      </c>
      <c r="G358" s="1286">
        <v>2</v>
      </c>
      <c r="H358" s="1320" t="s">
        <v>68</v>
      </c>
      <c r="I358" s="1319" t="s">
        <v>2270</v>
      </c>
      <c r="J358" s="1318">
        <f>(E358*10^-3)*(G358*10^-3)</f>
        <v>4.2000000000000004E-5</v>
      </c>
      <c r="K358" s="1317">
        <v>7.8E-2</v>
      </c>
      <c r="L358" s="1316">
        <v>7860</v>
      </c>
      <c r="M358" s="1265">
        <v>1</v>
      </c>
      <c r="N358" s="1261">
        <f>IF(J358="",D358*M358,D358*J358*K358*L358*M358)</f>
        <v>5.7936060000000004E-2</v>
      </c>
      <c r="O358" s="1281"/>
    </row>
    <row r="359" spans="1:15" x14ac:dyDescent="0.25">
      <c r="A359" s="1259"/>
      <c r="B359" s="1256"/>
      <c r="C359" s="1256" t="s">
        <v>2197</v>
      </c>
      <c r="D359" s="1256"/>
      <c r="E359" s="1256"/>
      <c r="F359" s="1256"/>
      <c r="G359" s="1256"/>
      <c r="H359" s="1256"/>
      <c r="I359" s="1256"/>
      <c r="J359" s="1256"/>
      <c r="K359" s="1256"/>
      <c r="L359" s="1256"/>
      <c r="M359" s="1258" t="s">
        <v>58</v>
      </c>
      <c r="N359" s="1305">
        <f>SUM(N358:N358)</f>
        <v>5.7936060000000004E-2</v>
      </c>
      <c r="O359" s="1254"/>
    </row>
    <row r="360" spans="1:15" x14ac:dyDescent="0.25">
      <c r="A360" s="1264"/>
      <c r="B360" s="1255"/>
      <c r="C360" s="1255"/>
      <c r="D360" s="1255"/>
      <c r="E360" s="1255"/>
      <c r="F360" s="1255"/>
      <c r="G360" s="1255"/>
      <c r="H360" s="1255"/>
      <c r="I360" s="1255"/>
      <c r="J360" s="1255"/>
      <c r="K360" s="1255"/>
      <c r="L360" s="1255"/>
      <c r="M360" s="1255"/>
      <c r="N360" s="1255"/>
      <c r="O360" s="1254"/>
    </row>
    <row r="361" spans="1:15" x14ac:dyDescent="0.25">
      <c r="A361" s="1263" t="s">
        <v>67</v>
      </c>
      <c r="B361" s="1263" t="s">
        <v>106</v>
      </c>
      <c r="C361" s="1263" t="s">
        <v>66</v>
      </c>
      <c r="D361" s="1263" t="s">
        <v>65</v>
      </c>
      <c r="E361" s="1263" t="s">
        <v>64</v>
      </c>
      <c r="F361" s="1263" t="s">
        <v>40</v>
      </c>
      <c r="G361" s="1263" t="s">
        <v>105</v>
      </c>
      <c r="H361" s="1263" t="s">
        <v>104</v>
      </c>
      <c r="I361" s="1263" t="s">
        <v>58</v>
      </c>
      <c r="J361" s="1315"/>
      <c r="K361" s="1315"/>
      <c r="L361" s="1315"/>
      <c r="M361" s="1315"/>
      <c r="N361" s="1315"/>
      <c r="O361" s="1269"/>
    </row>
    <row r="362" spans="1:15" ht="30" x14ac:dyDescent="0.25">
      <c r="A362" s="1314">
        <v>10</v>
      </c>
      <c r="B362" s="1272" t="s">
        <v>516</v>
      </c>
      <c r="C362" s="1314" t="s">
        <v>802</v>
      </c>
      <c r="D362" s="1313">
        <v>1.3</v>
      </c>
      <c r="E362" s="1272" t="s">
        <v>64</v>
      </c>
      <c r="F362" s="1314">
        <v>1</v>
      </c>
      <c r="G362" s="1314" t="s">
        <v>2269</v>
      </c>
      <c r="H362" s="1314">
        <v>0.5</v>
      </c>
      <c r="I362" s="1313">
        <f>IF(H362="",D362*F362,D362*F362*H362)</f>
        <v>0.65</v>
      </c>
      <c r="J362" s="1255"/>
      <c r="K362" s="1255"/>
      <c r="L362" s="1255"/>
      <c r="M362" s="1255"/>
      <c r="N362" s="1255"/>
      <c r="O362" s="1254"/>
    </row>
    <row r="363" spans="1:15" x14ac:dyDescent="0.25">
      <c r="A363" s="1262">
        <v>20</v>
      </c>
      <c r="B363" s="1272" t="s">
        <v>541</v>
      </c>
      <c r="C363" s="1262" t="s">
        <v>834</v>
      </c>
      <c r="D363" s="1261">
        <v>0.01</v>
      </c>
      <c r="E363" s="1262" t="s">
        <v>101</v>
      </c>
      <c r="F363" s="1312">
        <v>18.3</v>
      </c>
      <c r="G363" s="1272" t="s">
        <v>695</v>
      </c>
      <c r="H363" s="1270">
        <v>3</v>
      </c>
      <c r="I363" s="1261">
        <f>IF(H363="",D363*F363,D363*F363*H363)</f>
        <v>0.54900000000000004</v>
      </c>
      <c r="J363" s="1260"/>
      <c r="K363" s="1260"/>
      <c r="L363" s="1260"/>
      <c r="M363" s="1260"/>
      <c r="N363" s="1260"/>
      <c r="O363" s="1271"/>
    </row>
    <row r="364" spans="1:15" x14ac:dyDescent="0.25">
      <c r="A364" s="1262">
        <v>30</v>
      </c>
      <c r="B364" s="1272" t="s">
        <v>539</v>
      </c>
      <c r="C364" s="1262" t="s">
        <v>2268</v>
      </c>
      <c r="D364" s="1261">
        <v>0.25</v>
      </c>
      <c r="E364" s="1262" t="s">
        <v>537</v>
      </c>
      <c r="F364" s="1292">
        <v>2</v>
      </c>
      <c r="G364" s="1272"/>
      <c r="H364" s="1270"/>
      <c r="I364" s="1261">
        <f>IF(H364="",D364*F364,D364*F364*H364)</f>
        <v>0.5</v>
      </c>
      <c r="J364" s="1260"/>
      <c r="K364" s="1260"/>
      <c r="L364" s="1260"/>
      <c r="M364" s="1260"/>
      <c r="N364" s="1260"/>
      <c r="O364" s="1271"/>
    </row>
    <row r="365" spans="1:15" x14ac:dyDescent="0.25">
      <c r="A365" s="1270">
        <v>40</v>
      </c>
      <c r="B365" s="1272" t="s">
        <v>296</v>
      </c>
      <c r="C365" s="1270" t="s">
        <v>2267</v>
      </c>
      <c r="D365" s="1261">
        <v>0.35</v>
      </c>
      <c r="E365" s="1262" t="s">
        <v>294</v>
      </c>
      <c r="F365" s="1270">
        <v>1</v>
      </c>
      <c r="G365" s="1270"/>
      <c r="H365" s="1270"/>
      <c r="I365" s="1261">
        <f>IF(H365="",D365*F365,D365*F365*H365)</f>
        <v>0.35</v>
      </c>
      <c r="J365" s="1255"/>
      <c r="K365" s="1255"/>
      <c r="L365" s="1255"/>
      <c r="M365" s="1255"/>
      <c r="N365" s="1255"/>
      <c r="O365" s="1254"/>
    </row>
    <row r="366" spans="1:15" x14ac:dyDescent="0.25">
      <c r="A366" s="1259"/>
      <c r="B366" s="1256"/>
      <c r="C366" s="1256"/>
      <c r="D366" s="1256"/>
      <c r="E366" s="1256"/>
      <c r="F366" s="1256"/>
      <c r="G366" s="1256"/>
      <c r="H366" s="1306" t="s">
        <v>58</v>
      </c>
      <c r="I366" s="1305">
        <f>SUM(I362:I365)</f>
        <v>2.0489999999999999</v>
      </c>
      <c r="J366" s="1256"/>
      <c r="K366" s="1256"/>
      <c r="L366" s="1256"/>
      <c r="M366" s="1256"/>
      <c r="N366" s="1256"/>
      <c r="O366" s="1254"/>
    </row>
    <row r="367" spans="1:15" x14ac:dyDescent="0.25">
      <c r="A367" s="1259"/>
      <c r="B367" s="1256"/>
      <c r="C367" s="1256"/>
      <c r="D367" s="1256"/>
      <c r="E367" s="1256"/>
      <c r="F367" s="1256"/>
      <c r="G367" s="1256"/>
      <c r="H367" s="1256"/>
      <c r="I367" s="1256"/>
      <c r="J367" s="1256"/>
      <c r="K367" s="1256"/>
      <c r="L367" s="1256"/>
      <c r="M367" s="1256"/>
      <c r="N367" s="1256"/>
      <c r="O367" s="1254"/>
    </row>
    <row r="368" spans="1:15" x14ac:dyDescent="0.25">
      <c r="A368" s="1259"/>
      <c r="B368" s="1256"/>
      <c r="C368" s="1256"/>
      <c r="D368" s="1256"/>
      <c r="E368" s="1256"/>
      <c r="F368" s="1256"/>
      <c r="G368" s="1256"/>
      <c r="H368" s="1256"/>
      <c r="I368" s="1256"/>
      <c r="J368" s="1256"/>
      <c r="K368" s="1256"/>
      <c r="L368" s="1256"/>
      <c r="M368" s="1256"/>
      <c r="N368" s="1256"/>
      <c r="O368" s="1254"/>
    </row>
    <row r="369" spans="1:15" x14ac:dyDescent="0.25">
      <c r="A369" s="1259"/>
      <c r="B369" s="1256"/>
      <c r="C369" s="1256"/>
      <c r="D369" s="1256"/>
      <c r="E369" s="1256"/>
      <c r="F369" s="1256"/>
      <c r="G369" s="1256"/>
      <c r="H369" s="1256"/>
      <c r="I369" s="1256"/>
      <c r="J369" s="1256"/>
      <c r="K369" s="1256"/>
      <c r="L369" s="1256"/>
      <c r="M369" s="1256"/>
      <c r="N369" s="1256"/>
      <c r="O369" s="1254"/>
    </row>
    <row r="370" spans="1:15" x14ac:dyDescent="0.25">
      <c r="A370" s="1259"/>
      <c r="B370" s="1256"/>
      <c r="C370" s="1256"/>
      <c r="D370" s="1256"/>
      <c r="E370" s="1256"/>
      <c r="F370" s="1256"/>
      <c r="G370" s="1256"/>
      <c r="H370" s="1256"/>
      <c r="I370" s="1256"/>
      <c r="J370" s="1256"/>
      <c r="K370" s="1256"/>
      <c r="L370" s="1256"/>
      <c r="M370" s="1256"/>
      <c r="N370" s="1256"/>
      <c r="O370" s="1254"/>
    </row>
    <row r="371" spans="1:15" x14ac:dyDescent="0.25">
      <c r="A371" s="1259"/>
      <c r="B371" s="1256"/>
      <c r="C371" s="1256"/>
      <c r="D371" s="1256"/>
      <c r="E371" s="1256"/>
      <c r="F371" s="1256"/>
      <c r="G371" s="1256"/>
      <c r="H371" s="1256"/>
      <c r="I371" s="1256"/>
      <c r="J371" s="1256"/>
      <c r="K371" s="1256"/>
      <c r="L371" s="1256"/>
      <c r="M371" s="1256"/>
      <c r="N371" s="1256"/>
      <c r="O371" s="1254"/>
    </row>
    <row r="372" spans="1:15" ht="15.75" thickBot="1" x14ac:dyDescent="0.3">
      <c r="A372" s="1253"/>
      <c r="B372" s="1252"/>
      <c r="C372" s="1252"/>
      <c r="D372" s="1252"/>
      <c r="E372" s="1252"/>
      <c r="F372" s="1252"/>
      <c r="G372" s="1252"/>
      <c r="H372" s="1252"/>
      <c r="I372" s="1252"/>
      <c r="J372" s="1252"/>
      <c r="K372" s="1252"/>
      <c r="L372" s="1252"/>
      <c r="M372" s="1252"/>
      <c r="N372" s="1252"/>
      <c r="O372" s="1251"/>
    </row>
  </sheetData>
  <sheetProtection selectLockedCells="1" selectUnlockedCells="1"/>
  <hyperlinks>
    <hyperlink ref="E3" location="dMS_01001" display="Drawing"/>
    <hyperlink ref="E31" location="dMS_01002" display="Drawing"/>
    <hyperlink ref="E56" location="dMS_01003" display="Drawing"/>
    <hyperlink ref="E81" location="dMS_01004" display="Drawing"/>
    <hyperlink ref="E105" location="dMS_01005" display="Drawing"/>
    <hyperlink ref="E131" location="dMS_01006" display="Drawing"/>
    <hyperlink ref="E156" location="dMS_01007" display="Drawing"/>
    <hyperlink ref="E179" location="dMS_02001" display="Drawing"/>
    <hyperlink ref="E202" location="dMS_03001" display="Drawing"/>
    <hyperlink ref="E228" location="dMS_03002" display="Drawing"/>
    <hyperlink ref="E252" location="dMS_03003" display="Drawing"/>
    <hyperlink ref="E326" location="dMS_05002" display="Drawing"/>
    <hyperlink ref="E350" location="dMS_05003" display="Drawing"/>
  </hyperlinks>
  <pageMargins left="0.78749999999999998" right="0.78749999999999998" top="1.0527777777777778" bottom="1.0527777777777778" header="0.78749999999999998" footer="0.78749999999999998"/>
  <pageSetup paperSize="9" scale="59" firstPageNumber="0" fitToHeight="0" orientation="landscape" horizontalDpi="300" verticalDpi="300" r:id="rId1"/>
  <headerFooter alignWithMargins="0">
    <oddHeader>&amp;C&amp;"Times New Roman,Normal"&amp;12&amp;A</oddHeader>
    <oddFooter>&amp;C&amp;"Times New Roman,Normal"&amp;12Page &amp;P</oddFooter>
  </headerFooter>
  <rowBreaks count="14" manualBreakCount="14">
    <brk id="27" max="16383" man="1"/>
    <brk id="52" max="16383" man="1"/>
    <brk id="77" max="16383" man="1"/>
    <brk id="101" max="16383" man="1"/>
    <brk id="127" max="16383" man="1"/>
    <brk id="152" max="16383" man="1"/>
    <brk id="175" max="16383" man="1"/>
    <brk id="198" max="16383" man="1"/>
    <brk id="224" max="16383" man="1"/>
    <brk id="248" max="16383" man="1"/>
    <brk id="272" max="16383" man="1"/>
    <brk id="291" max="16383" man="1"/>
    <brk id="322" max="16383" man="1"/>
    <brk id="346" max="16383" man="1"/>
  </row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24"/>
    <pageSetUpPr fitToPage="1"/>
  </sheetPr>
  <dimension ref="A1:G94"/>
  <sheetViews>
    <sheetView zoomScale="80" zoomScaleNormal="80" workbookViewId="0"/>
  </sheetViews>
  <sheetFormatPr baseColWidth="10" defaultColWidth="8.28515625" defaultRowHeight="15" x14ac:dyDescent="0.25"/>
  <cols>
    <col min="1" max="1" width="11.5703125" style="1250" customWidth="1"/>
    <col min="2" max="5" width="8.28515625" style="1302"/>
    <col min="6" max="6" width="11.85546875" style="1302" customWidth="1"/>
    <col min="7" max="16384" width="8.28515625" style="1302"/>
  </cols>
  <sheetData>
    <row r="1" spans="1:7" x14ac:dyDescent="0.25">
      <c r="A1" s="1326" t="s">
        <v>1087</v>
      </c>
      <c r="B1" s="1339" t="str">
        <f>MS_01001</f>
        <v>MS 01001</v>
      </c>
      <c r="F1" s="1326" t="s">
        <v>1087</v>
      </c>
      <c r="G1" s="1339" t="str">
        <f>MS_01002</f>
        <v>MS 01002</v>
      </c>
    </row>
    <row r="2" spans="1:7" x14ac:dyDescent="0.25">
      <c r="A2" s="1302"/>
    </row>
    <row r="3" spans="1:7" x14ac:dyDescent="0.25">
      <c r="A3" s="1302"/>
    </row>
    <row r="4" spans="1:7" x14ac:dyDescent="0.25">
      <c r="A4" s="1302"/>
    </row>
    <row r="5" spans="1:7" x14ac:dyDescent="0.25">
      <c r="A5" s="1302"/>
    </row>
    <row r="6" spans="1:7" x14ac:dyDescent="0.25">
      <c r="A6" s="1302"/>
    </row>
    <row r="7" spans="1:7" x14ac:dyDescent="0.25">
      <c r="A7" s="1302"/>
    </row>
    <row r="8" spans="1:7" x14ac:dyDescent="0.25">
      <c r="A8" s="1302"/>
    </row>
    <row r="9" spans="1:7" x14ac:dyDescent="0.25">
      <c r="A9" s="1302"/>
    </row>
    <row r="10" spans="1:7" x14ac:dyDescent="0.25">
      <c r="A10" s="1302"/>
    </row>
    <row r="11" spans="1:7" x14ac:dyDescent="0.25">
      <c r="A11" s="1302"/>
    </row>
    <row r="12" spans="1:7" x14ac:dyDescent="0.25">
      <c r="A12" s="1302"/>
    </row>
    <row r="13" spans="1:7" x14ac:dyDescent="0.25">
      <c r="A13" s="1302"/>
    </row>
    <row r="14" spans="1:7" x14ac:dyDescent="0.25">
      <c r="A14" s="1326" t="s">
        <v>1087</v>
      </c>
      <c r="B14" s="1339" t="str">
        <f>MS_01003</f>
        <v>MS 01003</v>
      </c>
      <c r="F14" s="1326" t="s">
        <v>1087</v>
      </c>
      <c r="G14" s="1339" t="str">
        <f>MS_01004</f>
        <v>MS 01004</v>
      </c>
    </row>
    <row r="15" spans="1:7" x14ac:dyDescent="0.25">
      <c r="A15" s="1302"/>
    </row>
    <row r="16" spans="1:7" x14ac:dyDescent="0.25">
      <c r="A16" s="1302"/>
    </row>
    <row r="17" spans="1:7" x14ac:dyDescent="0.25">
      <c r="A17" s="1302"/>
    </row>
    <row r="18" spans="1:7" x14ac:dyDescent="0.25">
      <c r="A18" s="1302"/>
    </row>
    <row r="19" spans="1:7" x14ac:dyDescent="0.25">
      <c r="A19" s="1302"/>
    </row>
    <row r="20" spans="1:7" x14ac:dyDescent="0.25">
      <c r="A20" s="1302"/>
    </row>
    <row r="21" spans="1:7" x14ac:dyDescent="0.25">
      <c r="A21" s="1302"/>
    </row>
    <row r="22" spans="1:7" x14ac:dyDescent="0.25">
      <c r="A22" s="1302"/>
    </row>
    <row r="23" spans="1:7" x14ac:dyDescent="0.25">
      <c r="A23" s="1302"/>
    </row>
    <row r="24" spans="1:7" x14ac:dyDescent="0.25">
      <c r="A24" s="1302"/>
    </row>
    <row r="25" spans="1:7" x14ac:dyDescent="0.25">
      <c r="A25" s="1302"/>
    </row>
    <row r="26" spans="1:7" x14ac:dyDescent="0.25">
      <c r="A26" s="1302"/>
    </row>
    <row r="27" spans="1:7" x14ac:dyDescent="0.25">
      <c r="A27" s="1326" t="s">
        <v>1087</v>
      </c>
      <c r="B27" s="1339" t="str">
        <f>MS_01005</f>
        <v>MS 01005</v>
      </c>
      <c r="F27" s="1326" t="s">
        <v>1087</v>
      </c>
      <c r="G27" s="1339" t="str">
        <f>MS_01006</f>
        <v>MS 01006</v>
      </c>
    </row>
    <row r="28" spans="1:7" x14ac:dyDescent="0.25">
      <c r="A28" s="1302"/>
    </row>
    <row r="29" spans="1:7" x14ac:dyDescent="0.25">
      <c r="A29" s="1302"/>
    </row>
    <row r="30" spans="1:7" x14ac:dyDescent="0.25">
      <c r="A30" s="1302"/>
    </row>
    <row r="31" spans="1:7" x14ac:dyDescent="0.25">
      <c r="A31" s="1302"/>
    </row>
    <row r="32" spans="1:7" x14ac:dyDescent="0.25">
      <c r="A32" s="1302"/>
    </row>
    <row r="33" spans="1:7" x14ac:dyDescent="0.25">
      <c r="A33" s="1302"/>
    </row>
    <row r="34" spans="1:7" x14ac:dyDescent="0.25">
      <c r="A34" s="1302"/>
    </row>
    <row r="35" spans="1:7" x14ac:dyDescent="0.25">
      <c r="A35" s="1302"/>
    </row>
    <row r="36" spans="1:7" x14ac:dyDescent="0.25">
      <c r="A36" s="1302"/>
    </row>
    <row r="37" spans="1:7" x14ac:dyDescent="0.25">
      <c r="A37" s="1302"/>
    </row>
    <row r="38" spans="1:7" x14ac:dyDescent="0.25">
      <c r="A38" s="1302"/>
    </row>
    <row r="39" spans="1:7" x14ac:dyDescent="0.25">
      <c r="A39" s="1302"/>
    </row>
    <row r="40" spans="1:7" x14ac:dyDescent="0.25">
      <c r="A40" s="1326" t="s">
        <v>1087</v>
      </c>
      <c r="B40" s="1339" t="str">
        <f>MS_01007</f>
        <v>MS 01007</v>
      </c>
      <c r="F40" s="1326" t="s">
        <v>1087</v>
      </c>
      <c r="G40" s="1339" t="str">
        <f>MS_02001</f>
        <v>MS 02001</v>
      </c>
    </row>
    <row r="41" spans="1:7" x14ac:dyDescent="0.25">
      <c r="A41" s="1302"/>
    </row>
    <row r="42" spans="1:7" x14ac:dyDescent="0.25">
      <c r="A42" s="1302"/>
    </row>
    <row r="43" spans="1:7" x14ac:dyDescent="0.25">
      <c r="A43" s="1302"/>
    </row>
    <row r="44" spans="1:7" x14ac:dyDescent="0.25">
      <c r="A44" s="1302"/>
    </row>
    <row r="45" spans="1:7" x14ac:dyDescent="0.25">
      <c r="A45" s="1302"/>
    </row>
    <row r="46" spans="1:7" x14ac:dyDescent="0.25">
      <c r="A46" s="1302"/>
    </row>
    <row r="47" spans="1:7" x14ac:dyDescent="0.25">
      <c r="A47" s="1302"/>
    </row>
    <row r="48" spans="1:7" x14ac:dyDescent="0.25">
      <c r="A48" s="1302"/>
    </row>
    <row r="49" spans="1:7" x14ac:dyDescent="0.25">
      <c r="A49" s="1302"/>
    </row>
    <row r="50" spans="1:7" x14ac:dyDescent="0.25">
      <c r="A50" s="1302"/>
    </row>
    <row r="51" spans="1:7" x14ac:dyDescent="0.25">
      <c r="A51" s="1302"/>
    </row>
    <row r="52" spans="1:7" x14ac:dyDescent="0.25">
      <c r="A52" s="1302"/>
    </row>
    <row r="53" spans="1:7" x14ac:dyDescent="0.25">
      <c r="A53" s="1302"/>
    </row>
    <row r="54" spans="1:7" x14ac:dyDescent="0.25">
      <c r="A54" s="1302"/>
    </row>
    <row r="55" spans="1:7" x14ac:dyDescent="0.25">
      <c r="A55" s="1302"/>
    </row>
    <row r="56" spans="1:7" x14ac:dyDescent="0.25">
      <c r="A56" s="1302"/>
    </row>
    <row r="57" spans="1:7" x14ac:dyDescent="0.25">
      <c r="A57" s="1302"/>
    </row>
    <row r="58" spans="1:7" x14ac:dyDescent="0.25">
      <c r="A58" s="1326" t="s">
        <v>1087</v>
      </c>
      <c r="B58" s="1340" t="str">
        <f>MS_03001</f>
        <v>MS 03001</v>
      </c>
      <c r="F58" s="1326" t="s">
        <v>1087</v>
      </c>
      <c r="G58" s="1340" t="str">
        <f>MS_03002</f>
        <v>MS 03002</v>
      </c>
    </row>
    <row r="59" spans="1:7" x14ac:dyDescent="0.25">
      <c r="A59" s="1302"/>
    </row>
    <row r="60" spans="1:7" x14ac:dyDescent="0.25">
      <c r="A60" s="1302"/>
    </row>
    <row r="61" spans="1:7" x14ac:dyDescent="0.25">
      <c r="A61" s="1302"/>
    </row>
    <row r="62" spans="1:7" x14ac:dyDescent="0.25">
      <c r="A62" s="1302"/>
    </row>
    <row r="63" spans="1:7" x14ac:dyDescent="0.25">
      <c r="A63" s="1302"/>
    </row>
    <row r="64" spans="1:7" x14ac:dyDescent="0.25">
      <c r="A64" s="1302"/>
    </row>
    <row r="65" spans="1:7" x14ac:dyDescent="0.25">
      <c r="A65" s="1302"/>
    </row>
    <row r="66" spans="1:7" x14ac:dyDescent="0.25">
      <c r="A66" s="1302"/>
    </row>
    <row r="67" spans="1:7" x14ac:dyDescent="0.25">
      <c r="A67" s="1302"/>
    </row>
    <row r="68" spans="1:7" x14ac:dyDescent="0.25">
      <c r="A68" s="1302"/>
    </row>
    <row r="69" spans="1:7" x14ac:dyDescent="0.25">
      <c r="A69" s="1302"/>
    </row>
    <row r="70" spans="1:7" x14ac:dyDescent="0.25">
      <c r="A70" s="1302"/>
    </row>
    <row r="71" spans="1:7" x14ac:dyDescent="0.25">
      <c r="A71" s="1302"/>
    </row>
    <row r="72" spans="1:7" x14ac:dyDescent="0.25">
      <c r="A72" s="1302"/>
    </row>
    <row r="73" spans="1:7" x14ac:dyDescent="0.25">
      <c r="A73" s="1302"/>
    </row>
    <row r="74" spans="1:7" x14ac:dyDescent="0.25">
      <c r="A74" s="1302"/>
    </row>
    <row r="75" spans="1:7" x14ac:dyDescent="0.25">
      <c r="A75" s="1302"/>
    </row>
    <row r="76" spans="1:7" x14ac:dyDescent="0.25">
      <c r="A76" s="1326" t="s">
        <v>1087</v>
      </c>
      <c r="B76" s="1340" t="str">
        <f>MS_03003</f>
        <v>MS 03003</v>
      </c>
      <c r="F76" s="1326" t="s">
        <v>1087</v>
      </c>
      <c r="G76" s="1340" t="str">
        <f>MS_05002</f>
        <v>MS 05002</v>
      </c>
    </row>
    <row r="77" spans="1:7" x14ac:dyDescent="0.25">
      <c r="A77" s="1302"/>
    </row>
    <row r="78" spans="1:7" x14ac:dyDescent="0.25">
      <c r="A78" s="1302"/>
    </row>
    <row r="79" spans="1:7" x14ac:dyDescent="0.25">
      <c r="A79" s="1302"/>
    </row>
    <row r="80" spans="1:7" x14ac:dyDescent="0.25">
      <c r="A80" s="1302"/>
    </row>
    <row r="81" spans="1:7" x14ac:dyDescent="0.25">
      <c r="A81" s="1302"/>
    </row>
    <row r="82" spans="1:7" x14ac:dyDescent="0.25">
      <c r="A82" s="1302"/>
    </row>
    <row r="83" spans="1:7" x14ac:dyDescent="0.25">
      <c r="A83" s="1302"/>
    </row>
    <row r="84" spans="1:7" x14ac:dyDescent="0.25">
      <c r="A84" s="1302"/>
    </row>
    <row r="85" spans="1:7" x14ac:dyDescent="0.25">
      <c r="A85" s="1302"/>
    </row>
    <row r="86" spans="1:7" x14ac:dyDescent="0.25">
      <c r="A86" s="1302"/>
    </row>
    <row r="87" spans="1:7" x14ac:dyDescent="0.25">
      <c r="A87" s="1302"/>
    </row>
    <row r="88" spans="1:7" x14ac:dyDescent="0.25">
      <c r="A88" s="1302"/>
    </row>
    <row r="89" spans="1:7" x14ac:dyDescent="0.25">
      <c r="A89" s="1302"/>
    </row>
    <row r="90" spans="1:7" x14ac:dyDescent="0.25">
      <c r="A90" s="1302"/>
    </row>
    <row r="91" spans="1:7" x14ac:dyDescent="0.25">
      <c r="A91" s="1302"/>
    </row>
    <row r="92" spans="1:7" x14ac:dyDescent="0.25">
      <c r="A92" s="1302"/>
    </row>
    <row r="93" spans="1:7" x14ac:dyDescent="0.25">
      <c r="A93" s="1302"/>
    </row>
    <row r="94" spans="1:7" x14ac:dyDescent="0.25">
      <c r="A94" s="1326" t="s">
        <v>1087</v>
      </c>
      <c r="B94" s="1340" t="str">
        <f>MS_05003</f>
        <v>MS 05003</v>
      </c>
      <c r="F94" s="1326"/>
      <c r="G94" s="1339"/>
    </row>
  </sheetData>
  <sheetProtection selectLockedCells="1" selectUnlockedCells="1"/>
  <hyperlinks>
    <hyperlink ref="A1" location="MS_01001" display="Drawing part :"/>
    <hyperlink ref="F1" location="MS_01002" display="Drawing part :"/>
    <hyperlink ref="A14" location="MS_01003" display="Drawing part :"/>
    <hyperlink ref="F14" location="MS_01004" display="Drawing part :"/>
    <hyperlink ref="A27" location="MS_01005" display="Drawing part :"/>
    <hyperlink ref="F27" location="MS_01006" display="Drawing part :"/>
    <hyperlink ref="A40" location="MS_01007" display="Drawing part :"/>
    <hyperlink ref="F40" location="MS_02001" display="Drawing part :"/>
    <hyperlink ref="A58" location="MS_03001" display="Drawing part :"/>
    <hyperlink ref="F58" location="MS_03002" display="Drawing part :"/>
    <hyperlink ref="A76" location="MS_03003" display="Drawing part :"/>
    <hyperlink ref="F76" location="MS_05002" display="Drawing part :"/>
    <hyperlink ref="A94" location="MS_05003" display="Drawing part :"/>
    <hyperlink ref="B58" location="MS_03001" display="MS_03001"/>
    <hyperlink ref="G58" location="MS_03002" display="MS_03002"/>
    <hyperlink ref="B76" location="MS_03003" display="MS_03003"/>
    <hyperlink ref="G76" location="MS_05002" display="MS_05002"/>
    <hyperlink ref="B94" location="MS_05003" display="MS_05003"/>
  </hyperlinks>
  <pageMargins left="0.7" right="0.7" top="0.75" bottom="0.75" header="0.51180555555555551" footer="0.51180555555555551"/>
  <pageSetup paperSize="9" firstPageNumber="0" fitToHeight="0" orientation="portrait" horizontalDpi="300" verticalDpi="300"/>
  <headerFooter alignWithMargins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3300"/>
    <pageSetUpPr fitToPage="1"/>
  </sheetPr>
  <dimension ref="A1:O190"/>
  <sheetViews>
    <sheetView zoomScale="80" zoomScaleNormal="80" zoomScaleSheetLayoutView="70" workbookViewId="0"/>
  </sheetViews>
  <sheetFormatPr baseColWidth="10" defaultColWidth="9.140625" defaultRowHeight="15" x14ac:dyDescent="0.25"/>
  <cols>
    <col min="1" max="1" width="9.140625" style="89"/>
    <col min="2" max="2" width="30.42578125" style="89" customWidth="1"/>
    <col min="3" max="3" width="36" style="89" customWidth="1"/>
    <col min="4" max="4" width="11" style="89" customWidth="1"/>
    <col min="5" max="5" width="9" style="89" customWidth="1"/>
    <col min="6" max="8" width="9.140625" style="89"/>
    <col min="9" max="9" width="17.28515625" style="89" customWidth="1"/>
    <col min="10" max="10" width="10.5703125" style="89" customWidth="1"/>
    <col min="11" max="13" width="9.140625" style="89"/>
    <col min="14" max="14" width="11.85546875" style="89" customWidth="1"/>
    <col min="15" max="15" width="5.28515625" style="89" customWidth="1"/>
    <col min="16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631" t="s">
        <v>57</v>
      </c>
      <c r="B2" s="133" t="s">
        <v>523</v>
      </c>
      <c r="C2" s="94"/>
      <c r="D2" s="94"/>
      <c r="E2" s="94"/>
      <c r="F2" s="94"/>
      <c r="G2" s="94"/>
      <c r="H2" s="94"/>
      <c r="I2" s="94"/>
      <c r="J2" s="631" t="s">
        <v>51</v>
      </c>
      <c r="K2" s="138">
        <v>81</v>
      </c>
      <c r="L2" s="94"/>
      <c r="M2" s="631" t="s">
        <v>126</v>
      </c>
      <c r="N2" s="137">
        <f>E15+ST_A0001_m+ST_A0001_p+ST_A0001_f+ST_A0001_t</f>
        <v>85.331796942129159</v>
      </c>
      <c r="O2" s="93"/>
    </row>
    <row r="3" spans="1:15" x14ac:dyDescent="0.25">
      <c r="A3" s="631" t="s">
        <v>125</v>
      </c>
      <c r="B3" s="133" t="s">
        <v>6</v>
      </c>
      <c r="C3" s="94"/>
      <c r="D3" s="94"/>
      <c r="E3" s="94"/>
      <c r="F3" s="94"/>
      <c r="G3" s="94"/>
      <c r="H3" s="94"/>
      <c r="I3" s="94"/>
      <c r="J3" s="94"/>
      <c r="K3" s="94"/>
      <c r="L3" s="94"/>
      <c r="M3" s="631" t="s">
        <v>124</v>
      </c>
      <c r="N3" s="136">
        <v>1</v>
      </c>
      <c r="O3" s="93"/>
    </row>
    <row r="4" spans="1:15" x14ac:dyDescent="0.25">
      <c r="A4" s="631" t="s">
        <v>123</v>
      </c>
      <c r="B4" s="94" t="s">
        <v>1239</v>
      </c>
      <c r="C4" s="94"/>
      <c r="D4" s="94"/>
      <c r="E4" s="94"/>
      <c r="F4" s="94"/>
      <c r="G4" s="94"/>
      <c r="H4" s="94"/>
      <c r="I4" s="94"/>
      <c r="J4" s="639" t="s">
        <v>122</v>
      </c>
      <c r="K4" s="94"/>
      <c r="L4" s="94"/>
      <c r="M4" s="94"/>
      <c r="N4" s="94"/>
      <c r="O4" s="93"/>
    </row>
    <row r="5" spans="1:15" x14ac:dyDescent="0.25">
      <c r="A5" s="631" t="s">
        <v>121</v>
      </c>
      <c r="B5" s="135" t="s">
        <v>1238</v>
      </c>
      <c r="C5" s="94"/>
      <c r="D5" s="94"/>
      <c r="E5" s="94"/>
      <c r="F5" s="94"/>
      <c r="G5" s="94"/>
      <c r="H5" s="94"/>
      <c r="I5" s="94"/>
      <c r="J5" s="639" t="s">
        <v>119</v>
      </c>
      <c r="K5" s="94"/>
      <c r="L5" s="94"/>
      <c r="M5" s="631" t="s">
        <v>118</v>
      </c>
      <c r="N5" s="100">
        <f>N2*N3</f>
        <v>85.331796942129159</v>
      </c>
      <c r="O5" s="93"/>
    </row>
    <row r="6" spans="1:15" x14ac:dyDescent="0.25">
      <c r="A6" s="631" t="s">
        <v>117</v>
      </c>
      <c r="B6" s="133" t="s">
        <v>23</v>
      </c>
      <c r="C6" s="94"/>
      <c r="D6" s="94"/>
      <c r="E6" s="94"/>
      <c r="F6" s="94"/>
      <c r="G6" s="94"/>
      <c r="H6" s="94"/>
      <c r="I6" s="94"/>
      <c r="J6" s="639" t="s">
        <v>116</v>
      </c>
      <c r="K6" s="94"/>
      <c r="L6" s="94"/>
      <c r="M6" s="94"/>
      <c r="N6" s="94"/>
      <c r="O6" s="93"/>
    </row>
    <row r="7" spans="1:15" x14ac:dyDescent="0.25">
      <c r="A7" s="631" t="s">
        <v>115</v>
      </c>
      <c r="B7" s="133" t="s">
        <v>1237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107"/>
      <c r="B8" s="94"/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631" t="s">
        <v>67</v>
      </c>
      <c r="B9" s="631" t="s">
        <v>114</v>
      </c>
      <c r="C9" s="631" t="s">
        <v>113</v>
      </c>
      <c r="D9" s="631" t="s">
        <v>40</v>
      </c>
      <c r="E9" s="631"/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129">
        <v>10</v>
      </c>
      <c r="B10" s="132" t="str">
        <f>[0]!ST_01001_n</f>
        <v>Steering Wheel Mount</v>
      </c>
      <c r="C10" s="100">
        <f>[0]!ST_01001_c</f>
        <v>10.527136733333334</v>
      </c>
      <c r="D10" s="127">
        <f>[0]!ST_01001_q</f>
        <v>1</v>
      </c>
      <c r="E10" s="100">
        <f>C10*D10</f>
        <v>10.527136733333334</v>
      </c>
      <c r="F10" s="94"/>
      <c r="G10" s="94"/>
      <c r="H10" s="94"/>
      <c r="I10" s="94"/>
      <c r="J10" s="94"/>
      <c r="K10" s="94"/>
      <c r="L10" s="94"/>
      <c r="M10" s="94"/>
      <c r="N10" s="94"/>
      <c r="O10" s="93"/>
    </row>
    <row r="11" spans="1:15" x14ac:dyDescent="0.25">
      <c r="A11" s="129">
        <v>20</v>
      </c>
      <c r="B11" s="132" t="str">
        <f>[0]!ST_01002_n</f>
        <v>First Column Tube</v>
      </c>
      <c r="C11" s="100">
        <f>[0]!ST_01002_c</f>
        <v>4.6967391063624992</v>
      </c>
      <c r="D11" s="127">
        <f>[0]!ST_01002_q</f>
        <v>1</v>
      </c>
      <c r="E11" s="100">
        <f>C11*D11</f>
        <v>4.6967391063624992</v>
      </c>
      <c r="F11" s="99"/>
      <c r="G11" s="99"/>
      <c r="H11" s="99"/>
      <c r="I11" s="99"/>
      <c r="J11" s="99"/>
      <c r="K11" s="99"/>
      <c r="L11" s="99"/>
      <c r="M11" s="99"/>
      <c r="N11" s="99"/>
      <c r="O11" s="93"/>
    </row>
    <row r="12" spans="1:15" x14ac:dyDescent="0.25">
      <c r="A12" s="129">
        <v>30</v>
      </c>
      <c r="B12" s="132" t="str">
        <f>[0]!ST_01003_n</f>
        <v>Second Column Tube</v>
      </c>
      <c r="C12" s="100">
        <f>[0]!ST_01003_c</f>
        <v>1.38907725085</v>
      </c>
      <c r="D12" s="127">
        <f>[0]!ST_01003_q</f>
        <v>1</v>
      </c>
      <c r="E12" s="100">
        <f>C12*D12</f>
        <v>1.38907725085</v>
      </c>
      <c r="F12" s="99"/>
      <c r="G12" s="99"/>
      <c r="H12" s="99"/>
      <c r="I12" s="99"/>
      <c r="J12" s="99"/>
      <c r="K12" s="99"/>
      <c r="L12" s="99"/>
      <c r="M12" s="99"/>
      <c r="N12" s="99"/>
      <c r="O12" s="131"/>
    </row>
    <row r="13" spans="1:15" s="254" customFormat="1" x14ac:dyDescent="0.25">
      <c r="A13" s="129">
        <v>40</v>
      </c>
      <c r="B13" s="132" t="str">
        <f>[0]!ST_01004_n</f>
        <v>Sleeve</v>
      </c>
      <c r="C13" s="100">
        <f>[0]!ST_01004_c</f>
        <v>2.3493042693750001</v>
      </c>
      <c r="D13" s="127">
        <f>[0]!ST_01004_q</f>
        <v>2</v>
      </c>
      <c r="E13" s="100">
        <f>C13*D13</f>
        <v>4.6986085387500003</v>
      </c>
      <c r="F13" s="99"/>
      <c r="G13" s="99"/>
      <c r="H13" s="99"/>
      <c r="I13" s="99"/>
      <c r="J13" s="99"/>
      <c r="K13" s="99"/>
      <c r="L13" s="99"/>
      <c r="M13" s="99"/>
      <c r="N13" s="99"/>
      <c r="O13" s="131"/>
    </row>
    <row r="14" spans="1:15" s="254" customFormat="1" x14ac:dyDescent="0.25">
      <c r="A14" s="129">
        <v>50</v>
      </c>
      <c r="B14" s="132" t="str">
        <f>[0]!ST_01005_n</f>
        <v>Rack Sleeve</v>
      </c>
      <c r="C14" s="100">
        <f>[0]!ST_01005_c</f>
        <v>4.8869019795000002</v>
      </c>
      <c r="D14" s="127">
        <f>[0]!ST_01005_q</f>
        <v>1</v>
      </c>
      <c r="E14" s="100">
        <f>C14*D14</f>
        <v>4.8869019795000002</v>
      </c>
      <c r="F14" s="99"/>
      <c r="G14" s="99"/>
      <c r="H14" s="99"/>
      <c r="I14" s="99"/>
      <c r="J14" s="99"/>
      <c r="K14" s="99"/>
      <c r="L14" s="99"/>
      <c r="M14" s="99"/>
      <c r="N14" s="99"/>
      <c r="O14" s="130"/>
    </row>
    <row r="15" spans="1:15" x14ac:dyDescent="0.25">
      <c r="A15" s="107"/>
      <c r="B15" s="94"/>
      <c r="C15" s="94"/>
      <c r="D15" s="628" t="s">
        <v>58</v>
      </c>
      <c r="E15" s="627">
        <f>SUM(E10:E14)</f>
        <v>26.198463608795834</v>
      </c>
      <c r="F15" s="99"/>
      <c r="G15" s="99"/>
      <c r="H15" s="99"/>
      <c r="I15" s="99"/>
      <c r="J15" s="99"/>
      <c r="K15" s="99"/>
      <c r="L15" s="99"/>
      <c r="M15" s="99"/>
      <c r="N15" s="99"/>
      <c r="O15" s="93"/>
    </row>
    <row r="16" spans="1:15" x14ac:dyDescent="0.25">
      <c r="A16" s="107"/>
      <c r="B16" s="94"/>
      <c r="C16" s="94"/>
      <c r="D16" s="94"/>
      <c r="E16" s="94"/>
      <c r="F16" s="94"/>
      <c r="G16" s="94"/>
      <c r="H16" s="94"/>
      <c r="I16" s="94"/>
      <c r="J16" s="94"/>
      <c r="K16" s="94"/>
      <c r="L16" s="94"/>
      <c r="M16" s="94"/>
      <c r="N16" s="94"/>
      <c r="O16" s="93"/>
    </row>
    <row r="17" spans="1:15" x14ac:dyDescent="0.25">
      <c r="A17" s="631" t="s">
        <v>67</v>
      </c>
      <c r="B17" s="631" t="s">
        <v>112</v>
      </c>
      <c r="C17" s="631" t="s">
        <v>66</v>
      </c>
      <c r="D17" s="631" t="s">
        <v>65</v>
      </c>
      <c r="E17" s="631" t="s">
        <v>81</v>
      </c>
      <c r="F17" s="631" t="s">
        <v>80</v>
      </c>
      <c r="G17" s="631" t="s">
        <v>79</v>
      </c>
      <c r="H17" s="631" t="s">
        <v>78</v>
      </c>
      <c r="I17" s="631" t="s">
        <v>111</v>
      </c>
      <c r="J17" s="631" t="s">
        <v>110</v>
      </c>
      <c r="K17" s="631" t="s">
        <v>109</v>
      </c>
      <c r="L17" s="631" t="s">
        <v>108</v>
      </c>
      <c r="M17" s="631" t="s">
        <v>40</v>
      </c>
      <c r="N17" s="631" t="s">
        <v>58</v>
      </c>
      <c r="O17" s="93"/>
    </row>
    <row r="18" spans="1:15" ht="33.75" customHeight="1" x14ac:dyDescent="0.25">
      <c r="A18" s="282">
        <v>10</v>
      </c>
      <c r="B18" s="292" t="s">
        <v>1236</v>
      </c>
      <c r="C18" s="282"/>
      <c r="D18" s="283">
        <v>25</v>
      </c>
      <c r="E18" s="282">
        <v>20</v>
      </c>
      <c r="F18" s="282" t="s">
        <v>68</v>
      </c>
      <c r="G18" s="282"/>
      <c r="H18" s="278"/>
      <c r="I18" s="303"/>
      <c r="J18" s="435"/>
      <c r="K18" s="278">
        <v>0.08</v>
      </c>
      <c r="L18" s="278"/>
      <c r="M18" s="436">
        <v>1</v>
      </c>
      <c r="N18" s="387">
        <f>M18*D18</f>
        <v>25</v>
      </c>
      <c r="O18" s="93"/>
    </row>
    <row r="19" spans="1:15" s="250" customFormat="1" x14ac:dyDescent="0.25">
      <c r="A19" s="282">
        <v>20</v>
      </c>
      <c r="B19" s="282" t="s">
        <v>250</v>
      </c>
      <c r="C19" s="292" t="s">
        <v>1235</v>
      </c>
      <c r="D19" s="324">
        <v>10</v>
      </c>
      <c r="E19" s="315">
        <v>2.1999999999999999E-2</v>
      </c>
      <c r="F19" s="315" t="s">
        <v>299</v>
      </c>
      <c r="G19" s="315"/>
      <c r="H19" s="314"/>
      <c r="I19" s="357"/>
      <c r="J19" s="356"/>
      <c r="K19" s="320"/>
      <c r="L19" s="355"/>
      <c r="M19" s="318">
        <v>2.1999999999999999E-2</v>
      </c>
      <c r="N19" s="387">
        <f>M19*D19</f>
        <v>0.21999999999999997</v>
      </c>
      <c r="O19" s="143"/>
    </row>
    <row r="20" spans="1:15" x14ac:dyDescent="0.25">
      <c r="A20" s="282">
        <v>30</v>
      </c>
      <c r="B20" s="282" t="s">
        <v>1234</v>
      </c>
      <c r="C20" s="282"/>
      <c r="D20" s="283">
        <v>15</v>
      </c>
      <c r="E20" s="282">
        <v>16</v>
      </c>
      <c r="F20" s="282" t="s">
        <v>68</v>
      </c>
      <c r="G20" s="282"/>
      <c r="H20" s="278"/>
      <c r="I20" s="647"/>
      <c r="J20" s="381"/>
      <c r="K20" s="278">
        <v>8.0000000000000002E-3</v>
      </c>
      <c r="L20" s="537"/>
      <c r="M20" s="436">
        <v>2</v>
      </c>
      <c r="N20" s="387">
        <f>M20*D20</f>
        <v>30</v>
      </c>
      <c r="O20" s="93"/>
    </row>
    <row r="21" spans="1:15" x14ac:dyDescent="0.25">
      <c r="A21" s="98"/>
      <c r="B21" s="95"/>
      <c r="C21" s="95"/>
      <c r="D21" s="95"/>
      <c r="E21" s="95"/>
      <c r="F21" s="95"/>
      <c r="G21" s="95"/>
      <c r="H21" s="95"/>
      <c r="I21" s="95"/>
      <c r="J21" s="95"/>
      <c r="K21" s="95"/>
      <c r="L21" s="95"/>
      <c r="M21" s="631" t="s">
        <v>58</v>
      </c>
      <c r="N21" s="627">
        <f>SUM(N18:N20)</f>
        <v>55.22</v>
      </c>
      <c r="O21" s="93"/>
    </row>
    <row r="22" spans="1:15" x14ac:dyDescent="0.25">
      <c r="A22" s="107"/>
      <c r="B22" s="94"/>
      <c r="C22" s="94"/>
      <c r="D22" s="94"/>
      <c r="E22" s="94"/>
      <c r="F22" s="94"/>
      <c r="G22" s="94"/>
      <c r="H22" s="94"/>
      <c r="I22" s="94"/>
      <c r="J22" s="94"/>
      <c r="K22" s="94"/>
      <c r="L22" s="94"/>
      <c r="M22" s="94"/>
      <c r="N22" s="94"/>
      <c r="O22" s="93"/>
    </row>
    <row r="23" spans="1:15" s="245" customFormat="1" x14ac:dyDescent="0.25">
      <c r="A23" s="631" t="s">
        <v>67</v>
      </c>
      <c r="B23" s="631" t="s">
        <v>106</v>
      </c>
      <c r="C23" s="631" t="s">
        <v>66</v>
      </c>
      <c r="D23" s="631" t="s">
        <v>65</v>
      </c>
      <c r="E23" s="631" t="s">
        <v>64</v>
      </c>
      <c r="F23" s="631" t="s">
        <v>40</v>
      </c>
      <c r="G23" s="631" t="s">
        <v>105</v>
      </c>
      <c r="H23" s="631" t="s">
        <v>104</v>
      </c>
      <c r="I23" s="631" t="s">
        <v>58</v>
      </c>
      <c r="J23" s="95"/>
      <c r="K23" s="95"/>
      <c r="L23" s="95"/>
      <c r="M23" s="95"/>
      <c r="N23" s="95"/>
      <c r="O23" s="120"/>
    </row>
    <row r="24" spans="1:15" x14ac:dyDescent="0.25">
      <c r="A24" s="282">
        <v>10</v>
      </c>
      <c r="B24" s="282" t="s">
        <v>103</v>
      </c>
      <c r="C24" s="282" t="s">
        <v>1220</v>
      </c>
      <c r="D24" s="337">
        <v>0.15</v>
      </c>
      <c r="E24" s="282" t="s">
        <v>101</v>
      </c>
      <c r="F24" s="299">
        <v>13</v>
      </c>
      <c r="G24" s="299"/>
      <c r="H24" s="299"/>
      <c r="I24" s="337">
        <f t="shared" ref="I24:I32" si="0">IF(H24="",D24*F24,D24*F24*H24)</f>
        <v>1.95</v>
      </c>
      <c r="J24" s="94"/>
      <c r="K24" s="94"/>
      <c r="L24" s="94"/>
      <c r="M24" s="94"/>
      <c r="N24" s="94"/>
      <c r="O24" s="93"/>
    </row>
    <row r="25" spans="1:15" ht="21" customHeight="1" x14ac:dyDescent="0.25">
      <c r="A25" s="282">
        <v>20</v>
      </c>
      <c r="B25" s="309" t="s">
        <v>243</v>
      </c>
      <c r="C25" s="285" t="s">
        <v>1233</v>
      </c>
      <c r="D25" s="337">
        <v>5.25</v>
      </c>
      <c r="E25" s="309" t="s">
        <v>299</v>
      </c>
      <c r="F25" s="299">
        <v>0.02</v>
      </c>
      <c r="G25" s="282"/>
      <c r="H25" s="282"/>
      <c r="I25" s="337">
        <f t="shared" si="0"/>
        <v>0.105</v>
      </c>
      <c r="J25" s="94"/>
      <c r="K25" s="94"/>
      <c r="L25" s="94"/>
      <c r="M25" s="94"/>
      <c r="N25" s="94"/>
      <c r="O25" s="93"/>
    </row>
    <row r="26" spans="1:15" x14ac:dyDescent="0.25">
      <c r="A26" s="282">
        <v>30</v>
      </c>
      <c r="B26" s="309" t="s">
        <v>103</v>
      </c>
      <c r="C26" s="282" t="s">
        <v>1232</v>
      </c>
      <c r="D26" s="337">
        <v>0.15</v>
      </c>
      <c r="E26" s="282" t="s">
        <v>101</v>
      </c>
      <c r="F26" s="299">
        <v>5.5</v>
      </c>
      <c r="G26" s="282"/>
      <c r="H26" s="282"/>
      <c r="I26" s="337">
        <f t="shared" si="0"/>
        <v>0.82499999999999996</v>
      </c>
      <c r="J26" s="94"/>
      <c r="K26" s="94"/>
      <c r="L26" s="94"/>
      <c r="M26" s="94"/>
      <c r="N26" s="94"/>
      <c r="O26" s="93"/>
    </row>
    <row r="27" spans="1:15" ht="19.5" customHeight="1" x14ac:dyDescent="0.25">
      <c r="A27" s="282">
        <v>40</v>
      </c>
      <c r="B27" s="309" t="s">
        <v>243</v>
      </c>
      <c r="C27" s="282" t="s">
        <v>1231</v>
      </c>
      <c r="D27" s="337">
        <v>5.25</v>
      </c>
      <c r="E27" s="282" t="s">
        <v>299</v>
      </c>
      <c r="F27" s="299">
        <v>2E-3</v>
      </c>
      <c r="G27" s="282"/>
      <c r="H27" s="282"/>
      <c r="I27" s="337">
        <f t="shared" si="0"/>
        <v>1.0500000000000001E-2</v>
      </c>
      <c r="J27" s="94"/>
      <c r="K27" s="94"/>
      <c r="L27" s="94"/>
      <c r="M27" s="94"/>
      <c r="N27" s="94"/>
      <c r="O27" s="93"/>
    </row>
    <row r="28" spans="1:15" x14ac:dyDescent="0.25">
      <c r="A28" s="282">
        <v>50</v>
      </c>
      <c r="B28" s="282" t="s">
        <v>285</v>
      </c>
      <c r="C28" s="282" t="s">
        <v>1230</v>
      </c>
      <c r="D28" s="337">
        <v>0.19</v>
      </c>
      <c r="E28" s="282" t="s">
        <v>64</v>
      </c>
      <c r="F28" s="299">
        <v>2</v>
      </c>
      <c r="G28" s="299"/>
      <c r="H28" s="299"/>
      <c r="I28" s="337">
        <f t="shared" si="0"/>
        <v>0.38</v>
      </c>
      <c r="J28" s="94"/>
      <c r="K28" s="646"/>
      <c r="L28" s="645"/>
      <c r="M28" s="94"/>
      <c r="N28" s="94"/>
      <c r="O28" s="93"/>
    </row>
    <row r="29" spans="1:15" x14ac:dyDescent="0.25">
      <c r="A29" s="282">
        <v>60</v>
      </c>
      <c r="B29" s="282" t="s">
        <v>285</v>
      </c>
      <c r="C29" s="282" t="s">
        <v>1229</v>
      </c>
      <c r="D29" s="337">
        <v>0.19</v>
      </c>
      <c r="E29" s="309" t="s">
        <v>64</v>
      </c>
      <c r="F29" s="299">
        <v>1</v>
      </c>
      <c r="G29" s="282"/>
      <c r="H29" s="282"/>
      <c r="I29" s="337">
        <f t="shared" si="0"/>
        <v>0.19</v>
      </c>
      <c r="J29" s="94"/>
      <c r="K29" s="94"/>
      <c r="L29" s="94"/>
      <c r="M29" s="94"/>
      <c r="N29" s="94"/>
      <c r="O29" s="93"/>
    </row>
    <row r="30" spans="1:15" ht="18" customHeight="1" x14ac:dyDescent="0.25">
      <c r="A30" s="282">
        <v>70</v>
      </c>
      <c r="B30" s="309" t="s">
        <v>1228</v>
      </c>
      <c r="C30" s="282" t="s">
        <v>1227</v>
      </c>
      <c r="D30" s="337">
        <v>0.35</v>
      </c>
      <c r="E30" s="309" t="s">
        <v>294</v>
      </c>
      <c r="F30" s="299">
        <v>2</v>
      </c>
      <c r="G30" s="282"/>
      <c r="H30" s="282"/>
      <c r="I30" s="337">
        <f t="shared" si="0"/>
        <v>0.7</v>
      </c>
      <c r="J30" s="94"/>
      <c r="K30" s="94"/>
      <c r="L30" s="94"/>
      <c r="M30" s="94"/>
      <c r="N30" s="94"/>
      <c r="O30" s="93"/>
    </row>
    <row r="31" spans="1:15" ht="19.5" customHeight="1" x14ac:dyDescent="0.25">
      <c r="A31" s="282">
        <v>80</v>
      </c>
      <c r="B31" s="309" t="s">
        <v>334</v>
      </c>
      <c r="C31" s="282" t="s">
        <v>1226</v>
      </c>
      <c r="D31" s="337">
        <v>0.13</v>
      </c>
      <c r="E31" s="309" t="s">
        <v>64</v>
      </c>
      <c r="F31" s="299">
        <v>2</v>
      </c>
      <c r="G31" s="282"/>
      <c r="H31" s="282"/>
      <c r="I31" s="337">
        <f t="shared" si="0"/>
        <v>0.26</v>
      </c>
      <c r="J31" s="94"/>
      <c r="K31" s="94"/>
      <c r="L31" s="94"/>
      <c r="M31" s="94"/>
      <c r="N31" s="94"/>
      <c r="O31" s="93"/>
    </row>
    <row r="32" spans="1:15" x14ac:dyDescent="0.25">
      <c r="A32" s="282">
        <v>90</v>
      </c>
      <c r="B32" s="282" t="s">
        <v>285</v>
      </c>
      <c r="C32" s="282" t="s">
        <v>1225</v>
      </c>
      <c r="D32" s="337">
        <v>0.19</v>
      </c>
      <c r="E32" s="309" t="s">
        <v>64</v>
      </c>
      <c r="F32" s="299">
        <v>3</v>
      </c>
      <c r="G32" s="282"/>
      <c r="H32" s="282"/>
      <c r="I32" s="337">
        <f t="shared" si="0"/>
        <v>0.57000000000000006</v>
      </c>
      <c r="J32" s="94"/>
      <c r="K32" s="94"/>
      <c r="L32" s="94"/>
      <c r="M32" s="94"/>
      <c r="N32" s="94"/>
      <c r="O32" s="93"/>
    </row>
    <row r="33" spans="1:15" x14ac:dyDescent="0.25">
      <c r="A33" s="98"/>
      <c r="B33" s="95"/>
      <c r="C33" s="95"/>
      <c r="D33" s="95"/>
      <c r="E33" s="95"/>
      <c r="F33" s="95"/>
      <c r="G33" s="95"/>
      <c r="H33" s="628" t="s">
        <v>58</v>
      </c>
      <c r="I33" s="627">
        <f>SUM(I24:I26)</f>
        <v>2.88</v>
      </c>
      <c r="J33" s="94"/>
      <c r="K33" s="94"/>
      <c r="L33" s="94"/>
      <c r="M33" s="94"/>
      <c r="N33" s="94"/>
      <c r="O33" s="93"/>
    </row>
    <row r="34" spans="1:15" x14ac:dyDescent="0.25">
      <c r="A34" s="107"/>
      <c r="B34" s="94"/>
      <c r="C34" s="94"/>
      <c r="D34" s="94"/>
      <c r="E34" s="94"/>
      <c r="F34" s="94"/>
      <c r="G34" s="94"/>
      <c r="H34" s="94"/>
      <c r="I34" s="94"/>
      <c r="J34" s="94"/>
      <c r="K34" s="94"/>
      <c r="L34" s="94"/>
      <c r="M34" s="94"/>
      <c r="N34" s="94"/>
      <c r="O34" s="93"/>
    </row>
    <row r="35" spans="1:15" x14ac:dyDescent="0.25">
      <c r="A35" s="631" t="s">
        <v>67</v>
      </c>
      <c r="B35" s="631" t="s">
        <v>82</v>
      </c>
      <c r="C35" s="631" t="s">
        <v>66</v>
      </c>
      <c r="D35" s="631" t="s">
        <v>65</v>
      </c>
      <c r="E35" s="631" t="s">
        <v>81</v>
      </c>
      <c r="F35" s="631" t="s">
        <v>80</v>
      </c>
      <c r="G35" s="631" t="s">
        <v>79</v>
      </c>
      <c r="H35" s="631" t="s">
        <v>78</v>
      </c>
      <c r="I35" s="631" t="s">
        <v>40</v>
      </c>
      <c r="J35" s="631" t="s">
        <v>58</v>
      </c>
      <c r="K35" s="94"/>
      <c r="L35" s="94"/>
      <c r="M35" s="94"/>
      <c r="N35" s="94"/>
      <c r="O35" s="93"/>
    </row>
    <row r="36" spans="1:15" x14ac:dyDescent="0.25">
      <c r="A36" s="282">
        <v>10</v>
      </c>
      <c r="B36" s="338" t="s">
        <v>1223</v>
      </c>
      <c r="C36" s="644" t="s">
        <v>1224</v>
      </c>
      <c r="D36" s="630">
        <v>0.05</v>
      </c>
      <c r="E36" s="282">
        <v>5</v>
      </c>
      <c r="F36" s="535" t="s">
        <v>68</v>
      </c>
      <c r="G36" s="282"/>
      <c r="H36" s="285"/>
      <c r="I36" s="534">
        <v>2</v>
      </c>
      <c r="J36" s="337">
        <f>I36*D36</f>
        <v>0.1</v>
      </c>
      <c r="K36" s="94"/>
      <c r="L36" s="94"/>
      <c r="M36" s="94"/>
      <c r="N36" s="94"/>
      <c r="O36" s="93"/>
    </row>
    <row r="37" spans="1:15" x14ac:dyDescent="0.25">
      <c r="A37" s="282">
        <v>20</v>
      </c>
      <c r="B37" s="338" t="s">
        <v>1223</v>
      </c>
      <c r="C37" s="644" t="s">
        <v>1222</v>
      </c>
      <c r="D37" s="630">
        <v>0.05</v>
      </c>
      <c r="E37" s="282">
        <v>5</v>
      </c>
      <c r="F37" s="535" t="s">
        <v>68</v>
      </c>
      <c r="G37" s="282"/>
      <c r="H37" s="285"/>
      <c r="I37" s="534">
        <v>2</v>
      </c>
      <c r="J37" s="337">
        <f>I37*D37</f>
        <v>0.1</v>
      </c>
      <c r="K37" s="94"/>
      <c r="L37" s="94"/>
      <c r="M37" s="94"/>
      <c r="N37" s="94"/>
      <c r="O37" s="93"/>
    </row>
    <row r="38" spans="1:15" x14ac:dyDescent="0.25">
      <c r="A38" s="98"/>
      <c r="B38" s="95"/>
      <c r="C38" s="95"/>
      <c r="D38" s="95"/>
      <c r="E38" s="95"/>
      <c r="F38" s="95"/>
      <c r="G38" s="95"/>
      <c r="H38" s="95"/>
      <c r="I38" s="628" t="s">
        <v>58</v>
      </c>
      <c r="J38" s="627">
        <f>SUM(J36:J37)</f>
        <v>0.2</v>
      </c>
      <c r="K38" s="94"/>
      <c r="L38" s="94"/>
      <c r="M38" s="94"/>
      <c r="N38" s="94"/>
      <c r="O38" s="93"/>
    </row>
    <row r="39" spans="1:15" x14ac:dyDescent="0.25">
      <c r="A39" s="107"/>
      <c r="B39" s="94"/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94"/>
      <c r="N39" s="94"/>
      <c r="O39" s="93"/>
    </row>
    <row r="40" spans="1:15" x14ac:dyDescent="0.25">
      <c r="A40" s="631" t="s">
        <v>67</v>
      </c>
      <c r="B40" s="631" t="s">
        <v>13</v>
      </c>
      <c r="C40" s="631" t="s">
        <v>66</v>
      </c>
      <c r="D40" s="631" t="s">
        <v>65</v>
      </c>
      <c r="E40" s="631" t="s">
        <v>64</v>
      </c>
      <c r="F40" s="631" t="s">
        <v>40</v>
      </c>
      <c r="G40" s="631" t="s">
        <v>63</v>
      </c>
      <c r="H40" s="631" t="s">
        <v>62</v>
      </c>
      <c r="I40" s="631" t="s">
        <v>58</v>
      </c>
      <c r="J40" s="95"/>
      <c r="K40" s="94"/>
      <c r="L40" s="94"/>
      <c r="M40" s="94"/>
      <c r="N40" s="94"/>
      <c r="O40" s="93"/>
    </row>
    <row r="41" spans="1:15" x14ac:dyDescent="0.25">
      <c r="A41" s="282">
        <v>10</v>
      </c>
      <c r="B41" s="282" t="s">
        <v>61</v>
      </c>
      <c r="C41" s="282" t="s">
        <v>1221</v>
      </c>
      <c r="D41" s="283">
        <v>500</v>
      </c>
      <c r="E41" s="282" t="s">
        <v>59</v>
      </c>
      <c r="F41" s="282">
        <v>3</v>
      </c>
      <c r="G41" s="282">
        <v>3000</v>
      </c>
      <c r="H41" s="282">
        <v>1</v>
      </c>
      <c r="I41" s="387">
        <f>D41*F41/G41*H41</f>
        <v>0.5</v>
      </c>
      <c r="J41" s="95"/>
      <c r="K41" s="94"/>
      <c r="L41" s="94"/>
      <c r="M41" s="94"/>
      <c r="N41" s="94"/>
      <c r="O41" s="93"/>
    </row>
    <row r="42" spans="1:15" x14ac:dyDescent="0.25">
      <c r="A42" s="282">
        <v>20</v>
      </c>
      <c r="B42" s="282" t="s">
        <v>61</v>
      </c>
      <c r="C42" s="282" t="s">
        <v>1220</v>
      </c>
      <c r="D42" s="283">
        <v>500</v>
      </c>
      <c r="E42" s="282" t="s">
        <v>59</v>
      </c>
      <c r="F42" s="282">
        <v>2</v>
      </c>
      <c r="G42" s="282">
        <v>3000</v>
      </c>
      <c r="H42" s="282">
        <v>1</v>
      </c>
      <c r="I42" s="387">
        <f>D42*F42/G42*H42</f>
        <v>0.33333333333333331</v>
      </c>
      <c r="J42" s="99"/>
      <c r="K42" s="94"/>
      <c r="L42" s="94"/>
      <c r="M42" s="94"/>
      <c r="N42" s="94"/>
      <c r="O42" s="93"/>
    </row>
    <row r="43" spans="1:15" x14ac:dyDescent="0.25">
      <c r="A43" s="98"/>
      <c r="B43" s="95"/>
      <c r="C43" s="95"/>
      <c r="D43" s="95"/>
      <c r="E43" s="95"/>
      <c r="F43" s="95"/>
      <c r="G43" s="95"/>
      <c r="H43" s="643" t="s">
        <v>58</v>
      </c>
      <c r="I43" s="632">
        <f>SUM(I41:I42)</f>
        <v>0.83333333333333326</v>
      </c>
      <c r="J43" s="95"/>
      <c r="K43" s="94"/>
      <c r="L43" s="94"/>
      <c r="M43" s="94"/>
      <c r="N43" s="94"/>
      <c r="O43" s="93"/>
    </row>
    <row r="44" spans="1:15" ht="15.75" thickBot="1" x14ac:dyDescent="0.3">
      <c r="A44" s="92"/>
      <c r="B44" s="91"/>
      <c r="C44" s="91"/>
      <c r="D44" s="91"/>
      <c r="E44" s="91"/>
      <c r="F44" s="91"/>
      <c r="G44" s="91"/>
      <c r="H44" s="91"/>
      <c r="I44" s="91"/>
      <c r="J44" s="91"/>
      <c r="K44" s="91"/>
      <c r="L44" s="91"/>
      <c r="M44" s="91"/>
      <c r="N44" s="91"/>
      <c r="O44" s="90"/>
    </row>
    <row r="45" spans="1:15" ht="15.75" thickBot="1" x14ac:dyDescent="0.3">
      <c r="A45" s="94"/>
      <c r="B45" s="94"/>
      <c r="C45" s="94"/>
      <c r="D45" s="94"/>
      <c r="E45" s="94"/>
      <c r="F45" s="94"/>
      <c r="G45" s="94"/>
      <c r="H45" s="94"/>
      <c r="I45" s="94"/>
      <c r="J45" s="94"/>
      <c r="K45" s="94"/>
      <c r="L45" s="94"/>
      <c r="M45" s="94"/>
      <c r="N45" s="94"/>
    </row>
    <row r="46" spans="1:15" x14ac:dyDescent="0.25">
      <c r="A46" s="141"/>
      <c r="B46" s="140"/>
      <c r="C46" s="140"/>
      <c r="D46" s="140"/>
      <c r="E46" s="140"/>
      <c r="F46" s="140"/>
      <c r="G46" s="140"/>
      <c r="H46" s="140"/>
      <c r="I46" s="140"/>
      <c r="J46" s="140"/>
      <c r="K46" s="140"/>
      <c r="L46" s="140"/>
      <c r="M46" s="140"/>
      <c r="N46" s="140"/>
      <c r="O46" s="139"/>
    </row>
    <row r="47" spans="1:15" x14ac:dyDescent="0.25">
      <c r="A47" s="631" t="s">
        <v>57</v>
      </c>
      <c r="B47" s="133" t="s">
        <v>523</v>
      </c>
      <c r="C47" s="94"/>
      <c r="D47" s="94"/>
      <c r="E47" s="94"/>
      <c r="F47" s="94"/>
      <c r="G47" s="94"/>
      <c r="H47" s="94"/>
      <c r="I47" s="94"/>
      <c r="J47" s="631" t="s">
        <v>51</v>
      </c>
      <c r="K47" s="138">
        <v>81</v>
      </c>
      <c r="L47" s="94"/>
      <c r="M47" s="631" t="s">
        <v>126</v>
      </c>
      <c r="N47" s="137">
        <f>E62+ST_A0002_m+ST_A0002_p+ST_A0002_f+ST_A0002_t</f>
        <v>71.644507150333354</v>
      </c>
      <c r="O47" s="93"/>
    </row>
    <row r="48" spans="1:15" x14ac:dyDescent="0.25">
      <c r="A48" s="631" t="s">
        <v>125</v>
      </c>
      <c r="B48" s="133" t="s">
        <v>6</v>
      </c>
      <c r="C48" s="94"/>
      <c r="D48" s="94"/>
      <c r="E48" s="94"/>
      <c r="F48" s="94"/>
      <c r="G48" s="94"/>
      <c r="H48" s="94"/>
      <c r="I48" s="94"/>
      <c r="J48" s="94"/>
      <c r="K48" s="94"/>
      <c r="L48" s="94"/>
      <c r="M48" s="631" t="s">
        <v>124</v>
      </c>
      <c r="N48" s="136">
        <v>1</v>
      </c>
      <c r="O48" s="93"/>
    </row>
    <row r="49" spans="1:15" x14ac:dyDescent="0.25">
      <c r="A49" s="631" t="s">
        <v>123</v>
      </c>
      <c r="B49" s="94" t="s">
        <v>1219</v>
      </c>
      <c r="C49" s="94"/>
      <c r="D49" s="94"/>
      <c r="E49" s="94"/>
      <c r="F49" s="94"/>
      <c r="G49" s="94"/>
      <c r="H49" s="94"/>
      <c r="I49" s="94"/>
      <c r="J49" s="639" t="s">
        <v>122</v>
      </c>
      <c r="K49" s="94"/>
      <c r="L49" s="94"/>
      <c r="M49" s="94"/>
      <c r="N49" s="94"/>
      <c r="O49" s="93"/>
    </row>
    <row r="50" spans="1:15" x14ac:dyDescent="0.25">
      <c r="A50" s="631" t="s">
        <v>121</v>
      </c>
      <c r="B50" s="135" t="s">
        <v>1218</v>
      </c>
      <c r="C50" s="94"/>
      <c r="D50" s="94"/>
      <c r="E50" s="94"/>
      <c r="F50" s="94"/>
      <c r="G50" s="94"/>
      <c r="H50" s="94"/>
      <c r="I50" s="94"/>
      <c r="J50" s="639" t="s">
        <v>119</v>
      </c>
      <c r="K50" s="94"/>
      <c r="L50" s="94"/>
      <c r="M50" s="631" t="s">
        <v>118</v>
      </c>
      <c r="N50" s="100">
        <f>N47*N48</f>
        <v>71.644507150333354</v>
      </c>
      <c r="O50" s="93"/>
    </row>
    <row r="51" spans="1:15" x14ac:dyDescent="0.25">
      <c r="A51" s="631" t="s">
        <v>117</v>
      </c>
      <c r="B51" s="133" t="s">
        <v>23</v>
      </c>
      <c r="C51" s="94"/>
      <c r="D51" s="94"/>
      <c r="E51" s="94"/>
      <c r="F51" s="94"/>
      <c r="G51" s="94"/>
      <c r="H51" s="94"/>
      <c r="I51" s="94"/>
      <c r="J51" s="639" t="s">
        <v>116</v>
      </c>
      <c r="K51" s="94"/>
      <c r="L51" s="94"/>
      <c r="M51" s="94"/>
      <c r="N51" s="94"/>
      <c r="O51" s="93"/>
    </row>
    <row r="52" spans="1:15" x14ac:dyDescent="0.25">
      <c r="A52" s="631" t="s">
        <v>115</v>
      </c>
      <c r="B52" s="133" t="s">
        <v>6</v>
      </c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  <c r="O52" s="93"/>
    </row>
    <row r="53" spans="1:15" x14ac:dyDescent="0.25">
      <c r="A53" s="107"/>
      <c r="B53" s="94"/>
      <c r="C53" s="94"/>
      <c r="D53" s="94"/>
      <c r="E53" s="94"/>
      <c r="F53" s="94"/>
      <c r="G53" s="94"/>
      <c r="H53" s="94"/>
      <c r="I53" s="94"/>
      <c r="J53" s="94"/>
      <c r="K53" s="94"/>
      <c r="L53" s="94"/>
      <c r="M53" s="94"/>
      <c r="N53" s="94"/>
      <c r="O53" s="93"/>
    </row>
    <row r="54" spans="1:15" x14ac:dyDescent="0.25">
      <c r="A54" s="631" t="s">
        <v>67</v>
      </c>
      <c r="B54" s="631" t="s">
        <v>114</v>
      </c>
      <c r="C54" s="631" t="s">
        <v>113</v>
      </c>
      <c r="D54" s="631" t="s">
        <v>40</v>
      </c>
      <c r="E54" s="631" t="s">
        <v>58</v>
      </c>
      <c r="F54" s="94"/>
      <c r="G54" s="94"/>
      <c r="H54" s="94"/>
      <c r="I54" s="94"/>
      <c r="J54" s="94"/>
      <c r="K54" s="94"/>
      <c r="L54" s="94"/>
      <c r="M54" s="94"/>
      <c r="N54" s="94"/>
      <c r="O54" s="93"/>
    </row>
    <row r="55" spans="1:15" x14ac:dyDescent="0.25">
      <c r="A55" s="129">
        <v>10</v>
      </c>
      <c r="B55" s="132" t="str">
        <f>[0]!ST_02001_n</f>
        <v>Rack</v>
      </c>
      <c r="C55" s="100">
        <f>[0]!ST_02001_c</f>
        <v>3.6159270000000001</v>
      </c>
      <c r="D55" s="127">
        <f>'ST Parts'!N124</f>
        <v>1</v>
      </c>
      <c r="E55" s="100">
        <f t="shared" ref="E55:E61" si="1">C55*D55</f>
        <v>3.6159270000000001</v>
      </c>
      <c r="F55" s="94"/>
      <c r="G55" s="94"/>
      <c r="H55" s="94"/>
      <c r="I55" s="94"/>
      <c r="J55" s="94"/>
      <c r="K55" s="94"/>
      <c r="L55" s="94"/>
      <c r="M55" s="94"/>
      <c r="N55" s="94"/>
      <c r="O55" s="93"/>
    </row>
    <row r="56" spans="1:15" x14ac:dyDescent="0.25">
      <c r="A56" s="129">
        <v>20</v>
      </c>
      <c r="B56" s="132" t="str">
        <f>[0]!ST_02002_n</f>
        <v>Rack gear</v>
      </c>
      <c r="C56" s="100">
        <f>[0]!ST_02002_c</f>
        <v>10.285340625000002</v>
      </c>
      <c r="D56" s="127">
        <f>'ST Parts'!N144</f>
        <v>1</v>
      </c>
      <c r="E56" s="100">
        <f t="shared" si="1"/>
        <v>10.285340625000002</v>
      </c>
      <c r="F56" s="99"/>
      <c r="G56" s="99"/>
      <c r="H56" s="99"/>
      <c r="I56" s="99"/>
      <c r="J56" s="99"/>
      <c r="K56" s="99"/>
      <c r="L56" s="99"/>
      <c r="M56" s="99"/>
      <c r="N56" s="99"/>
      <c r="O56" s="93"/>
    </row>
    <row r="57" spans="1:15" x14ac:dyDescent="0.25">
      <c r="A57" s="129">
        <v>30</v>
      </c>
      <c r="B57" s="132" t="str">
        <f>[0]!ST_02003_n</f>
        <v>Rack Housing</v>
      </c>
      <c r="C57" s="100">
        <f>[0]!ST_02003_c</f>
        <v>14.786666666666669</v>
      </c>
      <c r="D57" s="127">
        <f>[0]!ST_02003_q</f>
        <v>1</v>
      </c>
      <c r="E57" s="100">
        <f t="shared" si="1"/>
        <v>14.786666666666669</v>
      </c>
      <c r="F57" s="99"/>
      <c r="G57" s="99"/>
      <c r="H57" s="99"/>
      <c r="I57" s="99"/>
      <c r="J57" s="99"/>
      <c r="K57" s="99"/>
      <c r="L57" s="99"/>
      <c r="M57" s="99"/>
      <c r="N57" s="99"/>
      <c r="O57" s="131"/>
    </row>
    <row r="58" spans="1:15" x14ac:dyDescent="0.25">
      <c r="A58" s="129">
        <v>40</v>
      </c>
      <c r="B58" s="132" t="str">
        <f>[0]!ST_02004_n</f>
        <v>Lower Rack Mount</v>
      </c>
      <c r="C58" s="100">
        <f>[0]!ST_02004_c</f>
        <v>8.120000000000001</v>
      </c>
      <c r="D58" s="127">
        <f>[0]!ST_02004_q</f>
        <v>2</v>
      </c>
      <c r="E58" s="100">
        <f t="shared" si="1"/>
        <v>16.240000000000002</v>
      </c>
      <c r="F58" s="99"/>
      <c r="G58" s="99"/>
      <c r="H58" s="99"/>
      <c r="I58" s="99"/>
      <c r="J58" s="99"/>
      <c r="K58" s="99"/>
      <c r="L58" s="99"/>
      <c r="M58" s="99"/>
      <c r="N58" s="99"/>
      <c r="O58" s="131"/>
    </row>
    <row r="59" spans="1:15" x14ac:dyDescent="0.25">
      <c r="A59" s="129">
        <v>50</v>
      </c>
      <c r="B59" s="132" t="str">
        <f>[0]!ST_02005_n</f>
        <v>Mount Spacer</v>
      </c>
      <c r="C59" s="100">
        <f>[0]!ST_02005_c</f>
        <v>2.3454214599999998</v>
      </c>
      <c r="D59" s="127">
        <f>[0]!ST_02005_q</f>
        <v>4</v>
      </c>
      <c r="E59" s="100">
        <f t="shared" si="1"/>
        <v>9.3816858399999994</v>
      </c>
      <c r="F59" s="99"/>
      <c r="G59" s="99"/>
      <c r="H59" s="99"/>
      <c r="I59" s="99"/>
      <c r="J59" s="99"/>
      <c r="K59" s="99"/>
      <c r="L59" s="99"/>
      <c r="M59" s="99"/>
      <c r="N59" s="99"/>
      <c r="O59" s="130"/>
    </row>
    <row r="60" spans="1:15" x14ac:dyDescent="0.25">
      <c r="A60" s="129">
        <v>60</v>
      </c>
      <c r="B60" s="132" t="str">
        <f>[0]!ST_02006_n</f>
        <v>Upper Rack Mount</v>
      </c>
      <c r="C60" s="100">
        <f>[0]!ST_02006_c</f>
        <v>2.2312192800000004</v>
      </c>
      <c r="D60" s="127">
        <f>[0]!ST_02006_q</f>
        <v>2</v>
      </c>
      <c r="E60" s="100">
        <f t="shared" si="1"/>
        <v>4.4624385600000007</v>
      </c>
      <c r="F60" s="99"/>
      <c r="G60" s="99"/>
      <c r="H60" s="99"/>
      <c r="I60" s="99"/>
      <c r="J60" s="99"/>
      <c r="K60" s="99"/>
      <c r="L60" s="99"/>
      <c r="M60" s="99"/>
      <c r="N60" s="99"/>
      <c r="O60" s="130"/>
    </row>
    <row r="61" spans="1:15" x14ac:dyDescent="0.25">
      <c r="A61" s="129">
        <v>70</v>
      </c>
      <c r="B61" s="132" t="str">
        <f>[0]!ST_02007_n</f>
        <v>Rack Stop</v>
      </c>
      <c r="C61" s="100">
        <f>[0]!ST_02007_c</f>
        <v>4.1353908959999996</v>
      </c>
      <c r="D61" s="127">
        <f>[0]!ST_02007_q</f>
        <v>2</v>
      </c>
      <c r="E61" s="100">
        <f t="shared" si="1"/>
        <v>8.2707817919999993</v>
      </c>
      <c r="F61" s="94"/>
      <c r="G61" s="94"/>
      <c r="H61" s="94"/>
      <c r="I61" s="94"/>
      <c r="J61" s="94"/>
      <c r="K61" s="94"/>
      <c r="L61" s="94"/>
      <c r="M61" s="94"/>
      <c r="N61" s="94"/>
      <c r="O61" s="93"/>
    </row>
    <row r="62" spans="1:15" x14ac:dyDescent="0.25">
      <c r="A62" s="107"/>
      <c r="B62" s="94"/>
      <c r="C62" s="94"/>
      <c r="D62" s="628" t="s">
        <v>58</v>
      </c>
      <c r="E62" s="627">
        <f>SUM(E55:E61)</f>
        <v>67.04284048366668</v>
      </c>
      <c r="F62" s="99"/>
      <c r="G62" s="99"/>
      <c r="H62" s="99"/>
      <c r="I62" s="99"/>
      <c r="J62" s="99"/>
      <c r="K62" s="99"/>
      <c r="L62" s="99"/>
      <c r="M62" s="99"/>
      <c r="N62" s="99"/>
      <c r="O62" s="93"/>
    </row>
    <row r="63" spans="1:15" x14ac:dyDescent="0.25">
      <c r="A63" s="107"/>
      <c r="B63" s="94"/>
      <c r="C63" s="94"/>
      <c r="D63" s="94"/>
      <c r="E63" s="94"/>
      <c r="F63" s="94"/>
      <c r="G63" s="94"/>
      <c r="H63" s="94"/>
      <c r="I63" s="94"/>
      <c r="J63" s="94"/>
      <c r="K63" s="94"/>
      <c r="L63" s="94"/>
      <c r="M63" s="94"/>
      <c r="N63" s="94"/>
      <c r="O63" s="93"/>
    </row>
    <row r="64" spans="1:15" x14ac:dyDescent="0.25">
      <c r="A64" s="631" t="s">
        <v>67</v>
      </c>
      <c r="B64" s="631" t="s">
        <v>112</v>
      </c>
      <c r="C64" s="631" t="s">
        <v>66</v>
      </c>
      <c r="D64" s="631" t="s">
        <v>65</v>
      </c>
      <c r="E64" s="631" t="s">
        <v>81</v>
      </c>
      <c r="F64" s="631" t="s">
        <v>80</v>
      </c>
      <c r="G64" s="631" t="s">
        <v>79</v>
      </c>
      <c r="H64" s="631" t="s">
        <v>78</v>
      </c>
      <c r="I64" s="631" t="s">
        <v>111</v>
      </c>
      <c r="J64" s="631" t="s">
        <v>110</v>
      </c>
      <c r="K64" s="631" t="s">
        <v>109</v>
      </c>
      <c r="L64" s="631" t="s">
        <v>108</v>
      </c>
      <c r="M64" s="631" t="s">
        <v>40</v>
      </c>
      <c r="N64" s="631" t="s">
        <v>58</v>
      </c>
      <c r="O64" s="93"/>
    </row>
    <row r="65" spans="1:15" x14ac:dyDescent="0.25">
      <c r="A65" s="282">
        <v>10</v>
      </c>
      <c r="B65" s="282" t="s">
        <v>1217</v>
      </c>
      <c r="C65" s="282" t="s">
        <v>1216</v>
      </c>
      <c r="D65" s="283">
        <v>0.5</v>
      </c>
      <c r="E65" s="282" t="s">
        <v>64</v>
      </c>
      <c r="F65" s="282"/>
      <c r="G65" s="282"/>
      <c r="H65" s="278"/>
      <c r="I65" s="303"/>
      <c r="J65" s="435"/>
      <c r="K65" s="278"/>
      <c r="L65" s="278"/>
      <c r="M65" s="381">
        <v>1</v>
      </c>
      <c r="N65" s="387">
        <f>M65*D65</f>
        <v>0.5</v>
      </c>
      <c r="O65" s="93"/>
    </row>
    <row r="66" spans="1:15" x14ac:dyDescent="0.25">
      <c r="A66" s="98"/>
      <c r="B66" s="95"/>
      <c r="C66" s="95"/>
      <c r="D66" s="95"/>
      <c r="E66" s="95"/>
      <c r="F66" s="95"/>
      <c r="G66" s="95"/>
      <c r="H66" s="95"/>
      <c r="I66" s="95"/>
      <c r="J66" s="95"/>
      <c r="K66" s="95"/>
      <c r="L66" s="95"/>
      <c r="M66" s="631" t="s">
        <v>58</v>
      </c>
      <c r="N66" s="627">
        <f>SUM(N65:N65)</f>
        <v>0.5</v>
      </c>
      <c r="O66" s="93"/>
    </row>
    <row r="67" spans="1:15" x14ac:dyDescent="0.25">
      <c r="A67" s="107"/>
      <c r="B67" s="94"/>
      <c r="C67" s="94"/>
      <c r="D67" s="94"/>
      <c r="E67" s="94"/>
      <c r="F67" s="94"/>
      <c r="G67" s="94"/>
      <c r="H67" s="94"/>
      <c r="I67" s="94"/>
      <c r="J67" s="94"/>
      <c r="K67" s="94"/>
      <c r="L67" s="94"/>
      <c r="M67" s="94"/>
      <c r="N67" s="94"/>
      <c r="O67" s="93"/>
    </row>
    <row r="68" spans="1:15" x14ac:dyDescent="0.25">
      <c r="A68" s="631" t="s">
        <v>67</v>
      </c>
      <c r="B68" s="631" t="s">
        <v>106</v>
      </c>
      <c r="C68" s="631" t="s">
        <v>66</v>
      </c>
      <c r="D68" s="631" t="s">
        <v>65</v>
      </c>
      <c r="E68" s="631" t="s">
        <v>64</v>
      </c>
      <c r="F68" s="631" t="s">
        <v>40</v>
      </c>
      <c r="G68" s="631" t="s">
        <v>105</v>
      </c>
      <c r="H68" s="631" t="s">
        <v>104</v>
      </c>
      <c r="I68" s="631" t="s">
        <v>58</v>
      </c>
      <c r="J68" s="95"/>
      <c r="K68" s="95"/>
      <c r="L68" s="95"/>
      <c r="M68" s="95"/>
      <c r="N68" s="95"/>
      <c r="O68" s="120"/>
    </row>
    <row r="69" spans="1:15" x14ac:dyDescent="0.25">
      <c r="A69" s="282">
        <v>10</v>
      </c>
      <c r="B69" s="282" t="s">
        <v>103</v>
      </c>
      <c r="C69" s="315" t="s">
        <v>1215</v>
      </c>
      <c r="D69" s="337">
        <v>0.15</v>
      </c>
      <c r="E69" s="282" t="s">
        <v>101</v>
      </c>
      <c r="F69" s="299">
        <v>7.5</v>
      </c>
      <c r="G69" s="299"/>
      <c r="H69" s="299"/>
      <c r="I69" s="337">
        <f t="shared" ref="I69:I75" si="2">IF(H69="",D69*F69,D69*F69*H69)</f>
        <v>1.125</v>
      </c>
      <c r="J69" s="94"/>
      <c r="K69" s="94"/>
      <c r="L69" s="94"/>
      <c r="M69" s="94"/>
      <c r="N69" s="94"/>
      <c r="O69" s="93"/>
    </row>
    <row r="70" spans="1:15" ht="32.25" customHeight="1" x14ac:dyDescent="0.25">
      <c r="A70" s="282">
        <v>20</v>
      </c>
      <c r="B70" s="309" t="s">
        <v>334</v>
      </c>
      <c r="C70" s="376" t="s">
        <v>2710</v>
      </c>
      <c r="D70" s="337">
        <v>0.13</v>
      </c>
      <c r="E70" s="309" t="s">
        <v>64</v>
      </c>
      <c r="F70" s="299">
        <v>1</v>
      </c>
      <c r="G70" s="282"/>
      <c r="H70" s="282"/>
      <c r="I70" s="337">
        <f t="shared" si="2"/>
        <v>0.13</v>
      </c>
      <c r="J70" s="94"/>
      <c r="K70" s="94"/>
      <c r="L70" s="94"/>
      <c r="M70" s="94"/>
      <c r="N70" s="94"/>
      <c r="O70" s="93"/>
    </row>
    <row r="71" spans="1:15" ht="18.75" customHeight="1" x14ac:dyDescent="0.25">
      <c r="A71" s="282">
        <v>30</v>
      </c>
      <c r="B71" s="309" t="s">
        <v>334</v>
      </c>
      <c r="C71" s="292" t="s">
        <v>1214</v>
      </c>
      <c r="D71" s="337">
        <v>0.13</v>
      </c>
      <c r="E71" s="282" t="s">
        <v>64</v>
      </c>
      <c r="F71" s="299">
        <v>2</v>
      </c>
      <c r="G71" s="282"/>
      <c r="H71" s="282"/>
      <c r="I71" s="337">
        <f t="shared" si="2"/>
        <v>0.26</v>
      </c>
      <c r="J71" s="94"/>
      <c r="K71" s="94"/>
      <c r="L71" s="94"/>
      <c r="M71" s="94"/>
      <c r="N71" s="94"/>
      <c r="O71" s="93"/>
    </row>
    <row r="72" spans="1:15" x14ac:dyDescent="0.25">
      <c r="A72" s="282">
        <v>40</v>
      </c>
      <c r="B72" s="309" t="s">
        <v>1181</v>
      </c>
      <c r="C72" s="292" t="s">
        <v>1213</v>
      </c>
      <c r="D72" s="337">
        <v>0.5</v>
      </c>
      <c r="E72" s="282" t="s">
        <v>64</v>
      </c>
      <c r="F72" s="299">
        <v>2</v>
      </c>
      <c r="G72" s="282"/>
      <c r="H72" s="282"/>
      <c r="I72" s="337">
        <f t="shared" si="2"/>
        <v>1</v>
      </c>
      <c r="J72" s="99"/>
      <c r="K72" s="99"/>
      <c r="L72" s="99"/>
      <c r="M72" s="99"/>
      <c r="N72" s="99"/>
      <c r="O72" s="130"/>
    </row>
    <row r="73" spans="1:15" x14ac:dyDescent="0.25">
      <c r="A73" s="282">
        <v>50</v>
      </c>
      <c r="B73" s="282" t="s">
        <v>285</v>
      </c>
      <c r="C73" s="292" t="s">
        <v>1212</v>
      </c>
      <c r="D73" s="337">
        <v>0.19</v>
      </c>
      <c r="E73" s="282" t="s">
        <v>64</v>
      </c>
      <c r="F73" s="299">
        <v>1</v>
      </c>
      <c r="G73" s="299"/>
      <c r="H73" s="299"/>
      <c r="I73" s="337">
        <f t="shared" si="2"/>
        <v>0.19</v>
      </c>
      <c r="J73" s="99"/>
      <c r="K73" s="99"/>
      <c r="L73" s="99"/>
      <c r="M73" s="99"/>
      <c r="N73" s="99"/>
      <c r="O73" s="130"/>
    </row>
    <row r="74" spans="1:15" x14ac:dyDescent="0.25">
      <c r="A74" s="282">
        <v>60</v>
      </c>
      <c r="B74" s="282" t="s">
        <v>334</v>
      </c>
      <c r="C74" s="292" t="s">
        <v>1211</v>
      </c>
      <c r="D74" s="337">
        <v>0.13</v>
      </c>
      <c r="E74" s="282" t="s">
        <v>64</v>
      </c>
      <c r="F74" s="299">
        <v>2</v>
      </c>
      <c r="G74" s="299"/>
      <c r="H74" s="299"/>
      <c r="I74" s="337">
        <f t="shared" si="2"/>
        <v>0.26</v>
      </c>
      <c r="J74" s="99"/>
      <c r="K74" s="99"/>
      <c r="L74" s="99"/>
      <c r="M74" s="99"/>
      <c r="N74" s="99"/>
      <c r="O74" s="120"/>
    </row>
    <row r="75" spans="1:15" x14ac:dyDescent="0.25">
      <c r="A75" s="282">
        <v>70</v>
      </c>
      <c r="B75" s="282" t="s">
        <v>1181</v>
      </c>
      <c r="C75" s="292" t="s">
        <v>1210</v>
      </c>
      <c r="D75" s="337">
        <v>0.5</v>
      </c>
      <c r="E75" s="282" t="s">
        <v>64</v>
      </c>
      <c r="F75" s="299">
        <v>2</v>
      </c>
      <c r="G75" s="299"/>
      <c r="H75" s="299"/>
      <c r="I75" s="337">
        <f t="shared" si="2"/>
        <v>1</v>
      </c>
      <c r="J75" s="99"/>
      <c r="K75" s="99"/>
      <c r="L75" s="99"/>
      <c r="M75" s="99"/>
      <c r="N75" s="99"/>
      <c r="O75" s="130"/>
    </row>
    <row r="76" spans="1:15" x14ac:dyDescent="0.25">
      <c r="A76" s="98"/>
      <c r="B76" s="95"/>
      <c r="C76" s="95"/>
      <c r="D76" s="95"/>
      <c r="E76" s="95"/>
      <c r="F76" s="95"/>
      <c r="G76" s="95"/>
      <c r="H76" s="628" t="s">
        <v>58</v>
      </c>
      <c r="I76" s="627">
        <f>SUM(I69:I71)</f>
        <v>1.5149999999999999</v>
      </c>
      <c r="J76" s="94"/>
      <c r="K76" s="94"/>
      <c r="L76" s="94"/>
      <c r="M76" s="94"/>
      <c r="N76" s="94"/>
      <c r="O76" s="93"/>
    </row>
    <row r="77" spans="1:15" x14ac:dyDescent="0.25">
      <c r="A77" s="107"/>
      <c r="B77" s="94"/>
      <c r="C77" s="94"/>
      <c r="D77" s="94"/>
      <c r="E77" s="94"/>
      <c r="F77" s="94"/>
      <c r="G77" s="94"/>
      <c r="H77" s="94"/>
      <c r="I77" s="94"/>
      <c r="J77" s="94"/>
      <c r="K77" s="94"/>
      <c r="L77" s="94"/>
      <c r="M77" s="94"/>
      <c r="N77" s="94"/>
      <c r="O77" s="93"/>
    </row>
    <row r="78" spans="1:15" x14ac:dyDescent="0.25">
      <c r="A78" s="631" t="s">
        <v>67</v>
      </c>
      <c r="B78" s="631" t="s">
        <v>82</v>
      </c>
      <c r="C78" s="631" t="s">
        <v>66</v>
      </c>
      <c r="D78" s="631" t="s">
        <v>65</v>
      </c>
      <c r="E78" s="631" t="s">
        <v>81</v>
      </c>
      <c r="F78" s="631" t="s">
        <v>80</v>
      </c>
      <c r="G78" s="631" t="s">
        <v>79</v>
      </c>
      <c r="H78" s="631" t="s">
        <v>78</v>
      </c>
      <c r="I78" s="631" t="s">
        <v>40</v>
      </c>
      <c r="J78" s="631" t="s">
        <v>58</v>
      </c>
      <c r="K78" s="94"/>
      <c r="L78" s="94"/>
      <c r="M78" s="94"/>
      <c r="N78" s="94"/>
      <c r="O78" s="93"/>
    </row>
    <row r="79" spans="1:15" x14ac:dyDescent="0.25">
      <c r="A79" s="282">
        <v>10</v>
      </c>
      <c r="B79" s="282" t="s">
        <v>184</v>
      </c>
      <c r="C79" s="282" t="s">
        <v>1209</v>
      </c>
      <c r="D79" s="630">
        <v>0.09</v>
      </c>
      <c r="E79" s="629">
        <v>6</v>
      </c>
      <c r="F79" s="629" t="s">
        <v>68</v>
      </c>
      <c r="G79" s="629">
        <v>35</v>
      </c>
      <c r="H79" s="629" t="s">
        <v>68</v>
      </c>
      <c r="I79" s="534">
        <v>4</v>
      </c>
      <c r="J79" s="337">
        <f>I79*D79</f>
        <v>0.36</v>
      </c>
      <c r="K79" s="94"/>
      <c r="L79" s="94"/>
      <c r="M79" s="94"/>
      <c r="N79" s="94"/>
      <c r="O79" s="93"/>
    </row>
    <row r="80" spans="1:15" x14ac:dyDescent="0.25">
      <c r="A80" s="282">
        <v>20</v>
      </c>
      <c r="B80" s="282" t="s">
        <v>74</v>
      </c>
      <c r="C80" s="282" t="s">
        <v>1208</v>
      </c>
      <c r="D80" s="630">
        <v>0.01</v>
      </c>
      <c r="E80" s="282">
        <v>8</v>
      </c>
      <c r="F80" s="535" t="s">
        <v>68</v>
      </c>
      <c r="G80" s="282"/>
      <c r="H80" s="285"/>
      <c r="I80" s="534">
        <v>8</v>
      </c>
      <c r="J80" s="337">
        <f>I80*D80</f>
        <v>0.08</v>
      </c>
      <c r="K80" s="94"/>
      <c r="L80" s="94"/>
      <c r="M80" s="94"/>
      <c r="N80" s="94"/>
      <c r="O80" s="93"/>
    </row>
    <row r="81" spans="1:15" x14ac:dyDescent="0.25">
      <c r="A81" s="282">
        <v>30</v>
      </c>
      <c r="B81" s="282" t="s">
        <v>75</v>
      </c>
      <c r="C81" s="282" t="s">
        <v>1176</v>
      </c>
      <c r="D81" s="630">
        <v>0.03</v>
      </c>
      <c r="E81" s="282">
        <v>6</v>
      </c>
      <c r="F81" s="535" t="s">
        <v>68</v>
      </c>
      <c r="G81" s="282"/>
      <c r="H81" s="285"/>
      <c r="I81" s="534">
        <v>4</v>
      </c>
      <c r="J81" s="337">
        <f>I81*D81</f>
        <v>0.12</v>
      </c>
      <c r="K81" s="94"/>
      <c r="L81" s="94"/>
      <c r="M81" s="94"/>
      <c r="N81" s="94"/>
      <c r="O81" s="93"/>
    </row>
    <row r="82" spans="1:15" ht="19.5" customHeight="1" x14ac:dyDescent="0.25">
      <c r="A82" s="282">
        <v>40</v>
      </c>
      <c r="B82" s="354" t="s">
        <v>184</v>
      </c>
      <c r="C82" s="292" t="s">
        <v>1207</v>
      </c>
      <c r="D82" s="642">
        <v>0.53</v>
      </c>
      <c r="E82" s="292">
        <v>12</v>
      </c>
      <c r="F82" s="641" t="s">
        <v>68</v>
      </c>
      <c r="G82" s="292">
        <v>60</v>
      </c>
      <c r="H82" s="376" t="s">
        <v>68</v>
      </c>
      <c r="I82" s="640">
        <v>2</v>
      </c>
      <c r="J82" s="337">
        <f>I82*D82</f>
        <v>1.06</v>
      </c>
      <c r="K82" s="142"/>
      <c r="L82" s="142"/>
      <c r="M82" s="142"/>
      <c r="N82" s="142"/>
      <c r="O82" s="93"/>
    </row>
    <row r="83" spans="1:15" ht="18.75" customHeight="1" x14ac:dyDescent="0.25">
      <c r="A83" s="282">
        <v>50</v>
      </c>
      <c r="B83" s="354" t="s">
        <v>1206</v>
      </c>
      <c r="C83" s="292" t="s">
        <v>1205</v>
      </c>
      <c r="D83" s="642">
        <v>0.3</v>
      </c>
      <c r="E83" s="292">
        <v>40</v>
      </c>
      <c r="F83" s="641" t="s">
        <v>68</v>
      </c>
      <c r="G83" s="292"/>
      <c r="H83" s="376"/>
      <c r="I83" s="640">
        <v>1</v>
      </c>
      <c r="J83" s="337">
        <f>I83*D83</f>
        <v>0.3</v>
      </c>
      <c r="K83" s="142"/>
      <c r="L83" s="142"/>
      <c r="M83" s="142"/>
      <c r="N83" s="142"/>
      <c r="O83" s="93"/>
    </row>
    <row r="84" spans="1:15" x14ac:dyDescent="0.25">
      <c r="A84" s="98"/>
      <c r="B84" s="95"/>
      <c r="C84" s="95"/>
      <c r="D84" s="95"/>
      <c r="E84" s="95"/>
      <c r="F84" s="95"/>
      <c r="G84" s="95"/>
      <c r="H84" s="95"/>
      <c r="I84" s="628" t="s">
        <v>58</v>
      </c>
      <c r="J84" s="627">
        <f>SUM(J79:J83)</f>
        <v>1.9200000000000002</v>
      </c>
      <c r="K84" s="94"/>
      <c r="L84" s="94"/>
      <c r="M84" s="94"/>
      <c r="N84" s="94"/>
      <c r="O84" s="93"/>
    </row>
    <row r="85" spans="1:15" x14ac:dyDescent="0.25">
      <c r="A85" s="107"/>
      <c r="B85" s="94"/>
      <c r="C85" s="94"/>
      <c r="D85" s="94"/>
      <c r="E85" s="94"/>
      <c r="F85" s="94"/>
      <c r="G85" s="94"/>
      <c r="H85" s="94"/>
      <c r="I85" s="549"/>
      <c r="J85" s="549"/>
      <c r="K85" s="94"/>
      <c r="L85" s="94"/>
      <c r="M85" s="94"/>
      <c r="N85" s="94"/>
      <c r="O85" s="93"/>
    </row>
    <row r="86" spans="1:15" x14ac:dyDescent="0.25">
      <c r="A86" s="631" t="s">
        <v>67</v>
      </c>
      <c r="B86" s="631" t="s">
        <v>13</v>
      </c>
      <c r="C86" s="631" t="s">
        <v>66</v>
      </c>
      <c r="D86" s="631" t="s">
        <v>65</v>
      </c>
      <c r="E86" s="631" t="s">
        <v>64</v>
      </c>
      <c r="F86" s="631" t="s">
        <v>40</v>
      </c>
      <c r="G86" s="631" t="s">
        <v>63</v>
      </c>
      <c r="H86" s="631" t="s">
        <v>62</v>
      </c>
      <c r="I86" s="631" t="s">
        <v>58</v>
      </c>
      <c r="J86" s="95"/>
      <c r="K86" s="94"/>
      <c r="L86" s="94"/>
      <c r="M86" s="94"/>
      <c r="N86" s="94"/>
      <c r="O86" s="93"/>
    </row>
    <row r="87" spans="1:15" x14ac:dyDescent="0.25">
      <c r="A87" s="282">
        <v>10</v>
      </c>
      <c r="B87" s="282" t="s">
        <v>61</v>
      </c>
      <c r="C87" s="292" t="s">
        <v>1204</v>
      </c>
      <c r="D87" s="283">
        <v>500</v>
      </c>
      <c r="E87" s="282" t="s">
        <v>59</v>
      </c>
      <c r="F87" s="282">
        <v>4</v>
      </c>
      <c r="G87" s="282">
        <v>3000</v>
      </c>
      <c r="H87" s="282">
        <v>1</v>
      </c>
      <c r="I87" s="387">
        <f>D87*F87/G87*H87</f>
        <v>0.66666666666666663</v>
      </c>
      <c r="J87" s="99"/>
      <c r="K87" s="94"/>
      <c r="L87" s="94"/>
      <c r="M87" s="94"/>
      <c r="N87" s="94"/>
      <c r="O87" s="93"/>
    </row>
    <row r="88" spans="1:15" x14ac:dyDescent="0.25">
      <c r="A88" s="98"/>
      <c r="B88" s="95"/>
      <c r="C88" s="95"/>
      <c r="D88" s="95"/>
      <c r="E88" s="95"/>
      <c r="F88" s="95"/>
      <c r="G88" s="95"/>
      <c r="H88" s="628" t="s">
        <v>58</v>
      </c>
      <c r="I88" s="627">
        <f>SUM(I87)</f>
        <v>0.66666666666666663</v>
      </c>
      <c r="J88" s="95"/>
      <c r="K88" s="94"/>
      <c r="L88" s="94"/>
      <c r="M88" s="94"/>
      <c r="N88" s="94"/>
      <c r="O88" s="93"/>
    </row>
    <row r="89" spans="1:15" ht="15.75" thickBot="1" x14ac:dyDescent="0.3">
      <c r="A89" s="92"/>
      <c r="B89" s="91"/>
      <c r="C89" s="91"/>
      <c r="D89" s="91"/>
      <c r="E89" s="91"/>
      <c r="F89" s="91"/>
      <c r="G89" s="91"/>
      <c r="H89" s="91"/>
      <c r="I89" s="91"/>
      <c r="J89" s="91"/>
      <c r="K89" s="91"/>
      <c r="L89" s="91"/>
      <c r="M89" s="91"/>
      <c r="N89" s="91"/>
      <c r="O89" s="90"/>
    </row>
    <row r="90" spans="1:15" ht="15.75" thickBot="1" x14ac:dyDescent="0.3"/>
    <row r="91" spans="1:15" x14ac:dyDescent="0.25">
      <c r="A91" s="141"/>
      <c r="B91" s="140"/>
      <c r="C91" s="140"/>
      <c r="D91" s="140"/>
      <c r="E91" s="140"/>
      <c r="F91" s="140"/>
      <c r="G91" s="140"/>
      <c r="H91" s="140"/>
      <c r="I91" s="140"/>
      <c r="J91" s="140"/>
      <c r="K91" s="140"/>
      <c r="L91" s="140"/>
      <c r="M91" s="140"/>
      <c r="N91" s="140"/>
      <c r="O91" s="139"/>
    </row>
    <row r="92" spans="1:15" x14ac:dyDescent="0.25">
      <c r="A92" s="631" t="s">
        <v>57</v>
      </c>
      <c r="B92" s="133" t="s">
        <v>523</v>
      </c>
      <c r="C92" s="94"/>
      <c r="D92" s="94"/>
      <c r="E92" s="94"/>
      <c r="F92" s="94"/>
      <c r="G92" s="94"/>
      <c r="H92" s="94"/>
      <c r="I92" s="94"/>
      <c r="J92" s="631" t="s">
        <v>51</v>
      </c>
      <c r="K92" s="138">
        <v>81</v>
      </c>
      <c r="L92" s="94"/>
      <c r="M92" s="631" t="s">
        <v>126</v>
      </c>
      <c r="N92" s="137">
        <f>E103+ST_A0003_m+ST_A0003_p+ST_A0003_f+ST_A0003_t</f>
        <v>39.360400547033336</v>
      </c>
      <c r="O92" s="93"/>
    </row>
    <row r="93" spans="1:15" x14ac:dyDescent="0.25">
      <c r="A93" s="631" t="s">
        <v>125</v>
      </c>
      <c r="B93" s="133" t="s">
        <v>6</v>
      </c>
      <c r="C93" s="94"/>
      <c r="D93" s="94"/>
      <c r="E93" s="94"/>
      <c r="F93" s="94"/>
      <c r="G93" s="94"/>
      <c r="H93" s="94"/>
      <c r="I93" s="94"/>
      <c r="J93" s="94"/>
      <c r="K93" s="94"/>
      <c r="L93" s="94"/>
      <c r="M93" s="631" t="s">
        <v>124</v>
      </c>
      <c r="N93" s="136">
        <v>1</v>
      </c>
      <c r="O93" s="93"/>
    </row>
    <row r="94" spans="1:15" x14ac:dyDescent="0.25">
      <c r="A94" s="631" t="s">
        <v>123</v>
      </c>
      <c r="B94" s="94" t="s">
        <v>1203</v>
      </c>
      <c r="C94" s="94"/>
      <c r="D94" s="94"/>
      <c r="E94" s="94"/>
      <c r="F94" s="94"/>
      <c r="G94" s="94"/>
      <c r="H94" s="94"/>
      <c r="I94" s="94"/>
      <c r="J94" s="639" t="s">
        <v>122</v>
      </c>
      <c r="K94" s="94"/>
      <c r="L94" s="94"/>
      <c r="M94" s="94"/>
      <c r="N94" s="94"/>
      <c r="O94" s="93"/>
    </row>
    <row r="95" spans="1:15" x14ac:dyDescent="0.25">
      <c r="A95" s="631" t="s">
        <v>121</v>
      </c>
      <c r="B95" s="135" t="s">
        <v>1202</v>
      </c>
      <c r="C95" s="94"/>
      <c r="D95" s="94"/>
      <c r="E95" s="94"/>
      <c r="F95" s="94"/>
      <c r="G95" s="94"/>
      <c r="H95" s="94"/>
      <c r="I95" s="94"/>
      <c r="J95" s="639" t="s">
        <v>119</v>
      </c>
      <c r="K95" s="94"/>
      <c r="L95" s="94"/>
      <c r="M95" s="631" t="s">
        <v>118</v>
      </c>
      <c r="N95" s="100">
        <f>N92*N93</f>
        <v>39.360400547033336</v>
      </c>
      <c r="O95" s="93"/>
    </row>
    <row r="96" spans="1:15" x14ac:dyDescent="0.25">
      <c r="A96" s="631" t="s">
        <v>117</v>
      </c>
      <c r="B96" s="133" t="s">
        <v>23</v>
      </c>
      <c r="C96" s="94"/>
      <c r="D96" s="94"/>
      <c r="E96" s="94"/>
      <c r="F96" s="94"/>
      <c r="G96" s="94"/>
      <c r="H96" s="94"/>
      <c r="I96" s="94"/>
      <c r="J96" s="639" t="s">
        <v>116</v>
      </c>
      <c r="K96" s="94"/>
      <c r="L96" s="94"/>
      <c r="M96" s="94"/>
      <c r="N96" s="94"/>
      <c r="O96" s="93"/>
    </row>
    <row r="97" spans="1:15" x14ac:dyDescent="0.25">
      <c r="A97" s="631" t="s">
        <v>115</v>
      </c>
      <c r="B97" s="133" t="s">
        <v>1201</v>
      </c>
      <c r="C97" s="94"/>
      <c r="D97" s="94"/>
      <c r="E97" s="94"/>
      <c r="F97" s="94"/>
      <c r="G97" s="94"/>
      <c r="H97" s="94"/>
      <c r="I97" s="94"/>
      <c r="J97" s="94"/>
      <c r="K97" s="94"/>
      <c r="L97" s="94"/>
      <c r="M97" s="94"/>
      <c r="N97" s="94"/>
      <c r="O97" s="93"/>
    </row>
    <row r="98" spans="1:15" x14ac:dyDescent="0.25">
      <c r="A98" s="107"/>
      <c r="B98" s="94"/>
      <c r="C98" s="94"/>
      <c r="D98" s="94"/>
      <c r="E98" s="94"/>
      <c r="F98" s="94"/>
      <c r="G98" s="94"/>
      <c r="H98" s="94"/>
      <c r="I98" s="94"/>
      <c r="J98" s="94"/>
      <c r="K98" s="94"/>
      <c r="L98" s="94"/>
      <c r="M98" s="94"/>
      <c r="N98" s="94"/>
      <c r="O98" s="93"/>
    </row>
    <row r="99" spans="1:15" x14ac:dyDescent="0.25">
      <c r="A99" s="631" t="s">
        <v>67</v>
      </c>
      <c r="B99" s="631" t="s">
        <v>114</v>
      </c>
      <c r="C99" s="631" t="s">
        <v>113</v>
      </c>
      <c r="D99" s="631" t="s">
        <v>40</v>
      </c>
      <c r="E99" s="631" t="s">
        <v>58</v>
      </c>
      <c r="F99" s="94"/>
      <c r="G99" s="94"/>
      <c r="H99" s="94"/>
      <c r="I99" s="94"/>
      <c r="J99" s="94"/>
      <c r="K99" s="94"/>
      <c r="L99" s="94"/>
      <c r="M99" s="94"/>
      <c r="N99" s="94"/>
      <c r="O99" s="93"/>
    </row>
    <row r="100" spans="1:15" x14ac:dyDescent="0.25">
      <c r="A100" s="129">
        <v>10</v>
      </c>
      <c r="B100" s="132" t="str">
        <f>[0]!ST_03001_n</f>
        <v>Quick Release Mount</v>
      </c>
      <c r="C100" s="100">
        <f>[0]!ST_03001_c</f>
        <v>5.9925924500000001</v>
      </c>
      <c r="D100" s="127">
        <f>[0]!ST_03001_q</f>
        <v>1</v>
      </c>
      <c r="E100" s="100">
        <f>C100*D100</f>
        <v>5.9925924500000001</v>
      </c>
      <c r="F100" s="94"/>
      <c r="G100" s="94"/>
      <c r="H100" s="94"/>
      <c r="I100" s="94"/>
      <c r="J100" s="94"/>
      <c r="K100" s="94"/>
      <c r="L100" s="94"/>
      <c r="M100" s="94"/>
      <c r="N100" s="94"/>
      <c r="O100" s="93"/>
    </row>
    <row r="101" spans="1:15" x14ac:dyDescent="0.25">
      <c r="A101" s="129">
        <v>20</v>
      </c>
      <c r="B101" s="132" t="str">
        <f>[0]!ST_03002_n</f>
        <v>Quick Release Sliding Part</v>
      </c>
      <c r="C101" s="100">
        <f>[0]!ST_03002_c</f>
        <v>11.077237381849999</v>
      </c>
      <c r="D101" s="127">
        <f>[0]!ST_03002_q</f>
        <v>1</v>
      </c>
      <c r="E101" s="100">
        <f>C101*D101</f>
        <v>11.077237381849999</v>
      </c>
      <c r="F101" s="99"/>
      <c r="G101" s="99"/>
      <c r="H101" s="99"/>
      <c r="I101" s="99"/>
      <c r="J101" s="99"/>
      <c r="K101" s="99"/>
      <c r="L101" s="99"/>
      <c r="M101" s="99"/>
      <c r="N101" s="99"/>
      <c r="O101" s="93"/>
    </row>
    <row r="102" spans="1:15" x14ac:dyDescent="0.25">
      <c r="A102" s="129">
        <v>30</v>
      </c>
      <c r="B102" s="132" t="str">
        <f>[0]!ST_03003_n</f>
        <v>Quick Release Fixed Part</v>
      </c>
      <c r="C102" s="100">
        <f>[0]!ST_03003_c</f>
        <v>9.77723738185</v>
      </c>
      <c r="D102" s="127">
        <f>[0]!ST_03003_q</f>
        <v>1</v>
      </c>
      <c r="E102" s="100">
        <f>C102*D102</f>
        <v>9.77723738185</v>
      </c>
      <c r="F102" s="99"/>
      <c r="G102" s="99"/>
      <c r="H102" s="99"/>
      <c r="I102" s="99"/>
      <c r="J102" s="99"/>
      <c r="K102" s="99"/>
      <c r="L102" s="99"/>
      <c r="M102" s="99"/>
      <c r="N102" s="99"/>
      <c r="O102" s="131"/>
    </row>
    <row r="103" spans="1:15" x14ac:dyDescent="0.25">
      <c r="A103" s="107"/>
      <c r="B103" s="94"/>
      <c r="C103" s="94"/>
      <c r="D103" s="628" t="s">
        <v>58</v>
      </c>
      <c r="E103" s="627">
        <f>SUM(E100:E102)</f>
        <v>26.847067213700001</v>
      </c>
      <c r="F103" s="99"/>
      <c r="G103" s="99"/>
      <c r="H103" s="99"/>
      <c r="I103" s="99"/>
      <c r="J103" s="99"/>
      <c r="K103" s="99"/>
      <c r="L103" s="99"/>
      <c r="M103" s="99"/>
      <c r="N103" s="99"/>
      <c r="O103" s="93"/>
    </row>
    <row r="104" spans="1:15" x14ac:dyDescent="0.25">
      <c r="A104" s="107"/>
      <c r="B104" s="94"/>
      <c r="C104" s="94"/>
      <c r="D104" s="94"/>
      <c r="E104" s="94"/>
      <c r="F104" s="94"/>
      <c r="G104" s="94"/>
      <c r="H104" s="94"/>
      <c r="I104" s="94"/>
      <c r="J104" s="94"/>
      <c r="K104" s="94"/>
      <c r="L104" s="94"/>
      <c r="M104" s="94"/>
      <c r="N104" s="94"/>
      <c r="O104" s="93"/>
    </row>
    <row r="105" spans="1:15" x14ac:dyDescent="0.25">
      <c r="A105" s="631" t="s">
        <v>67</v>
      </c>
      <c r="B105" s="631" t="s">
        <v>112</v>
      </c>
      <c r="C105" s="631" t="s">
        <v>66</v>
      </c>
      <c r="D105" s="631" t="s">
        <v>65</v>
      </c>
      <c r="E105" s="631" t="s">
        <v>81</v>
      </c>
      <c r="F105" s="631" t="s">
        <v>80</v>
      </c>
      <c r="G105" s="631" t="s">
        <v>79</v>
      </c>
      <c r="H105" s="631" t="s">
        <v>78</v>
      </c>
      <c r="I105" s="631" t="s">
        <v>111</v>
      </c>
      <c r="J105" s="631" t="s">
        <v>110</v>
      </c>
      <c r="K105" s="631" t="s">
        <v>109</v>
      </c>
      <c r="L105" s="631" t="s">
        <v>108</v>
      </c>
      <c r="M105" s="631" t="s">
        <v>40</v>
      </c>
      <c r="N105" s="631" t="s">
        <v>58</v>
      </c>
      <c r="O105" s="93"/>
    </row>
    <row r="106" spans="1:15" ht="30.75" customHeight="1" x14ac:dyDescent="0.25">
      <c r="A106" s="282">
        <v>10</v>
      </c>
      <c r="B106" s="292" t="s">
        <v>1200</v>
      </c>
      <c r="C106" s="292" t="s">
        <v>1199</v>
      </c>
      <c r="D106" s="283">
        <v>1</v>
      </c>
      <c r="E106" s="282"/>
      <c r="F106" s="282"/>
      <c r="G106" s="282"/>
      <c r="H106" s="278"/>
      <c r="I106" s="303"/>
      <c r="J106" s="435"/>
      <c r="K106" s="278"/>
      <c r="L106" s="278"/>
      <c r="M106" s="381">
        <v>4</v>
      </c>
      <c r="N106" s="387">
        <f>M106*D106</f>
        <v>4</v>
      </c>
      <c r="O106" s="93"/>
    </row>
    <row r="107" spans="1:15" ht="19.5" customHeight="1" x14ac:dyDescent="0.25">
      <c r="A107" s="282">
        <v>20</v>
      </c>
      <c r="B107" s="292" t="s">
        <v>729</v>
      </c>
      <c r="C107" s="292" t="s">
        <v>1198</v>
      </c>
      <c r="D107" s="283">
        <v>2.25</v>
      </c>
      <c r="E107" s="282">
        <v>5</v>
      </c>
      <c r="F107" s="282" t="s">
        <v>68</v>
      </c>
      <c r="G107" s="282"/>
      <c r="H107" s="278"/>
      <c r="I107" s="303" t="s">
        <v>1186</v>
      </c>
      <c r="J107" s="435"/>
      <c r="K107" s="278"/>
      <c r="L107" s="278"/>
      <c r="M107" s="381">
        <v>3</v>
      </c>
      <c r="N107" s="387">
        <f>M107*D107</f>
        <v>6.75</v>
      </c>
      <c r="O107" s="143"/>
    </row>
    <row r="108" spans="1:15" x14ac:dyDescent="0.25">
      <c r="A108" s="98"/>
      <c r="B108" s="95"/>
      <c r="C108" s="95"/>
      <c r="D108" s="95"/>
      <c r="E108" s="95"/>
      <c r="F108" s="95"/>
      <c r="G108" s="95"/>
      <c r="H108" s="95"/>
      <c r="I108" s="95"/>
      <c r="J108" s="95"/>
      <c r="K108" s="95"/>
      <c r="L108" s="95"/>
      <c r="M108" s="631" t="s">
        <v>58</v>
      </c>
      <c r="N108" s="627">
        <f>SUM(N106:N107)</f>
        <v>10.75</v>
      </c>
      <c r="O108" s="93"/>
    </row>
    <row r="109" spans="1:15" x14ac:dyDescent="0.25">
      <c r="A109" s="107"/>
      <c r="B109" s="94"/>
      <c r="C109" s="94"/>
      <c r="D109" s="94"/>
      <c r="E109" s="94"/>
      <c r="F109" s="94"/>
      <c r="G109" s="94"/>
      <c r="H109" s="94"/>
      <c r="I109" s="94"/>
      <c r="J109" s="94"/>
      <c r="K109" s="94"/>
      <c r="L109" s="94"/>
      <c r="M109" s="94"/>
      <c r="N109" s="94"/>
      <c r="O109" s="93"/>
    </row>
    <row r="110" spans="1:15" x14ac:dyDescent="0.25">
      <c r="A110" s="631" t="s">
        <v>67</v>
      </c>
      <c r="B110" s="631" t="s">
        <v>106</v>
      </c>
      <c r="C110" s="631" t="s">
        <v>66</v>
      </c>
      <c r="D110" s="631" t="s">
        <v>65</v>
      </c>
      <c r="E110" s="631" t="s">
        <v>64</v>
      </c>
      <c r="F110" s="631" t="s">
        <v>40</v>
      </c>
      <c r="G110" s="631" t="s">
        <v>105</v>
      </c>
      <c r="H110" s="631" t="s">
        <v>104</v>
      </c>
      <c r="I110" s="631" t="s">
        <v>58</v>
      </c>
      <c r="J110" s="95"/>
      <c r="K110" s="95"/>
      <c r="L110" s="95"/>
      <c r="M110" s="95"/>
      <c r="N110" s="95"/>
      <c r="O110" s="120"/>
    </row>
    <row r="111" spans="1:15" ht="32.25" customHeight="1" x14ac:dyDescent="0.25">
      <c r="A111" s="282">
        <v>10</v>
      </c>
      <c r="B111" s="309" t="s">
        <v>334</v>
      </c>
      <c r="C111" s="292" t="s">
        <v>1197</v>
      </c>
      <c r="D111" s="337">
        <v>0.13</v>
      </c>
      <c r="E111" s="282" t="s">
        <v>64</v>
      </c>
      <c r="F111" s="299">
        <v>1</v>
      </c>
      <c r="G111" s="299"/>
      <c r="H111" s="299"/>
      <c r="I111" s="337">
        <f>IF(H111="",D111*F111,D111*F111*H111)</f>
        <v>0.13</v>
      </c>
      <c r="J111" s="94"/>
      <c r="K111" s="94"/>
      <c r="L111" s="94"/>
      <c r="M111" s="94"/>
      <c r="N111" s="94"/>
      <c r="O111" s="93"/>
    </row>
    <row r="112" spans="1:15" ht="18.75" customHeight="1" x14ac:dyDescent="0.25">
      <c r="A112" s="282">
        <v>20</v>
      </c>
      <c r="B112" s="309" t="s">
        <v>285</v>
      </c>
      <c r="C112" s="376" t="s">
        <v>1196</v>
      </c>
      <c r="D112" s="337">
        <v>0.19</v>
      </c>
      <c r="E112" s="309" t="s">
        <v>64</v>
      </c>
      <c r="F112" s="299">
        <v>1</v>
      </c>
      <c r="G112" s="282"/>
      <c r="H112" s="282"/>
      <c r="I112" s="337">
        <f>IF(H112="",D112*F112,D112*F112*H112)</f>
        <v>0.19</v>
      </c>
      <c r="J112" s="94"/>
      <c r="K112" s="94"/>
      <c r="L112" s="94"/>
      <c r="M112" s="94"/>
      <c r="N112" s="94"/>
      <c r="O112" s="93"/>
    </row>
    <row r="113" spans="1:15" ht="30" x14ac:dyDescent="0.25">
      <c r="A113" s="282">
        <v>30</v>
      </c>
      <c r="B113" s="309" t="s">
        <v>103</v>
      </c>
      <c r="C113" s="292" t="s">
        <v>1195</v>
      </c>
      <c r="D113" s="337">
        <v>0.15</v>
      </c>
      <c r="E113" s="282" t="s">
        <v>101</v>
      </c>
      <c r="F113" s="299">
        <v>6.2</v>
      </c>
      <c r="G113" s="282"/>
      <c r="H113" s="282"/>
      <c r="I113" s="337">
        <f>IF(H113="",D113*F113,D113*F113*H113)</f>
        <v>0.92999999999999994</v>
      </c>
      <c r="J113" s="94"/>
      <c r="K113" s="94"/>
      <c r="L113" s="94"/>
      <c r="M113" s="94"/>
      <c r="N113" s="94"/>
      <c r="O113" s="93"/>
    </row>
    <row r="114" spans="1:15" x14ac:dyDescent="0.25">
      <c r="A114" s="98"/>
      <c r="B114" s="95"/>
      <c r="C114" s="95"/>
      <c r="D114" s="95"/>
      <c r="E114" s="95"/>
      <c r="F114" s="95"/>
      <c r="G114" s="95"/>
      <c r="H114" s="628" t="s">
        <v>58</v>
      </c>
      <c r="I114" s="627">
        <f>SUM(I111:I113)</f>
        <v>1.25</v>
      </c>
      <c r="J114" s="94"/>
      <c r="K114" s="94"/>
      <c r="L114" s="94"/>
      <c r="M114" s="94"/>
      <c r="N114" s="94"/>
      <c r="O114" s="93"/>
    </row>
    <row r="115" spans="1:15" x14ac:dyDescent="0.25">
      <c r="A115" s="107"/>
      <c r="B115" s="94"/>
      <c r="C115" s="94"/>
      <c r="D115" s="94"/>
      <c r="E115" s="94"/>
      <c r="F115" s="94"/>
      <c r="G115" s="94"/>
      <c r="H115" s="94"/>
      <c r="I115" s="94"/>
      <c r="J115" s="94"/>
      <c r="K115" s="94"/>
      <c r="L115" s="94"/>
      <c r="M115" s="94"/>
      <c r="N115" s="94"/>
      <c r="O115" s="93"/>
    </row>
    <row r="116" spans="1:15" x14ac:dyDescent="0.25">
      <c r="A116" s="631" t="s">
        <v>67</v>
      </c>
      <c r="B116" s="631" t="s">
        <v>82</v>
      </c>
      <c r="C116" s="631" t="s">
        <v>66</v>
      </c>
      <c r="D116" s="631" t="s">
        <v>65</v>
      </c>
      <c r="E116" s="631" t="s">
        <v>81</v>
      </c>
      <c r="F116" s="631" t="s">
        <v>80</v>
      </c>
      <c r="G116" s="631" t="s">
        <v>79</v>
      </c>
      <c r="H116" s="631" t="s">
        <v>78</v>
      </c>
      <c r="I116" s="631" t="s">
        <v>40</v>
      </c>
      <c r="J116" s="631" t="s">
        <v>58</v>
      </c>
      <c r="K116" s="94"/>
      <c r="L116" s="94"/>
      <c r="M116" s="94"/>
      <c r="N116" s="94"/>
      <c r="O116" s="93"/>
    </row>
    <row r="117" spans="1:15" x14ac:dyDescent="0.25">
      <c r="A117" s="282">
        <v>10</v>
      </c>
      <c r="B117" s="282" t="s">
        <v>1194</v>
      </c>
      <c r="C117" s="292" t="s">
        <v>1193</v>
      </c>
      <c r="D117" s="630">
        <v>0.18</v>
      </c>
      <c r="E117" s="629">
        <v>30</v>
      </c>
      <c r="F117" s="629" t="s">
        <v>68</v>
      </c>
      <c r="G117" s="629"/>
      <c r="H117" s="629"/>
      <c r="I117" s="534">
        <v>1</v>
      </c>
      <c r="J117" s="337">
        <f>I117*D117</f>
        <v>0.18</v>
      </c>
      <c r="K117" s="94"/>
      <c r="L117" s="94"/>
      <c r="M117" s="94"/>
      <c r="N117" s="94"/>
      <c r="O117" s="93"/>
    </row>
    <row r="118" spans="1:15" x14ac:dyDescent="0.25">
      <c r="A118" s="98"/>
      <c r="B118" s="95"/>
      <c r="C118" s="95"/>
      <c r="D118" s="95"/>
      <c r="E118" s="95"/>
      <c r="F118" s="95"/>
      <c r="G118" s="95"/>
      <c r="H118" s="95"/>
      <c r="I118" s="628" t="s">
        <v>58</v>
      </c>
      <c r="J118" s="627">
        <f>SUM(J117:J117)</f>
        <v>0.18</v>
      </c>
      <c r="K118" s="94"/>
      <c r="L118" s="94"/>
      <c r="M118" s="94"/>
      <c r="N118" s="94"/>
      <c r="O118" s="93"/>
    </row>
    <row r="119" spans="1:15" x14ac:dyDescent="0.25">
      <c r="A119" s="107"/>
      <c r="B119" s="94"/>
      <c r="C119" s="94"/>
      <c r="D119" s="94"/>
      <c r="E119" s="94"/>
      <c r="F119" s="94"/>
      <c r="G119" s="94"/>
      <c r="H119" s="94"/>
      <c r="I119" s="549"/>
      <c r="J119" s="549"/>
      <c r="K119" s="94"/>
      <c r="L119" s="94"/>
      <c r="M119" s="94"/>
      <c r="N119" s="94"/>
      <c r="O119" s="93"/>
    </row>
    <row r="120" spans="1:15" x14ac:dyDescent="0.25">
      <c r="A120" s="631" t="s">
        <v>67</v>
      </c>
      <c r="B120" s="631" t="s">
        <v>13</v>
      </c>
      <c r="C120" s="631" t="s">
        <v>66</v>
      </c>
      <c r="D120" s="631" t="s">
        <v>65</v>
      </c>
      <c r="E120" s="631" t="s">
        <v>64</v>
      </c>
      <c r="F120" s="631" t="s">
        <v>40</v>
      </c>
      <c r="G120" s="631" t="s">
        <v>63</v>
      </c>
      <c r="H120" s="631" t="s">
        <v>62</v>
      </c>
      <c r="I120" s="631" t="s">
        <v>58</v>
      </c>
      <c r="J120" s="95"/>
      <c r="K120" s="94"/>
      <c r="L120" s="94"/>
      <c r="M120" s="94"/>
      <c r="N120" s="94"/>
      <c r="O120" s="93"/>
    </row>
    <row r="121" spans="1:15" x14ac:dyDescent="0.25">
      <c r="A121" s="282">
        <v>10</v>
      </c>
      <c r="B121" s="292" t="s">
        <v>61</v>
      </c>
      <c r="C121" s="292" t="s">
        <v>1192</v>
      </c>
      <c r="D121" s="283">
        <v>500</v>
      </c>
      <c r="E121" s="282" t="s">
        <v>59</v>
      </c>
      <c r="F121" s="282">
        <v>2</v>
      </c>
      <c r="G121" s="282">
        <v>3000</v>
      </c>
      <c r="H121" s="282">
        <v>1</v>
      </c>
      <c r="I121" s="387">
        <f>D121*F121/G121*H121</f>
        <v>0.33333333333333331</v>
      </c>
      <c r="J121" s="99"/>
      <c r="K121" s="94"/>
      <c r="L121" s="94"/>
      <c r="M121" s="94"/>
      <c r="N121" s="94"/>
      <c r="O121" s="93"/>
    </row>
    <row r="122" spans="1:15" x14ac:dyDescent="0.25">
      <c r="A122" s="98"/>
      <c r="B122" s="95"/>
      <c r="C122" s="95"/>
      <c r="D122" s="95"/>
      <c r="E122" s="95"/>
      <c r="F122" s="95"/>
      <c r="G122" s="95"/>
      <c r="H122" s="628" t="s">
        <v>58</v>
      </c>
      <c r="I122" s="627">
        <f>SUM(I121)</f>
        <v>0.33333333333333331</v>
      </c>
      <c r="J122" s="95"/>
      <c r="K122" s="94"/>
      <c r="L122" s="94"/>
      <c r="M122" s="94"/>
      <c r="N122" s="94"/>
      <c r="O122" s="93"/>
    </row>
    <row r="123" spans="1:15" ht="15.75" thickBot="1" x14ac:dyDescent="0.3">
      <c r="A123" s="92"/>
      <c r="B123" s="91"/>
      <c r="C123" s="91"/>
      <c r="D123" s="91"/>
      <c r="E123" s="91"/>
      <c r="F123" s="91"/>
      <c r="G123" s="91"/>
      <c r="H123" s="91"/>
      <c r="I123" s="91"/>
      <c r="J123" s="91"/>
      <c r="K123" s="91"/>
      <c r="L123" s="91"/>
      <c r="M123" s="91"/>
      <c r="N123" s="91"/>
      <c r="O123" s="90"/>
    </row>
    <row r="124" spans="1:15" ht="15.75" thickBot="1" x14ac:dyDescent="0.3"/>
    <row r="125" spans="1:15" x14ac:dyDescent="0.25">
      <c r="A125" s="141"/>
      <c r="B125" s="140"/>
      <c r="C125" s="140"/>
      <c r="D125" s="140"/>
      <c r="E125" s="140"/>
      <c r="F125" s="140"/>
      <c r="G125" s="140"/>
      <c r="H125" s="140"/>
      <c r="I125" s="140"/>
      <c r="J125" s="140"/>
      <c r="K125" s="140"/>
      <c r="L125" s="140"/>
      <c r="M125" s="140"/>
      <c r="N125" s="140"/>
      <c r="O125" s="139"/>
    </row>
    <row r="126" spans="1:15" x14ac:dyDescent="0.25">
      <c r="A126" s="631" t="s">
        <v>57</v>
      </c>
      <c r="B126" s="133" t="s">
        <v>523</v>
      </c>
      <c r="C126" s="94"/>
      <c r="D126" s="94"/>
      <c r="E126" s="94"/>
      <c r="F126" s="94"/>
      <c r="G126" s="94"/>
      <c r="H126" s="94"/>
      <c r="I126" s="94"/>
      <c r="J126" s="631" t="s">
        <v>51</v>
      </c>
      <c r="K126" s="138">
        <v>81</v>
      </c>
      <c r="L126" s="94"/>
      <c r="M126" s="631" t="s">
        <v>126</v>
      </c>
      <c r="N126" s="137">
        <f>E138+ST_A0004_m+ST_A0004_p+ST_A0004_f</f>
        <v>34.439781921047206</v>
      </c>
      <c r="O126" s="93"/>
    </row>
    <row r="127" spans="1:15" x14ac:dyDescent="0.25">
      <c r="A127" s="631" t="s">
        <v>125</v>
      </c>
      <c r="B127" s="133" t="s">
        <v>6</v>
      </c>
      <c r="C127" s="94"/>
      <c r="D127" s="94"/>
      <c r="E127" s="94"/>
      <c r="F127" s="94"/>
      <c r="G127" s="94"/>
      <c r="H127" s="94"/>
      <c r="I127" s="94"/>
      <c r="J127" s="94"/>
      <c r="K127" s="94"/>
      <c r="L127" s="94"/>
      <c r="M127" s="631" t="s">
        <v>124</v>
      </c>
      <c r="N127" s="136">
        <v>2</v>
      </c>
      <c r="O127" s="93"/>
    </row>
    <row r="128" spans="1:15" x14ac:dyDescent="0.25">
      <c r="A128" s="631" t="s">
        <v>123</v>
      </c>
      <c r="B128" s="94" t="s">
        <v>1191</v>
      </c>
      <c r="C128" s="94"/>
      <c r="D128" s="94"/>
      <c r="E128" s="94"/>
      <c r="F128" s="94"/>
      <c r="G128" s="94"/>
      <c r="H128" s="94"/>
      <c r="I128" s="94"/>
      <c r="J128" s="639" t="s">
        <v>122</v>
      </c>
      <c r="K128" s="94"/>
      <c r="L128" s="94"/>
      <c r="M128" s="94"/>
      <c r="N128" s="94"/>
      <c r="O128" s="93"/>
    </row>
    <row r="129" spans="1:15" x14ac:dyDescent="0.25">
      <c r="A129" s="631" t="s">
        <v>121</v>
      </c>
      <c r="B129" s="135" t="s">
        <v>1190</v>
      </c>
      <c r="C129" s="94"/>
      <c r="D129" s="94"/>
      <c r="E129" s="94"/>
      <c r="F129" s="94"/>
      <c r="G129" s="94"/>
      <c r="H129" s="94"/>
      <c r="I129" s="94"/>
      <c r="J129" s="639" t="s">
        <v>119</v>
      </c>
      <c r="K129" s="94"/>
      <c r="L129" s="94"/>
      <c r="M129" s="631" t="s">
        <v>118</v>
      </c>
      <c r="N129" s="100">
        <f>N126*N127</f>
        <v>68.879563842094413</v>
      </c>
      <c r="O129" s="93"/>
    </row>
    <row r="130" spans="1:15" x14ac:dyDescent="0.25">
      <c r="A130" s="631" t="s">
        <v>117</v>
      </c>
      <c r="B130" s="133" t="s">
        <v>23</v>
      </c>
      <c r="C130" s="94"/>
      <c r="D130" s="94"/>
      <c r="E130" s="94"/>
      <c r="F130" s="94"/>
      <c r="G130" s="94"/>
      <c r="H130" s="94"/>
      <c r="I130" s="94"/>
      <c r="J130" s="639" t="s">
        <v>116</v>
      </c>
      <c r="K130" s="94"/>
      <c r="L130" s="94"/>
      <c r="M130" s="94"/>
      <c r="N130" s="94"/>
      <c r="O130" s="93"/>
    </row>
    <row r="131" spans="1:15" x14ac:dyDescent="0.25">
      <c r="A131" s="631" t="s">
        <v>115</v>
      </c>
      <c r="B131" s="133"/>
      <c r="C131" s="94"/>
      <c r="D131" s="94"/>
      <c r="E131" s="94"/>
      <c r="F131" s="94"/>
      <c r="G131" s="94"/>
      <c r="H131" s="94"/>
      <c r="I131" s="94"/>
      <c r="J131" s="94"/>
      <c r="K131" s="94"/>
      <c r="L131" s="94"/>
      <c r="M131" s="94"/>
      <c r="N131" s="94"/>
      <c r="O131" s="93"/>
    </row>
    <row r="132" spans="1:15" x14ac:dyDescent="0.25">
      <c r="A132" s="107"/>
      <c r="B132" s="94"/>
      <c r="C132" s="94"/>
      <c r="D132" s="94"/>
      <c r="E132" s="94"/>
      <c r="F132" s="94"/>
      <c r="G132" s="94"/>
      <c r="H132" s="94"/>
      <c r="I132" s="94"/>
      <c r="J132" s="94"/>
      <c r="K132" s="94"/>
      <c r="L132" s="94"/>
      <c r="M132" s="94"/>
      <c r="N132" s="94"/>
      <c r="O132" s="93"/>
    </row>
    <row r="133" spans="1:15" x14ac:dyDescent="0.25">
      <c r="A133" s="631" t="s">
        <v>67</v>
      </c>
      <c r="B133" s="631" t="s">
        <v>114</v>
      </c>
      <c r="C133" s="631" t="s">
        <v>113</v>
      </c>
      <c r="D133" s="631" t="s">
        <v>40</v>
      </c>
      <c r="E133" s="631" t="s">
        <v>58</v>
      </c>
      <c r="F133" s="94"/>
      <c r="G133" s="94"/>
      <c r="H133" s="94"/>
      <c r="I133" s="94"/>
      <c r="J133" s="94"/>
      <c r="K133" s="94"/>
      <c r="L133" s="94"/>
      <c r="M133" s="94"/>
      <c r="N133" s="94"/>
      <c r="O133" s="93"/>
    </row>
    <row r="134" spans="1:15" x14ac:dyDescent="0.25">
      <c r="A134" s="129">
        <v>10</v>
      </c>
      <c r="B134" s="132" t="str">
        <f>[0]!ST_04001_n</f>
        <v>Tie Rod Tube</v>
      </c>
      <c r="C134" s="100">
        <f>[0]!ST_04001_c</f>
        <v>14.131512074377609</v>
      </c>
      <c r="D134" s="127">
        <f>[0]!ST_04001_q</f>
        <v>1</v>
      </c>
      <c r="E134" s="100">
        <f>C134*D134</f>
        <v>14.131512074377609</v>
      </c>
      <c r="F134" s="94"/>
      <c r="G134" s="94"/>
      <c r="H134" s="94"/>
      <c r="I134" s="94"/>
      <c r="J134" s="94"/>
      <c r="K134" s="94"/>
      <c r="L134" s="94"/>
      <c r="M134" s="94"/>
      <c r="N134" s="94"/>
      <c r="O134" s="93"/>
    </row>
    <row r="135" spans="1:15" x14ac:dyDescent="0.25">
      <c r="A135" s="129">
        <v>20</v>
      </c>
      <c r="B135" s="132" t="str">
        <f>[0]!ST_04002_n</f>
        <v>Upright Tapered Spacer</v>
      </c>
      <c r="C135" s="100">
        <f>[0]!ST_04002_c</f>
        <v>1.6742769052800002</v>
      </c>
      <c r="D135" s="127">
        <f>[0]!ST_04002_q</f>
        <v>2</v>
      </c>
      <c r="E135" s="100">
        <f>C135*D135</f>
        <v>3.3485538105600003</v>
      </c>
      <c r="F135" s="99"/>
      <c r="G135" s="99"/>
      <c r="H135" s="99"/>
      <c r="I135" s="99"/>
      <c r="J135" s="99"/>
      <c r="K135" s="99"/>
      <c r="L135" s="99"/>
      <c r="M135" s="99"/>
      <c r="N135" s="99"/>
      <c r="O135" s="93"/>
    </row>
    <row r="136" spans="1:15" x14ac:dyDescent="0.25">
      <c r="A136" s="129">
        <v>30</v>
      </c>
      <c r="B136" s="132" t="str">
        <f>[0]!ST_04003_n</f>
        <v>Rack Tapered Spacer</v>
      </c>
      <c r="C136" s="100">
        <f>[0]!ST_04003_c</f>
        <v>1.6730769052800003</v>
      </c>
      <c r="D136" s="127">
        <f>[0]!ST_04003_q</f>
        <v>2</v>
      </c>
      <c r="E136" s="100">
        <f>C136*D136</f>
        <v>3.3461538105600006</v>
      </c>
      <c r="F136" s="99"/>
      <c r="G136" s="99"/>
      <c r="H136" s="99"/>
      <c r="I136" s="99"/>
      <c r="J136" s="99"/>
      <c r="K136" s="99"/>
      <c r="L136" s="99"/>
      <c r="M136" s="99"/>
      <c r="N136" s="99"/>
      <c r="O136" s="131"/>
    </row>
    <row r="137" spans="1:15" x14ac:dyDescent="0.25">
      <c r="A137" s="129">
        <v>40</v>
      </c>
      <c r="B137" s="132" t="str">
        <f>[0]!ST_04004_n</f>
        <v>Tie Rod Insert</v>
      </c>
      <c r="C137" s="100">
        <f>[0]!ST_04004_c</f>
        <v>2.9527811127747987</v>
      </c>
      <c r="D137" s="127">
        <f>[0]!ST_04004_q</f>
        <v>2</v>
      </c>
      <c r="E137" s="100">
        <f>C137*D137</f>
        <v>5.9055622255495974</v>
      </c>
      <c r="F137" s="99"/>
      <c r="G137" s="99"/>
      <c r="H137" s="99"/>
      <c r="I137" s="99"/>
      <c r="J137" s="99"/>
      <c r="K137" s="99"/>
      <c r="L137" s="99"/>
      <c r="M137" s="99"/>
      <c r="N137" s="99"/>
      <c r="O137" s="131"/>
    </row>
    <row r="138" spans="1:15" x14ac:dyDescent="0.25">
      <c r="A138" s="107"/>
      <c r="B138" s="94"/>
      <c r="C138" s="94"/>
      <c r="D138" s="628" t="s">
        <v>58</v>
      </c>
      <c r="E138" s="627">
        <f>SUM(E134:E137)</f>
        <v>26.731781921047208</v>
      </c>
      <c r="F138" s="99"/>
      <c r="G138" s="99"/>
      <c r="H138" s="99"/>
      <c r="I138" s="99"/>
      <c r="J138" s="99"/>
      <c r="K138" s="99"/>
      <c r="L138" s="99"/>
      <c r="M138" s="99"/>
      <c r="N138" s="99"/>
      <c r="O138" s="93"/>
    </row>
    <row r="139" spans="1:15" x14ac:dyDescent="0.25">
      <c r="A139" s="107"/>
      <c r="B139" s="94"/>
      <c r="C139" s="94"/>
      <c r="D139" s="94"/>
      <c r="E139" s="94"/>
      <c r="F139" s="94"/>
      <c r="G139" s="94"/>
      <c r="H139" s="94"/>
      <c r="I139" s="94"/>
      <c r="J139" s="94"/>
      <c r="K139" s="94"/>
      <c r="L139" s="94"/>
      <c r="M139" s="94"/>
      <c r="N139" s="94"/>
      <c r="O139" s="93"/>
    </row>
    <row r="140" spans="1:15" x14ac:dyDescent="0.25">
      <c r="A140" s="631" t="s">
        <v>67</v>
      </c>
      <c r="B140" s="631" t="s">
        <v>112</v>
      </c>
      <c r="C140" s="631" t="s">
        <v>66</v>
      </c>
      <c r="D140" s="631" t="s">
        <v>65</v>
      </c>
      <c r="E140" s="631" t="s">
        <v>81</v>
      </c>
      <c r="F140" s="631" t="s">
        <v>80</v>
      </c>
      <c r="G140" s="631" t="s">
        <v>79</v>
      </c>
      <c r="H140" s="631" t="s">
        <v>78</v>
      </c>
      <c r="I140" s="631" t="s">
        <v>111</v>
      </c>
      <c r="J140" s="631" t="s">
        <v>110</v>
      </c>
      <c r="K140" s="631" t="s">
        <v>109</v>
      </c>
      <c r="L140" s="631" t="s">
        <v>108</v>
      </c>
      <c r="M140" s="631" t="s">
        <v>40</v>
      </c>
      <c r="N140" s="631" t="s">
        <v>58</v>
      </c>
      <c r="O140" s="93"/>
    </row>
    <row r="141" spans="1:15" ht="30" x14ac:dyDescent="0.25">
      <c r="A141" s="282">
        <v>10</v>
      </c>
      <c r="B141" s="292" t="s">
        <v>383</v>
      </c>
      <c r="C141" s="292" t="s">
        <v>1189</v>
      </c>
      <c r="D141" s="283"/>
      <c r="E141" s="282"/>
      <c r="F141" s="282"/>
      <c r="G141" s="282"/>
      <c r="H141" s="278"/>
      <c r="I141" s="303"/>
      <c r="J141" s="435"/>
      <c r="K141" s="278"/>
      <c r="L141" s="278"/>
      <c r="M141" s="381">
        <v>1</v>
      </c>
      <c r="N141" s="100">
        <f>M141*D141</f>
        <v>0</v>
      </c>
      <c r="O141" s="93"/>
    </row>
    <row r="142" spans="1:15" x14ac:dyDescent="0.25">
      <c r="A142" s="282">
        <v>20</v>
      </c>
      <c r="B142" s="292" t="s">
        <v>1188</v>
      </c>
      <c r="C142" s="292" t="s">
        <v>1187</v>
      </c>
      <c r="D142" s="283">
        <v>1.94</v>
      </c>
      <c r="E142" s="282">
        <v>6</v>
      </c>
      <c r="F142" s="282" t="s">
        <v>68</v>
      </c>
      <c r="G142" s="282"/>
      <c r="H142" s="278"/>
      <c r="I142" s="303" t="s">
        <v>1186</v>
      </c>
      <c r="J142" s="435"/>
      <c r="K142" s="278"/>
      <c r="L142" s="278"/>
      <c r="M142" s="381">
        <v>2</v>
      </c>
      <c r="N142" s="100">
        <f>M142*D142</f>
        <v>3.88</v>
      </c>
      <c r="O142" s="143"/>
    </row>
    <row r="143" spans="1:15" x14ac:dyDescent="0.25">
      <c r="A143" s="98"/>
      <c r="B143" s="95"/>
      <c r="C143" s="95"/>
      <c r="D143" s="95"/>
      <c r="E143" s="95"/>
      <c r="F143" s="95"/>
      <c r="G143" s="95"/>
      <c r="H143" s="95"/>
      <c r="I143" s="95"/>
      <c r="J143" s="95"/>
      <c r="K143" s="95"/>
      <c r="L143" s="95"/>
      <c r="M143" s="631" t="s">
        <v>58</v>
      </c>
      <c r="N143" s="627">
        <f>SUM(N141:N142)</f>
        <v>3.88</v>
      </c>
      <c r="O143" s="93"/>
    </row>
    <row r="144" spans="1:15" x14ac:dyDescent="0.25">
      <c r="A144" s="107"/>
      <c r="B144" s="94"/>
      <c r="C144" s="94"/>
      <c r="D144" s="94"/>
      <c r="E144" s="94"/>
      <c r="F144" s="94"/>
      <c r="G144" s="94"/>
      <c r="H144" s="94"/>
      <c r="I144" s="94"/>
      <c r="J144" s="94"/>
      <c r="K144" s="94"/>
      <c r="L144" s="94"/>
      <c r="M144" s="94"/>
      <c r="N144" s="94"/>
      <c r="O144" s="93"/>
    </row>
    <row r="145" spans="1:15" x14ac:dyDescent="0.25">
      <c r="A145" s="631" t="s">
        <v>67</v>
      </c>
      <c r="B145" s="631" t="s">
        <v>106</v>
      </c>
      <c r="C145" s="631" t="s">
        <v>66</v>
      </c>
      <c r="D145" s="631" t="s">
        <v>65</v>
      </c>
      <c r="E145" s="631" t="s">
        <v>64</v>
      </c>
      <c r="F145" s="631" t="s">
        <v>40</v>
      </c>
      <c r="G145" s="631" t="s">
        <v>105</v>
      </c>
      <c r="H145" s="631" t="s">
        <v>104</v>
      </c>
      <c r="I145" s="631" t="s">
        <v>58</v>
      </c>
      <c r="J145" s="95"/>
      <c r="K145" s="95"/>
      <c r="L145" s="95"/>
      <c r="M145" s="95"/>
      <c r="N145" s="95"/>
      <c r="O145" s="120"/>
    </row>
    <row r="146" spans="1:15" ht="30" x14ac:dyDescent="0.25">
      <c r="A146" s="282">
        <v>10</v>
      </c>
      <c r="B146" s="309" t="s">
        <v>1185</v>
      </c>
      <c r="C146" s="282" t="s">
        <v>1184</v>
      </c>
      <c r="D146" s="337">
        <v>0.02</v>
      </c>
      <c r="E146" s="282" t="s">
        <v>1164</v>
      </c>
      <c r="F146" s="299">
        <v>5.6</v>
      </c>
      <c r="G146" s="299" t="s">
        <v>1182</v>
      </c>
      <c r="H146" s="299">
        <v>2</v>
      </c>
      <c r="I146" s="337">
        <f>IF(H146="",D146*F146,D146*F146*H146)</f>
        <v>0.22399999999999998</v>
      </c>
      <c r="J146" s="94"/>
      <c r="K146" s="94"/>
      <c r="L146" s="94"/>
      <c r="M146" s="94"/>
      <c r="N146" s="94"/>
      <c r="O146" s="93"/>
    </row>
    <row r="147" spans="1:15" x14ac:dyDescent="0.25">
      <c r="A147" s="282">
        <v>20</v>
      </c>
      <c r="B147" s="309" t="s">
        <v>1166</v>
      </c>
      <c r="C147" s="282" t="s">
        <v>1183</v>
      </c>
      <c r="D147" s="337">
        <v>0.02</v>
      </c>
      <c r="E147" s="282" t="s">
        <v>1164</v>
      </c>
      <c r="F147" s="299">
        <v>5.6</v>
      </c>
      <c r="G147" s="299" t="s">
        <v>1182</v>
      </c>
      <c r="H147" s="299">
        <v>2</v>
      </c>
      <c r="I147" s="337">
        <f>IF(H147="",D147*F147,D147*F147*H147)</f>
        <v>0.22399999999999998</v>
      </c>
      <c r="J147" s="94"/>
      <c r="K147" s="94"/>
      <c r="L147" s="94"/>
      <c r="M147" s="94"/>
      <c r="N147" s="94"/>
      <c r="O147" s="93"/>
    </row>
    <row r="148" spans="1:15" x14ac:dyDescent="0.25">
      <c r="A148" s="282">
        <v>30</v>
      </c>
      <c r="B148" s="309" t="s">
        <v>1181</v>
      </c>
      <c r="C148" s="376" t="s">
        <v>1180</v>
      </c>
      <c r="D148" s="337">
        <v>0.5</v>
      </c>
      <c r="E148" s="300" t="s">
        <v>64</v>
      </c>
      <c r="F148" s="299">
        <v>2</v>
      </c>
      <c r="G148" s="282"/>
      <c r="H148" s="282"/>
      <c r="I148" s="337">
        <f>IF(H148="",D148*F148,D148*F148*H148)</f>
        <v>1</v>
      </c>
      <c r="J148" s="94"/>
      <c r="K148" s="94"/>
      <c r="L148" s="94"/>
      <c r="M148" s="94"/>
      <c r="N148" s="94"/>
      <c r="O148" s="93"/>
    </row>
    <row r="149" spans="1:15" x14ac:dyDescent="0.25">
      <c r="A149" s="282">
        <v>40</v>
      </c>
      <c r="B149" s="309" t="s">
        <v>1179</v>
      </c>
      <c r="C149" s="292" t="s">
        <v>1178</v>
      </c>
      <c r="D149" s="337">
        <v>1</v>
      </c>
      <c r="E149" s="282" t="s">
        <v>64</v>
      </c>
      <c r="F149" s="299">
        <v>2</v>
      </c>
      <c r="G149" s="282"/>
      <c r="H149" s="282"/>
      <c r="I149" s="337">
        <f>IF(H149="",D149*F149,D149*F149*H149)</f>
        <v>2</v>
      </c>
      <c r="J149" s="94"/>
      <c r="K149" s="94"/>
      <c r="L149" s="94"/>
      <c r="M149" s="94"/>
      <c r="N149" s="94"/>
      <c r="O149" s="93"/>
    </row>
    <row r="150" spans="1:15" x14ac:dyDescent="0.25">
      <c r="A150" s="98"/>
      <c r="B150" s="95"/>
      <c r="C150" s="95"/>
      <c r="D150" s="95"/>
      <c r="E150" s="95"/>
      <c r="F150" s="95"/>
      <c r="G150" s="95"/>
      <c r="H150" s="628" t="s">
        <v>58</v>
      </c>
      <c r="I150" s="627">
        <f>SUM(I146:I149)</f>
        <v>3.448</v>
      </c>
      <c r="J150" s="94"/>
      <c r="K150" s="94"/>
      <c r="L150" s="94"/>
      <c r="M150" s="94"/>
      <c r="N150" s="94"/>
      <c r="O150" s="93"/>
    </row>
    <row r="151" spans="1:15" x14ac:dyDescent="0.25">
      <c r="A151" s="107"/>
      <c r="B151" s="94"/>
      <c r="C151" s="94"/>
      <c r="D151" s="94"/>
      <c r="E151" s="94"/>
      <c r="F151" s="94"/>
      <c r="G151" s="94"/>
      <c r="H151" s="94"/>
      <c r="I151" s="94"/>
      <c r="J151" s="94"/>
      <c r="K151" s="94"/>
      <c r="L151" s="94"/>
      <c r="M151" s="94"/>
      <c r="N151" s="94"/>
      <c r="O151" s="93"/>
    </row>
    <row r="152" spans="1:15" x14ac:dyDescent="0.25">
      <c r="A152" s="631" t="s">
        <v>67</v>
      </c>
      <c r="B152" s="631" t="s">
        <v>82</v>
      </c>
      <c r="C152" s="631" t="s">
        <v>66</v>
      </c>
      <c r="D152" s="631" t="s">
        <v>65</v>
      </c>
      <c r="E152" s="631" t="s">
        <v>81</v>
      </c>
      <c r="F152" s="631" t="s">
        <v>80</v>
      </c>
      <c r="G152" s="631" t="s">
        <v>79</v>
      </c>
      <c r="H152" s="631" t="s">
        <v>78</v>
      </c>
      <c r="I152" s="631" t="s">
        <v>40</v>
      </c>
      <c r="J152" s="631" t="s">
        <v>58</v>
      </c>
      <c r="K152" s="94"/>
      <c r="L152" s="94"/>
      <c r="M152" s="94"/>
      <c r="N152" s="94"/>
      <c r="O152" s="93"/>
    </row>
    <row r="153" spans="1:15" x14ac:dyDescent="0.25">
      <c r="A153" s="282">
        <v>10</v>
      </c>
      <c r="B153" s="292" t="s">
        <v>1162</v>
      </c>
      <c r="C153" s="292" t="s">
        <v>1177</v>
      </c>
      <c r="D153" s="630">
        <v>0.12</v>
      </c>
      <c r="E153" s="629">
        <v>6</v>
      </c>
      <c r="F153" s="629" t="s">
        <v>68</v>
      </c>
      <c r="G153" s="629">
        <v>50</v>
      </c>
      <c r="H153" s="629" t="s">
        <v>68</v>
      </c>
      <c r="I153" s="534">
        <v>2</v>
      </c>
      <c r="J153" s="337">
        <f>I153*D153</f>
        <v>0.24</v>
      </c>
      <c r="K153" s="94"/>
      <c r="L153" s="94"/>
      <c r="M153" s="94"/>
      <c r="N153" s="94"/>
      <c r="O153" s="93"/>
    </row>
    <row r="154" spans="1:15" x14ac:dyDescent="0.25">
      <c r="A154" s="282">
        <v>20</v>
      </c>
      <c r="B154" s="292" t="s">
        <v>1160</v>
      </c>
      <c r="C154" s="292" t="s">
        <v>2697</v>
      </c>
      <c r="D154" s="630">
        <v>0.03</v>
      </c>
      <c r="E154" s="629">
        <v>6</v>
      </c>
      <c r="F154" s="629" t="s">
        <v>68</v>
      </c>
      <c r="G154" s="629"/>
      <c r="H154" s="629"/>
      <c r="I154" s="534">
        <v>4</v>
      </c>
      <c r="J154" s="337">
        <f>I154*D154</f>
        <v>0.12</v>
      </c>
      <c r="K154" s="94"/>
      <c r="L154" s="94"/>
      <c r="M154" s="94"/>
      <c r="N154" s="94"/>
      <c r="O154" s="93"/>
    </row>
    <row r="155" spans="1:15" x14ac:dyDescent="0.25">
      <c r="A155" s="282">
        <v>30</v>
      </c>
      <c r="B155" s="292" t="s">
        <v>1175</v>
      </c>
      <c r="C155" s="292" t="s">
        <v>1174</v>
      </c>
      <c r="D155" s="630">
        <v>0.01</v>
      </c>
      <c r="E155" s="629">
        <v>6</v>
      </c>
      <c r="F155" s="629" t="s">
        <v>68</v>
      </c>
      <c r="G155" s="629"/>
      <c r="H155" s="629"/>
      <c r="I155" s="534">
        <v>2</v>
      </c>
      <c r="J155" s="337">
        <f>I155*D155</f>
        <v>0.02</v>
      </c>
      <c r="K155" s="142"/>
      <c r="L155" s="142"/>
      <c r="M155" s="142"/>
      <c r="N155" s="142"/>
      <c r="O155" s="93"/>
    </row>
    <row r="156" spans="1:15" x14ac:dyDescent="0.25">
      <c r="A156" s="98"/>
      <c r="B156" s="95"/>
      <c r="C156" s="95"/>
      <c r="D156" s="95"/>
      <c r="E156" s="95"/>
      <c r="F156" s="95"/>
      <c r="G156" s="95"/>
      <c r="H156" s="95"/>
      <c r="I156" s="628" t="s">
        <v>58</v>
      </c>
      <c r="J156" s="627">
        <f>SUM(J153:J155)</f>
        <v>0.38</v>
      </c>
      <c r="K156" s="94"/>
      <c r="L156" s="94"/>
      <c r="M156" s="94"/>
      <c r="N156" s="94"/>
      <c r="O156" s="93"/>
    </row>
    <row r="157" spans="1:15" ht="15.75" thickBot="1" x14ac:dyDescent="0.3">
      <c r="A157" s="92"/>
      <c r="B157" s="91"/>
      <c r="C157" s="91"/>
      <c r="D157" s="91"/>
      <c r="E157" s="91"/>
      <c r="F157" s="91"/>
      <c r="G157" s="91"/>
      <c r="H157" s="91"/>
      <c r="I157" s="91"/>
      <c r="J157" s="91"/>
      <c r="K157" s="91"/>
      <c r="L157" s="91"/>
      <c r="M157" s="91"/>
      <c r="N157" s="91"/>
      <c r="O157" s="90"/>
    </row>
    <row r="158" spans="1:15" ht="15.75" thickBot="1" x14ac:dyDescent="0.3"/>
    <row r="159" spans="1:15" x14ac:dyDescent="0.25">
      <c r="A159" s="141"/>
      <c r="B159" s="140"/>
      <c r="C159" s="140"/>
      <c r="D159" s="140"/>
      <c r="E159" s="140"/>
      <c r="F159" s="140"/>
      <c r="G159" s="140"/>
      <c r="H159" s="140"/>
      <c r="I159" s="140"/>
      <c r="J159" s="140"/>
      <c r="K159" s="140"/>
      <c r="L159" s="140"/>
      <c r="M159" s="140"/>
      <c r="N159" s="140"/>
      <c r="O159" s="139"/>
    </row>
    <row r="160" spans="1:15" x14ac:dyDescent="0.25">
      <c r="A160" s="631" t="s">
        <v>57</v>
      </c>
      <c r="B160" s="133" t="s">
        <v>523</v>
      </c>
      <c r="C160" s="94"/>
      <c r="D160" s="94"/>
      <c r="E160" s="94"/>
      <c r="F160" s="94"/>
      <c r="G160" s="94"/>
      <c r="H160" s="94"/>
      <c r="I160" s="94"/>
      <c r="J160" s="631" t="s">
        <v>51</v>
      </c>
      <c r="K160" s="138">
        <v>81</v>
      </c>
      <c r="L160" s="94"/>
      <c r="M160" s="631" t="s">
        <v>126</v>
      </c>
      <c r="N160" s="137">
        <f>E172+ST_A0005_m+ST_A0005_p+ST_A0005_f</f>
        <v>469.66071832800003</v>
      </c>
      <c r="O160" s="93"/>
    </row>
    <row r="161" spans="1:15" x14ac:dyDescent="0.25">
      <c r="A161" s="631" t="s">
        <v>125</v>
      </c>
      <c r="B161" s="133" t="s">
        <v>6</v>
      </c>
      <c r="C161" s="94"/>
      <c r="D161" s="94"/>
      <c r="E161" s="94"/>
      <c r="F161" s="94"/>
      <c r="G161" s="94"/>
      <c r="H161" s="94"/>
      <c r="I161" s="94"/>
      <c r="J161" s="94"/>
      <c r="K161" s="94"/>
      <c r="L161" s="94"/>
      <c r="M161" s="631" t="s">
        <v>124</v>
      </c>
      <c r="N161" s="136">
        <v>1</v>
      </c>
      <c r="O161" s="93"/>
    </row>
    <row r="162" spans="1:15" x14ac:dyDescent="0.25">
      <c r="A162" s="631" t="s">
        <v>123</v>
      </c>
      <c r="B162" s="94" t="s">
        <v>1173</v>
      </c>
      <c r="C162" s="94"/>
      <c r="D162" s="94"/>
      <c r="E162" s="94"/>
      <c r="F162" s="94"/>
      <c r="G162" s="94"/>
      <c r="H162" s="94"/>
      <c r="I162" s="94"/>
      <c r="J162" s="639" t="s">
        <v>122</v>
      </c>
      <c r="K162" s="94"/>
      <c r="L162" s="94"/>
      <c r="M162" s="94"/>
      <c r="N162" s="94"/>
      <c r="O162" s="93"/>
    </row>
    <row r="163" spans="1:15" x14ac:dyDescent="0.25">
      <c r="A163" s="631" t="s">
        <v>121</v>
      </c>
      <c r="B163" s="135" t="s">
        <v>1172</v>
      </c>
      <c r="C163" s="94"/>
      <c r="D163" s="94"/>
      <c r="E163" s="94"/>
      <c r="F163" s="94"/>
      <c r="G163" s="94"/>
      <c r="H163" s="94"/>
      <c r="I163" s="94"/>
      <c r="J163" s="639" t="s">
        <v>119</v>
      </c>
      <c r="K163" s="94"/>
      <c r="L163" s="94"/>
      <c r="M163" s="631" t="s">
        <v>118</v>
      </c>
      <c r="N163" s="100">
        <f>N160*N161</f>
        <v>469.66071832800003</v>
      </c>
      <c r="O163" s="93"/>
    </row>
    <row r="164" spans="1:15" x14ac:dyDescent="0.25">
      <c r="A164" s="631" t="s">
        <v>117</v>
      </c>
      <c r="B164" s="133" t="s">
        <v>23</v>
      </c>
      <c r="C164" s="94"/>
      <c r="D164" s="94"/>
      <c r="E164" s="94"/>
      <c r="F164" s="94"/>
      <c r="G164" s="94"/>
      <c r="H164" s="94"/>
      <c r="I164" s="94"/>
      <c r="J164" s="639" t="s">
        <v>116</v>
      </c>
      <c r="K164" s="94"/>
      <c r="L164" s="94"/>
      <c r="M164" s="94"/>
      <c r="N164" s="94"/>
      <c r="O164" s="93"/>
    </row>
    <row r="165" spans="1:15" x14ac:dyDescent="0.25">
      <c r="A165" s="631" t="s">
        <v>115</v>
      </c>
      <c r="B165" s="133"/>
      <c r="C165" s="94"/>
      <c r="D165" s="94"/>
      <c r="E165" s="94"/>
      <c r="F165" s="94"/>
      <c r="G165" s="94"/>
      <c r="H165" s="94"/>
      <c r="I165" s="94"/>
      <c r="J165" s="94"/>
      <c r="K165" s="94"/>
      <c r="L165" s="94"/>
      <c r="M165" s="94"/>
      <c r="N165" s="94"/>
      <c r="O165" s="93"/>
    </row>
    <row r="166" spans="1:15" x14ac:dyDescent="0.25">
      <c r="A166" s="107"/>
      <c r="B166" s="94"/>
      <c r="C166" s="94"/>
      <c r="D166" s="94"/>
      <c r="E166" s="94"/>
      <c r="F166" s="94"/>
      <c r="G166" s="94"/>
      <c r="H166" s="94"/>
      <c r="I166" s="94"/>
      <c r="J166" s="94"/>
      <c r="K166" s="94"/>
      <c r="L166" s="94"/>
      <c r="M166" s="94"/>
      <c r="N166" s="94"/>
      <c r="O166" s="93"/>
    </row>
    <row r="167" spans="1:15" x14ac:dyDescent="0.25">
      <c r="A167" s="631" t="s">
        <v>67</v>
      </c>
      <c r="B167" s="631" t="s">
        <v>114</v>
      </c>
      <c r="C167" s="631" t="s">
        <v>113</v>
      </c>
      <c r="D167" s="631" t="s">
        <v>40</v>
      </c>
      <c r="E167" s="631" t="s">
        <v>58</v>
      </c>
      <c r="F167" s="94"/>
      <c r="G167" s="94"/>
      <c r="H167" s="94"/>
      <c r="I167" s="94"/>
      <c r="J167" s="94"/>
      <c r="K167" s="94"/>
      <c r="L167" s="94"/>
      <c r="M167" s="94"/>
      <c r="N167" s="94"/>
      <c r="O167" s="93"/>
    </row>
    <row r="168" spans="1:15" x14ac:dyDescent="0.25">
      <c r="A168" s="129">
        <v>10</v>
      </c>
      <c r="B168" s="132" t="str">
        <f>[0]!ST_05001_n</f>
        <v>Steering Wheel Body</v>
      </c>
      <c r="C168" s="100">
        <f>[0]!ST_05001_c</f>
        <v>5.9576949999999993</v>
      </c>
      <c r="D168" s="127">
        <f>[0]!ST_05001_q</f>
        <v>1</v>
      </c>
      <c r="E168" s="100">
        <f>C168*D168</f>
        <v>5.9576949999999993</v>
      </c>
      <c r="F168" s="94"/>
      <c r="G168" s="94"/>
      <c r="H168" s="94"/>
      <c r="I168" s="94"/>
      <c r="J168" s="94"/>
      <c r="K168" s="94"/>
      <c r="L168" s="94"/>
      <c r="M168" s="94"/>
      <c r="N168" s="94"/>
      <c r="O168" s="93"/>
    </row>
    <row r="169" spans="1:15" x14ac:dyDescent="0.25">
      <c r="A169" s="129">
        <v>20</v>
      </c>
      <c r="B169" s="132" t="str">
        <f>[0]!ST_05002_n</f>
        <v>Spacer</v>
      </c>
      <c r="C169" s="100">
        <f>[0]!ST_05002_c</f>
        <v>5.2738223039999994</v>
      </c>
      <c r="D169" s="127">
        <f>[0]!ST_05002_q</f>
        <v>1</v>
      </c>
      <c r="E169" s="100">
        <f>C169*D169</f>
        <v>5.2738223039999994</v>
      </c>
      <c r="F169" s="99"/>
      <c r="G169" s="99"/>
      <c r="H169" s="99"/>
      <c r="I169" s="99"/>
      <c r="J169" s="99"/>
      <c r="K169" s="99"/>
      <c r="L169" s="99"/>
      <c r="M169" s="99"/>
      <c r="N169" s="99"/>
      <c r="O169" s="93"/>
    </row>
    <row r="170" spans="1:15" x14ac:dyDescent="0.25">
      <c r="A170" s="129">
        <v>30</v>
      </c>
      <c r="B170" s="132" t="str">
        <f>[0]!ST_05003_n</f>
        <v>Spacer</v>
      </c>
      <c r="C170" s="100">
        <f>[0]!ST_05003_c</f>
        <v>3.987201024</v>
      </c>
      <c r="D170" s="127">
        <f>[0]!ST_05003_q</f>
        <v>1</v>
      </c>
      <c r="E170" s="100">
        <f>C170*D170</f>
        <v>3.987201024</v>
      </c>
      <c r="F170" s="99"/>
      <c r="G170" s="99"/>
      <c r="H170" s="99"/>
      <c r="I170" s="99"/>
      <c r="J170" s="99"/>
      <c r="K170" s="99"/>
      <c r="L170" s="99"/>
      <c r="M170" s="99"/>
      <c r="N170" s="99"/>
      <c r="O170" s="131"/>
    </row>
    <row r="171" spans="1:15" x14ac:dyDescent="0.25">
      <c r="A171" s="129">
        <v>40</v>
      </c>
      <c r="B171" s="132" t="str">
        <f>[0]!ST_05004_n</f>
        <v>Steering Wheel Handle</v>
      </c>
      <c r="C171" s="100">
        <f>[0]!ST_05004_c</f>
        <v>0.35299999999999998</v>
      </c>
      <c r="D171" s="127">
        <f>[0]!ST_05004_q</f>
        <v>4</v>
      </c>
      <c r="E171" s="100">
        <f>C171*D171</f>
        <v>1.4119999999999999</v>
      </c>
      <c r="F171" s="99"/>
      <c r="G171" s="99"/>
      <c r="H171" s="99"/>
      <c r="I171" s="99"/>
      <c r="J171" s="99"/>
      <c r="K171" s="99"/>
      <c r="L171" s="99"/>
      <c r="M171" s="99"/>
      <c r="N171" s="99"/>
      <c r="O171" s="131"/>
    </row>
    <row r="172" spans="1:15" x14ac:dyDescent="0.25">
      <c r="A172" s="107"/>
      <c r="B172" s="94"/>
      <c r="C172" s="94"/>
      <c r="D172" s="628" t="s">
        <v>58</v>
      </c>
      <c r="E172" s="627">
        <f>SUM(E168:E171)</f>
        <v>16.630718327999997</v>
      </c>
      <c r="F172" s="99"/>
      <c r="G172" s="99"/>
      <c r="H172" s="99"/>
      <c r="I172" s="99"/>
      <c r="J172" s="99"/>
      <c r="K172" s="99"/>
      <c r="L172" s="99"/>
      <c r="M172" s="99"/>
      <c r="N172" s="99"/>
      <c r="O172" s="93"/>
    </row>
    <row r="173" spans="1:15" x14ac:dyDescent="0.25">
      <c r="A173" s="107"/>
      <c r="B173" s="94"/>
      <c r="C173" s="94"/>
      <c r="D173" s="94"/>
      <c r="E173" s="94"/>
      <c r="F173" s="94"/>
      <c r="G173" s="94"/>
      <c r="H173" s="94"/>
      <c r="I173" s="94"/>
      <c r="J173" s="94"/>
      <c r="K173" s="94"/>
      <c r="L173" s="94"/>
      <c r="M173" s="94"/>
      <c r="N173" s="94"/>
      <c r="O173" s="93"/>
    </row>
    <row r="174" spans="1:15" x14ac:dyDescent="0.25">
      <c r="A174" s="631" t="s">
        <v>67</v>
      </c>
      <c r="B174" s="631" t="s">
        <v>112</v>
      </c>
      <c r="C174" s="631" t="s">
        <v>66</v>
      </c>
      <c r="D174" s="631" t="s">
        <v>65</v>
      </c>
      <c r="E174" s="631" t="s">
        <v>81</v>
      </c>
      <c r="F174" s="631" t="s">
        <v>80</v>
      </c>
      <c r="G174" s="631" t="s">
        <v>79</v>
      </c>
      <c r="H174" s="631" t="s">
        <v>78</v>
      </c>
      <c r="I174" s="631" t="s">
        <v>111</v>
      </c>
      <c r="J174" s="631" t="s">
        <v>110</v>
      </c>
      <c r="K174" s="631" t="s">
        <v>109</v>
      </c>
      <c r="L174" s="631" t="s">
        <v>108</v>
      </c>
      <c r="M174" s="631" t="s">
        <v>40</v>
      </c>
      <c r="N174" s="631" t="s">
        <v>58</v>
      </c>
      <c r="O174" s="93"/>
    </row>
    <row r="175" spans="1:15" x14ac:dyDescent="0.25">
      <c r="A175" s="282">
        <v>10</v>
      </c>
      <c r="B175" s="292" t="s">
        <v>1171</v>
      </c>
      <c r="C175" s="292" t="s">
        <v>1170</v>
      </c>
      <c r="D175" s="283">
        <v>446</v>
      </c>
      <c r="E175" s="282"/>
      <c r="F175" s="282"/>
      <c r="G175" s="282"/>
      <c r="H175" s="278"/>
      <c r="I175" s="303"/>
      <c r="J175" s="435"/>
      <c r="K175" s="278"/>
      <c r="L175" s="278"/>
      <c r="M175" s="381">
        <v>1</v>
      </c>
      <c r="N175" s="100">
        <f>M175*D175</f>
        <v>446</v>
      </c>
      <c r="O175" s="93"/>
    </row>
    <row r="176" spans="1:15" x14ac:dyDescent="0.25">
      <c r="A176" s="504">
        <v>20</v>
      </c>
      <c r="B176" s="638" t="s">
        <v>1169</v>
      </c>
      <c r="C176" s="638" t="s">
        <v>1168</v>
      </c>
      <c r="D176" s="637">
        <v>5</v>
      </c>
      <c r="E176" s="504"/>
      <c r="F176" s="504"/>
      <c r="G176" s="504"/>
      <c r="H176" s="500"/>
      <c r="I176" s="636"/>
      <c r="J176" s="635"/>
      <c r="K176" s="500"/>
      <c r="L176" s="500"/>
      <c r="M176" s="634">
        <v>1</v>
      </c>
      <c r="N176" s="220">
        <f>M176*D176</f>
        <v>5</v>
      </c>
      <c r="O176" s="143"/>
    </row>
    <row r="177" spans="1:15" x14ac:dyDescent="0.25">
      <c r="A177" s="282">
        <v>30</v>
      </c>
      <c r="B177" s="292" t="s">
        <v>383</v>
      </c>
      <c r="C177" s="292" t="s">
        <v>1167</v>
      </c>
      <c r="D177" s="283">
        <v>0</v>
      </c>
      <c r="E177" s="282"/>
      <c r="F177" s="282"/>
      <c r="G177" s="282"/>
      <c r="H177" s="278"/>
      <c r="I177" s="303"/>
      <c r="J177" s="435"/>
      <c r="K177" s="278"/>
      <c r="L177" s="278"/>
      <c r="M177" s="381">
        <v>1</v>
      </c>
      <c r="N177" s="220">
        <f>M177*D177</f>
        <v>0</v>
      </c>
      <c r="O177" s="143"/>
    </row>
    <row r="178" spans="1:15" x14ac:dyDescent="0.25">
      <c r="A178" s="98"/>
      <c r="B178" s="95"/>
      <c r="C178" s="95"/>
      <c r="D178" s="95"/>
      <c r="E178" s="95"/>
      <c r="F178" s="95"/>
      <c r="G178" s="95"/>
      <c r="H178" s="95"/>
      <c r="I178" s="95"/>
      <c r="J178" s="95"/>
      <c r="K178" s="95"/>
      <c r="L178" s="95"/>
      <c r="M178" s="633" t="s">
        <v>58</v>
      </c>
      <c r="N178" s="632">
        <f>SUM(N175:N176)</f>
        <v>451</v>
      </c>
      <c r="O178" s="93"/>
    </row>
    <row r="179" spans="1:15" x14ac:dyDescent="0.25">
      <c r="A179" s="107"/>
      <c r="B179" s="94"/>
      <c r="C179" s="94"/>
      <c r="D179" s="94"/>
      <c r="E179" s="94"/>
      <c r="F179" s="94"/>
      <c r="G179" s="94"/>
      <c r="H179" s="94"/>
      <c r="I179" s="94"/>
      <c r="J179" s="94"/>
      <c r="K179" s="94"/>
      <c r="L179" s="94"/>
      <c r="M179" s="94"/>
      <c r="N179" s="94"/>
      <c r="O179" s="93"/>
    </row>
    <row r="180" spans="1:15" x14ac:dyDescent="0.25">
      <c r="A180" s="631" t="s">
        <v>67</v>
      </c>
      <c r="B180" s="631" t="s">
        <v>106</v>
      </c>
      <c r="C180" s="631" t="s">
        <v>66</v>
      </c>
      <c r="D180" s="631" t="s">
        <v>65</v>
      </c>
      <c r="E180" s="631" t="s">
        <v>64</v>
      </c>
      <c r="F180" s="631" t="s">
        <v>40</v>
      </c>
      <c r="G180" s="631" t="s">
        <v>105</v>
      </c>
      <c r="H180" s="631" t="s">
        <v>104</v>
      </c>
      <c r="I180" s="631" t="s">
        <v>58</v>
      </c>
      <c r="J180" s="95"/>
      <c r="K180" s="95"/>
      <c r="L180" s="95"/>
      <c r="M180" s="95"/>
      <c r="N180" s="95"/>
      <c r="O180" s="120"/>
    </row>
    <row r="181" spans="1:15" ht="30" x14ac:dyDescent="0.25">
      <c r="A181" s="282">
        <v>10</v>
      </c>
      <c r="B181" s="309" t="s">
        <v>1166</v>
      </c>
      <c r="C181" s="292" t="s">
        <v>1165</v>
      </c>
      <c r="D181" s="337">
        <v>0.02</v>
      </c>
      <c r="E181" s="282" t="s">
        <v>1164</v>
      </c>
      <c r="F181" s="299">
        <v>10</v>
      </c>
      <c r="G181" s="299" t="s">
        <v>1163</v>
      </c>
      <c r="H181" s="299">
        <v>4</v>
      </c>
      <c r="I181" s="337">
        <f>IF(H181="",D181*F181,D181*F181*H181)</f>
        <v>0.8</v>
      </c>
      <c r="J181" s="94"/>
      <c r="K181" s="94"/>
      <c r="L181" s="94"/>
      <c r="M181" s="94"/>
      <c r="N181" s="94"/>
      <c r="O181" s="93"/>
    </row>
    <row r="182" spans="1:15" x14ac:dyDescent="0.25">
      <c r="A182" s="282">
        <v>20</v>
      </c>
      <c r="B182" s="309" t="s">
        <v>961</v>
      </c>
      <c r="C182" s="376"/>
      <c r="D182" s="337">
        <v>0.8</v>
      </c>
      <c r="E182" s="300" t="s">
        <v>345</v>
      </c>
      <c r="F182" s="299">
        <v>1</v>
      </c>
      <c r="G182" s="282"/>
      <c r="H182" s="282"/>
      <c r="I182" s="337">
        <f>IF(H182="",D182*F182,D182*F182*H182)</f>
        <v>0.8</v>
      </c>
      <c r="J182" s="94"/>
      <c r="K182" s="94"/>
      <c r="L182" s="94"/>
      <c r="M182" s="94"/>
      <c r="N182" s="94"/>
      <c r="O182" s="93"/>
    </row>
    <row r="183" spans="1:15" x14ac:dyDescent="0.25">
      <c r="A183" s="282">
        <v>30</v>
      </c>
      <c r="B183" s="309" t="s">
        <v>334</v>
      </c>
      <c r="C183" s="292"/>
      <c r="D183" s="337">
        <v>0.13</v>
      </c>
      <c r="E183" s="282" t="s">
        <v>64</v>
      </c>
      <c r="F183" s="299">
        <v>1</v>
      </c>
      <c r="G183" s="282"/>
      <c r="H183" s="282"/>
      <c r="I183" s="337">
        <f>IF(H183="",D183*F183,D183*F183*H183)</f>
        <v>0.13</v>
      </c>
      <c r="J183" s="94"/>
      <c r="K183" s="94"/>
      <c r="L183" s="94"/>
      <c r="M183" s="94"/>
      <c r="N183" s="94"/>
      <c r="O183" s="93"/>
    </row>
    <row r="184" spans="1:15" x14ac:dyDescent="0.25">
      <c r="A184" s="98"/>
      <c r="B184" s="95"/>
      <c r="C184" s="95"/>
      <c r="D184" s="95"/>
      <c r="E184" s="95"/>
      <c r="F184" s="95"/>
      <c r="G184" s="95"/>
      <c r="H184" s="628" t="s">
        <v>58</v>
      </c>
      <c r="I184" s="627">
        <f>SUM(I181:I183)</f>
        <v>1.73</v>
      </c>
      <c r="J184" s="94"/>
      <c r="K184" s="94"/>
      <c r="L184" s="94"/>
      <c r="M184" s="94"/>
      <c r="N184" s="94"/>
      <c r="O184" s="93"/>
    </row>
    <row r="185" spans="1:15" x14ac:dyDescent="0.25">
      <c r="A185" s="107"/>
      <c r="B185" s="94"/>
      <c r="C185" s="94"/>
      <c r="D185" s="94"/>
      <c r="E185" s="94"/>
      <c r="F185" s="94"/>
      <c r="G185" s="94"/>
      <c r="H185" s="94"/>
      <c r="I185" s="94"/>
      <c r="J185" s="94"/>
      <c r="K185" s="94"/>
      <c r="L185" s="94"/>
      <c r="M185" s="94"/>
      <c r="N185" s="94"/>
      <c r="O185" s="93"/>
    </row>
    <row r="186" spans="1:15" x14ac:dyDescent="0.25">
      <c r="A186" s="631" t="s">
        <v>67</v>
      </c>
      <c r="B186" s="631" t="s">
        <v>82</v>
      </c>
      <c r="C186" s="631" t="s">
        <v>66</v>
      </c>
      <c r="D186" s="631" t="s">
        <v>65</v>
      </c>
      <c r="E186" s="631" t="s">
        <v>81</v>
      </c>
      <c r="F186" s="631" t="s">
        <v>80</v>
      </c>
      <c r="G186" s="631" t="s">
        <v>79</v>
      </c>
      <c r="H186" s="631" t="s">
        <v>78</v>
      </c>
      <c r="I186" s="631" t="s">
        <v>40</v>
      </c>
      <c r="J186" s="631" t="s">
        <v>58</v>
      </c>
      <c r="K186" s="94"/>
      <c r="L186" s="94"/>
      <c r="M186" s="94"/>
      <c r="N186" s="94"/>
      <c r="O186" s="93"/>
    </row>
    <row r="187" spans="1:15" x14ac:dyDescent="0.25">
      <c r="A187" s="282">
        <v>10</v>
      </c>
      <c r="B187" s="292" t="s">
        <v>1162</v>
      </c>
      <c r="C187" s="292" t="s">
        <v>1161</v>
      </c>
      <c r="D187" s="630">
        <v>7.0000000000000007E-2</v>
      </c>
      <c r="E187" s="629">
        <v>5</v>
      </c>
      <c r="F187" s="629" t="s">
        <v>68</v>
      </c>
      <c r="G187" s="629">
        <v>70</v>
      </c>
      <c r="H187" s="629" t="s">
        <v>68</v>
      </c>
      <c r="I187" s="534">
        <v>3</v>
      </c>
      <c r="J187" s="337">
        <f>I187*D187</f>
        <v>0.21000000000000002</v>
      </c>
      <c r="K187" s="94"/>
      <c r="L187" s="94"/>
      <c r="M187" s="94"/>
      <c r="N187" s="94"/>
      <c r="O187" s="93"/>
    </row>
    <row r="188" spans="1:15" x14ac:dyDescent="0.25">
      <c r="A188" s="282">
        <v>20</v>
      </c>
      <c r="B188" s="292" t="s">
        <v>1160</v>
      </c>
      <c r="C188" s="292" t="s">
        <v>1159</v>
      </c>
      <c r="D188" s="630">
        <v>0.03</v>
      </c>
      <c r="E188" s="629">
        <v>5</v>
      </c>
      <c r="F188" s="629" t="s">
        <v>68</v>
      </c>
      <c r="G188" s="629"/>
      <c r="H188" s="629"/>
      <c r="I188" s="534">
        <v>3</v>
      </c>
      <c r="J188" s="337">
        <f>I188*D188</f>
        <v>0.09</v>
      </c>
      <c r="K188" s="94"/>
      <c r="L188" s="94"/>
      <c r="M188" s="94"/>
      <c r="N188" s="94"/>
      <c r="O188" s="93"/>
    </row>
    <row r="189" spans="1:15" x14ac:dyDescent="0.25">
      <c r="A189" s="98"/>
      <c r="B189" s="95"/>
      <c r="C189" s="95"/>
      <c r="D189" s="95"/>
      <c r="E189" s="95"/>
      <c r="F189" s="95"/>
      <c r="G189" s="95"/>
      <c r="H189" s="95"/>
      <c r="I189" s="628" t="s">
        <v>58</v>
      </c>
      <c r="J189" s="627">
        <f>SUM(J187:J188)</f>
        <v>0.30000000000000004</v>
      </c>
      <c r="K189" s="94"/>
      <c r="L189" s="94"/>
      <c r="M189" s="94"/>
      <c r="N189" s="94"/>
      <c r="O189" s="93"/>
    </row>
    <row r="190" spans="1:15" ht="15.75" thickBot="1" x14ac:dyDescent="0.3">
      <c r="A190" s="92"/>
      <c r="B190" s="91"/>
      <c r="C190" s="91"/>
      <c r="D190" s="91"/>
      <c r="E190" s="91"/>
      <c r="F190" s="91"/>
      <c r="G190" s="91"/>
      <c r="H190" s="91"/>
      <c r="I190" s="91"/>
      <c r="J190" s="91"/>
      <c r="K190" s="91"/>
      <c r="L190" s="91"/>
      <c r="M190" s="91"/>
      <c r="N190" s="91"/>
      <c r="O190" s="90"/>
    </row>
  </sheetData>
  <hyperlinks>
    <hyperlink ref="B10" location="ST_01001" display="ST_01001"/>
    <hyperlink ref="B55" location="ST_02001" display="ST_02001"/>
    <hyperlink ref="B11:B14" location="ST_01001" display="ST_01001"/>
    <hyperlink ref="B57" location="ST_02003" display="ST_02003"/>
    <hyperlink ref="B59" location="ST_02005" display="ST_02005"/>
    <hyperlink ref="B61" location="ST_02007" display="ST_02007"/>
    <hyperlink ref="B100" location="ST_03001" display="ST_03001"/>
    <hyperlink ref="B102" location="ST_03003" display="ST_03003"/>
    <hyperlink ref="B134" location="ST_04001" display="ST_04001"/>
    <hyperlink ref="B136" location="ST_04003" display="ST_04003"/>
    <hyperlink ref="B168" location="ST_05001" display="ST_05001"/>
    <hyperlink ref="B170" location="ST_05003" display="ST_05003"/>
    <hyperlink ref="B60" location="ST_02006" display="ST_02006"/>
    <hyperlink ref="B56" location="ST_02002" display="ST_02002"/>
    <hyperlink ref="B58" location="ST_02004" display="ST_02004"/>
    <hyperlink ref="B101" location="ST_03002" display="ST_03002"/>
    <hyperlink ref="B135" location="ST_04002" display="ST_04002"/>
    <hyperlink ref="B137" location="ST_04004" display="ST_04004"/>
    <hyperlink ref="B169" location="ST_05002" display="ST_05002"/>
    <hyperlink ref="B171" location="ST_05004" display="ST_05004"/>
  </hyperlinks>
  <pageMargins left="0.7" right="0.7" top="0.75" bottom="0.75" header="0.51180555555555496" footer="0.3"/>
  <pageSetup paperSize="9" scale="67" firstPageNumber="0" fitToHeight="0" orientation="landscape" r:id="rId1"/>
  <headerFooter>
    <oddFooter>&amp;C&amp;P</oddFooter>
  </headerFooter>
  <rowBreaks count="5" manualBreakCount="5">
    <brk id="34" max="16383" man="1"/>
    <brk id="44" max="16383" man="1"/>
    <brk id="89" max="16383" man="1"/>
    <brk id="123" max="16383" man="1"/>
    <brk id="157" max="16383" man="1"/>
  </rowBreak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  <pageSetUpPr fitToPage="1"/>
  </sheetPr>
  <dimension ref="A1:O499"/>
  <sheetViews>
    <sheetView zoomScale="80" zoomScaleNormal="80" workbookViewId="0"/>
  </sheetViews>
  <sheetFormatPr baseColWidth="10" defaultColWidth="9.140625" defaultRowHeight="15" x14ac:dyDescent="0.25"/>
  <cols>
    <col min="1" max="1" width="11" style="89" bestFit="1" customWidth="1"/>
    <col min="2" max="2" width="28.42578125" style="89" customWidth="1"/>
    <col min="3" max="3" width="29" style="89" customWidth="1"/>
    <col min="4" max="4" width="13.28515625" style="89" bestFit="1" customWidth="1"/>
    <col min="5" max="6" width="11" style="89" bestFit="1" customWidth="1"/>
    <col min="7" max="7" width="15.5703125" style="89" customWidth="1"/>
    <col min="8" max="8" width="11" style="89" bestFit="1" customWidth="1"/>
    <col min="9" max="9" width="20.5703125" style="89" customWidth="1"/>
    <col min="10" max="10" width="14.28515625" style="89" bestFit="1" customWidth="1"/>
    <col min="11" max="11" width="11" style="89" bestFit="1" customWidth="1"/>
    <col min="12" max="12" width="10.85546875" style="89" customWidth="1"/>
    <col min="13" max="13" width="15.7109375" style="89" bestFit="1" customWidth="1"/>
    <col min="14" max="14" width="10.7109375" style="89" bestFit="1" customWidth="1"/>
    <col min="15" max="15" width="3.140625" style="89" customWidth="1"/>
    <col min="16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659" t="s">
        <v>57</v>
      </c>
      <c r="B2" s="133" t="s">
        <v>523</v>
      </c>
      <c r="C2" s="94"/>
      <c r="D2" s="94"/>
      <c r="E2" s="94"/>
      <c r="F2" s="94"/>
      <c r="G2" s="94"/>
      <c r="H2" s="94"/>
      <c r="I2" s="94"/>
      <c r="J2" s="661" t="s">
        <v>51</v>
      </c>
      <c r="K2" s="138">
        <v>81</v>
      </c>
      <c r="L2" s="94"/>
      <c r="M2" s="659" t="s">
        <v>113</v>
      </c>
      <c r="N2" s="100">
        <f>ST_01001_m+ST_01001_p+ST_01001_t</f>
        <v>10.527136733333334</v>
      </c>
      <c r="O2" s="93"/>
    </row>
    <row r="3" spans="1:15" x14ac:dyDescent="0.25">
      <c r="A3" s="659" t="s">
        <v>125</v>
      </c>
      <c r="B3" s="133" t="s">
        <v>6</v>
      </c>
      <c r="C3" s="94"/>
      <c r="D3" s="659" t="s">
        <v>122</v>
      </c>
      <c r="E3" s="270" t="s">
        <v>522</v>
      </c>
      <c r="F3" s="94"/>
      <c r="G3" s="94"/>
      <c r="H3" s="94"/>
      <c r="I3" s="94"/>
      <c r="J3" s="94"/>
      <c r="K3" s="94"/>
      <c r="L3" s="94"/>
      <c r="M3" s="659" t="s">
        <v>124</v>
      </c>
      <c r="N3" s="136">
        <v>1</v>
      </c>
      <c r="O3" s="93"/>
    </row>
    <row r="4" spans="1:15" x14ac:dyDescent="0.25">
      <c r="A4" s="659" t="s">
        <v>123</v>
      </c>
      <c r="B4" s="270" t="str">
        <f>'ST Assemblies'!B4</f>
        <v>Steering Column</v>
      </c>
      <c r="C4" s="94"/>
      <c r="D4" s="659" t="s">
        <v>119</v>
      </c>
      <c r="E4" s="94"/>
      <c r="F4" s="94"/>
      <c r="G4" s="94"/>
      <c r="H4" s="94"/>
      <c r="I4" s="94"/>
      <c r="J4" s="660" t="s">
        <v>122</v>
      </c>
      <c r="K4" s="270"/>
      <c r="L4" s="94"/>
      <c r="M4" s="94"/>
      <c r="N4" s="94"/>
      <c r="O4" s="93"/>
    </row>
    <row r="5" spans="1:15" x14ac:dyDescent="0.25">
      <c r="A5" s="659" t="s">
        <v>114</v>
      </c>
      <c r="B5" s="135" t="s">
        <v>1378</v>
      </c>
      <c r="C5" s="94"/>
      <c r="D5" s="659" t="s">
        <v>116</v>
      </c>
      <c r="E5" s="94"/>
      <c r="F5" s="94"/>
      <c r="G5" s="94"/>
      <c r="H5" s="94"/>
      <c r="I5" s="94"/>
      <c r="J5" s="660" t="s">
        <v>119</v>
      </c>
      <c r="K5" s="94"/>
      <c r="L5" s="94"/>
      <c r="M5" s="659" t="s">
        <v>118</v>
      </c>
      <c r="N5" s="100">
        <f>N3*N2</f>
        <v>10.527136733333334</v>
      </c>
      <c r="O5" s="93"/>
    </row>
    <row r="6" spans="1:15" x14ac:dyDescent="0.25">
      <c r="A6" s="659" t="s">
        <v>121</v>
      </c>
      <c r="B6" s="269" t="s">
        <v>1377</v>
      </c>
      <c r="C6" s="94"/>
      <c r="D6" s="94"/>
      <c r="E6" s="94"/>
      <c r="F6" s="94"/>
      <c r="G6" s="94"/>
      <c r="H6" s="94"/>
      <c r="I6" s="94"/>
      <c r="J6" s="660" t="s">
        <v>116</v>
      </c>
      <c r="K6" s="94"/>
      <c r="L6" s="94"/>
      <c r="M6" s="94"/>
      <c r="N6" s="94"/>
      <c r="O6" s="93"/>
    </row>
    <row r="7" spans="1:15" x14ac:dyDescent="0.25">
      <c r="A7" s="659" t="s">
        <v>117</v>
      </c>
      <c r="B7" s="133" t="s">
        <v>23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659" t="s">
        <v>115</v>
      </c>
      <c r="B8" s="133" t="s">
        <v>697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266"/>
      <c r="B9" s="265"/>
      <c r="C9" s="265"/>
      <c r="D9" s="265"/>
      <c r="E9" s="265"/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658" t="s">
        <v>67</v>
      </c>
      <c r="B10" s="657" t="s">
        <v>112</v>
      </c>
      <c r="C10" s="657" t="s">
        <v>66</v>
      </c>
      <c r="D10" s="657" t="s">
        <v>65</v>
      </c>
      <c r="E10" s="657" t="s">
        <v>81</v>
      </c>
      <c r="F10" s="656" t="s">
        <v>80</v>
      </c>
      <c r="G10" s="656" t="s">
        <v>79</v>
      </c>
      <c r="H10" s="656" t="s">
        <v>78</v>
      </c>
      <c r="I10" s="656" t="s">
        <v>111</v>
      </c>
      <c r="J10" s="656" t="s">
        <v>110</v>
      </c>
      <c r="K10" s="656" t="s">
        <v>109</v>
      </c>
      <c r="L10" s="656" t="s">
        <v>108</v>
      </c>
      <c r="M10" s="656" t="s">
        <v>40</v>
      </c>
      <c r="N10" s="656" t="s">
        <v>58</v>
      </c>
      <c r="O10" s="93"/>
    </row>
    <row r="11" spans="1:15" s="250" customFormat="1" ht="35.25" customHeight="1" x14ac:dyDescent="0.25">
      <c r="A11" s="315">
        <v>10</v>
      </c>
      <c r="B11" s="370" t="s">
        <v>729</v>
      </c>
      <c r="C11" s="315" t="s">
        <v>1361</v>
      </c>
      <c r="D11" s="324">
        <v>2.25</v>
      </c>
      <c r="E11" s="315">
        <v>21</v>
      </c>
      <c r="F11" s="315" t="s">
        <v>68</v>
      </c>
      <c r="G11" s="315"/>
      <c r="H11" s="314"/>
      <c r="I11" s="281" t="s">
        <v>1376</v>
      </c>
      <c r="J11" s="524">
        <f>(E11*10^-3)^2*3.14</f>
        <v>1.3847400000000002E-3</v>
      </c>
      <c r="K11" s="320">
        <v>3.1E-2</v>
      </c>
      <c r="L11" s="335">
        <v>7860</v>
      </c>
      <c r="M11" s="318">
        <v>1</v>
      </c>
      <c r="N11" s="431">
        <f>IF(J11="",D11*M11,D11*J11*K11*L11*M11)</f>
        <v>0.75916293390000011</v>
      </c>
      <c r="O11" s="143"/>
    </row>
    <row r="12" spans="1:15" s="250" customFormat="1" ht="30" x14ac:dyDescent="0.25">
      <c r="A12" s="315">
        <v>20</v>
      </c>
      <c r="B12" s="370" t="s">
        <v>1375</v>
      </c>
      <c r="C12" s="315" t="s">
        <v>1374</v>
      </c>
      <c r="D12" s="324">
        <v>2.25</v>
      </c>
      <c r="E12" s="315">
        <v>20</v>
      </c>
      <c r="F12" s="315" t="s">
        <v>68</v>
      </c>
      <c r="G12" s="315">
        <v>1.5</v>
      </c>
      <c r="H12" s="314" t="s">
        <v>68</v>
      </c>
      <c r="I12" s="281" t="s">
        <v>1373</v>
      </c>
      <c r="J12" s="524">
        <f>(E12/2*10^-3)^2*3.14</f>
        <v>3.1400000000000004E-4</v>
      </c>
      <c r="K12" s="320">
        <v>0.13</v>
      </c>
      <c r="L12" s="335">
        <v>7860</v>
      </c>
      <c r="M12" s="318">
        <v>2</v>
      </c>
      <c r="N12" s="431">
        <f>IF(J12="",D12*M12,D12*J12*K12*L12*M12)</f>
        <v>1.4438034000000002</v>
      </c>
      <c r="O12" s="143"/>
    </row>
    <row r="13" spans="1:15" x14ac:dyDescent="0.25">
      <c r="A13" s="98"/>
      <c r="B13" s="95"/>
      <c r="C13" s="95"/>
      <c r="D13" s="95"/>
      <c r="E13" s="95"/>
      <c r="F13" s="95"/>
      <c r="G13" s="95"/>
      <c r="H13" s="95"/>
      <c r="I13" s="95"/>
      <c r="J13" s="95"/>
      <c r="K13" s="95"/>
      <c r="L13" s="95"/>
      <c r="M13" s="654" t="s">
        <v>58</v>
      </c>
      <c r="N13" s="648">
        <f>SUM(N12:N12)</f>
        <v>1.4438034000000002</v>
      </c>
      <c r="O13" s="93"/>
    </row>
    <row r="14" spans="1:15" x14ac:dyDescent="0.25">
      <c r="A14" s="107"/>
      <c r="B14" s="94"/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  <c r="N14" s="94"/>
      <c r="O14" s="93"/>
    </row>
    <row r="15" spans="1:15" x14ac:dyDescent="0.25">
      <c r="A15" s="697" t="s">
        <v>67</v>
      </c>
      <c r="B15" s="656" t="s">
        <v>106</v>
      </c>
      <c r="C15" s="656" t="s">
        <v>66</v>
      </c>
      <c r="D15" s="656" t="s">
        <v>65</v>
      </c>
      <c r="E15" s="656" t="s">
        <v>64</v>
      </c>
      <c r="F15" s="656" t="s">
        <v>40</v>
      </c>
      <c r="G15" s="656" t="s">
        <v>105</v>
      </c>
      <c r="H15" s="656" t="s">
        <v>104</v>
      </c>
      <c r="I15" s="656" t="s">
        <v>58</v>
      </c>
      <c r="J15" s="95"/>
      <c r="K15" s="95"/>
      <c r="L15" s="95"/>
      <c r="M15" s="95"/>
      <c r="N15" s="95"/>
      <c r="O15" s="93"/>
    </row>
    <row r="16" spans="1:15" s="245" customFormat="1" ht="30" x14ac:dyDescent="0.25">
      <c r="A16" s="367">
        <v>10</v>
      </c>
      <c r="B16" s="309" t="s">
        <v>516</v>
      </c>
      <c r="C16" s="331" t="s">
        <v>1248</v>
      </c>
      <c r="D16" s="368">
        <v>1.3</v>
      </c>
      <c r="E16" s="300" t="s">
        <v>64</v>
      </c>
      <c r="F16" s="367">
        <v>1</v>
      </c>
      <c r="G16" s="367"/>
      <c r="H16" s="367"/>
      <c r="I16" s="441">
        <f t="shared" ref="I16:I25" si="0">IF(H16="",D16*F16,D16*F16*H16)</f>
        <v>1.3</v>
      </c>
      <c r="J16" s="142"/>
      <c r="K16" s="142"/>
      <c r="L16" s="142"/>
      <c r="M16" s="142"/>
      <c r="N16" s="142"/>
      <c r="O16" s="120"/>
    </row>
    <row r="17" spans="1:15" x14ac:dyDescent="0.25">
      <c r="A17" s="282">
        <v>20</v>
      </c>
      <c r="B17" s="309" t="s">
        <v>1228</v>
      </c>
      <c r="C17" s="434" t="s">
        <v>1372</v>
      </c>
      <c r="D17" s="337">
        <v>0.35</v>
      </c>
      <c r="E17" s="282" t="s">
        <v>294</v>
      </c>
      <c r="F17" s="336">
        <v>1</v>
      </c>
      <c r="G17" s="300"/>
      <c r="H17" s="299"/>
      <c r="I17" s="431">
        <f t="shared" si="0"/>
        <v>0.35</v>
      </c>
      <c r="J17" s="94"/>
      <c r="K17" s="94"/>
      <c r="L17" s="94"/>
      <c r="M17" s="94"/>
      <c r="N17" s="94"/>
      <c r="O17" s="93"/>
    </row>
    <row r="18" spans="1:15" x14ac:dyDescent="0.25">
      <c r="A18" s="299">
        <v>30</v>
      </c>
      <c r="B18" s="309" t="s">
        <v>514</v>
      </c>
      <c r="C18" s="331" t="s">
        <v>1371</v>
      </c>
      <c r="D18" s="337">
        <v>0.04</v>
      </c>
      <c r="E18" s="300" t="s">
        <v>512</v>
      </c>
      <c r="F18" s="299">
        <v>3</v>
      </c>
      <c r="G18" s="510" t="s">
        <v>1271</v>
      </c>
      <c r="H18" s="510">
        <v>3</v>
      </c>
      <c r="I18" s="431">
        <f t="shared" si="0"/>
        <v>0.36</v>
      </c>
      <c r="J18" s="94"/>
      <c r="K18" s="94"/>
      <c r="L18" s="94"/>
      <c r="M18" s="94"/>
      <c r="N18" s="94"/>
      <c r="O18" s="93"/>
    </row>
    <row r="19" spans="1:15" x14ac:dyDescent="0.25">
      <c r="A19" s="282">
        <v>40</v>
      </c>
      <c r="B19" s="309" t="s">
        <v>1369</v>
      </c>
      <c r="C19" s="434" t="s">
        <v>1368</v>
      </c>
      <c r="D19" s="337">
        <v>0.35</v>
      </c>
      <c r="E19" s="282" t="s">
        <v>294</v>
      </c>
      <c r="F19" s="336">
        <v>1</v>
      </c>
      <c r="G19" s="300"/>
      <c r="H19" s="299"/>
      <c r="I19" s="431">
        <f t="shared" si="0"/>
        <v>0.35</v>
      </c>
      <c r="J19" s="94"/>
      <c r="K19" s="94"/>
      <c r="L19" s="94"/>
      <c r="M19" s="94"/>
      <c r="N19" s="94"/>
      <c r="O19" s="93"/>
    </row>
    <row r="20" spans="1:15" ht="30" x14ac:dyDescent="0.25">
      <c r="A20" s="299">
        <v>50</v>
      </c>
      <c r="B20" s="282" t="s">
        <v>1357</v>
      </c>
      <c r="C20" s="331" t="s">
        <v>1356</v>
      </c>
      <c r="D20" s="337">
        <v>0.65</v>
      </c>
      <c r="E20" s="300" t="s">
        <v>64</v>
      </c>
      <c r="F20" s="299">
        <v>1</v>
      </c>
      <c r="G20" s="299"/>
      <c r="H20" s="299"/>
      <c r="I20" s="431">
        <f t="shared" si="0"/>
        <v>0.65</v>
      </c>
      <c r="J20" s="94"/>
      <c r="K20" s="94"/>
      <c r="L20" s="94"/>
      <c r="M20" s="94"/>
      <c r="N20" s="94"/>
      <c r="O20" s="93"/>
    </row>
    <row r="21" spans="1:15" x14ac:dyDescent="0.25">
      <c r="A21" s="282">
        <v>60</v>
      </c>
      <c r="B21" s="309" t="s">
        <v>514</v>
      </c>
      <c r="C21" s="434" t="s">
        <v>1370</v>
      </c>
      <c r="D21" s="337">
        <v>0.04</v>
      </c>
      <c r="E21" s="282" t="s">
        <v>512</v>
      </c>
      <c r="F21" s="336">
        <v>3</v>
      </c>
      <c r="G21" s="510" t="s">
        <v>1271</v>
      </c>
      <c r="H21" s="510">
        <v>3</v>
      </c>
      <c r="I21" s="431">
        <f t="shared" si="0"/>
        <v>0.36</v>
      </c>
      <c r="J21" s="94"/>
      <c r="K21" s="94"/>
      <c r="L21" s="94"/>
      <c r="M21" s="94"/>
      <c r="N21" s="94"/>
      <c r="O21" s="93"/>
    </row>
    <row r="22" spans="1:15" s="254" customFormat="1" x14ac:dyDescent="0.25">
      <c r="A22" s="299">
        <v>70</v>
      </c>
      <c r="B22" s="309" t="s">
        <v>1369</v>
      </c>
      <c r="C22" s="434" t="s">
        <v>1368</v>
      </c>
      <c r="D22" s="337">
        <v>0.35</v>
      </c>
      <c r="E22" s="282" t="s">
        <v>294</v>
      </c>
      <c r="F22" s="336">
        <v>1</v>
      </c>
      <c r="G22" s="300"/>
      <c r="H22" s="299"/>
      <c r="I22" s="431">
        <f t="shared" si="0"/>
        <v>0.35</v>
      </c>
      <c r="J22" s="99"/>
      <c r="K22" s="99"/>
      <c r="L22" s="99"/>
      <c r="M22" s="99"/>
      <c r="N22" s="99"/>
      <c r="O22" s="130"/>
    </row>
    <row r="23" spans="1:15" ht="30" x14ac:dyDescent="0.25">
      <c r="A23" s="282">
        <v>80</v>
      </c>
      <c r="B23" s="309" t="s">
        <v>516</v>
      </c>
      <c r="C23" s="434" t="s">
        <v>1248</v>
      </c>
      <c r="D23" s="337">
        <v>1.3</v>
      </c>
      <c r="E23" s="282" t="s">
        <v>64</v>
      </c>
      <c r="F23" s="336">
        <v>1</v>
      </c>
      <c r="G23" s="300"/>
      <c r="H23" s="299"/>
      <c r="I23" s="431">
        <f t="shared" si="0"/>
        <v>1.3</v>
      </c>
      <c r="J23" s="94"/>
      <c r="K23" s="94"/>
      <c r="L23" s="94"/>
      <c r="M23" s="94"/>
      <c r="N23" s="94"/>
      <c r="O23" s="93"/>
    </row>
    <row r="24" spans="1:15" x14ac:dyDescent="0.25">
      <c r="A24" s="299">
        <v>90</v>
      </c>
      <c r="B24" s="309" t="s">
        <v>527</v>
      </c>
      <c r="C24" s="434" t="s">
        <v>1367</v>
      </c>
      <c r="D24" s="337">
        <v>0.01</v>
      </c>
      <c r="E24" s="282" t="s">
        <v>101</v>
      </c>
      <c r="F24" s="336">
        <v>26</v>
      </c>
      <c r="G24" s="510" t="s">
        <v>1271</v>
      </c>
      <c r="H24" s="510">
        <v>3</v>
      </c>
      <c r="I24" s="431">
        <f t="shared" si="0"/>
        <v>0.78</v>
      </c>
      <c r="J24" s="94"/>
      <c r="K24" s="94"/>
      <c r="L24" s="94"/>
      <c r="M24" s="94"/>
      <c r="N24" s="94"/>
      <c r="O24" s="93"/>
    </row>
    <row r="25" spans="1:15" ht="30" x14ac:dyDescent="0.25">
      <c r="A25" s="282">
        <v>100</v>
      </c>
      <c r="B25" s="309" t="s">
        <v>103</v>
      </c>
      <c r="C25" s="434" t="s">
        <v>1366</v>
      </c>
      <c r="D25" s="337">
        <v>0.15</v>
      </c>
      <c r="E25" s="282" t="s">
        <v>101</v>
      </c>
      <c r="F25" s="336">
        <v>13</v>
      </c>
      <c r="G25" s="300"/>
      <c r="H25" s="299">
        <v>1</v>
      </c>
      <c r="I25" s="431">
        <f t="shared" si="0"/>
        <v>1.95</v>
      </c>
      <c r="J25" s="94"/>
      <c r="K25" s="94"/>
      <c r="L25" s="94"/>
      <c r="M25" s="94"/>
      <c r="N25" s="94"/>
      <c r="O25" s="93"/>
    </row>
    <row r="26" spans="1:15" x14ac:dyDescent="0.25">
      <c r="A26" s="98"/>
      <c r="B26" s="705"/>
      <c r="C26" s="704"/>
      <c r="D26" s="95"/>
      <c r="E26" s="95"/>
      <c r="F26" s="95"/>
      <c r="G26" s="95"/>
      <c r="H26" s="649" t="s">
        <v>58</v>
      </c>
      <c r="I26" s="648">
        <f>SUM(I16:I25)</f>
        <v>7.75</v>
      </c>
      <c r="J26" s="95"/>
      <c r="K26" s="95"/>
      <c r="L26" s="95"/>
      <c r="M26" s="95"/>
      <c r="N26" s="95"/>
      <c r="O26" s="93"/>
    </row>
    <row r="27" spans="1:15" x14ac:dyDescent="0.25">
      <c r="A27" s="107"/>
      <c r="B27" s="703"/>
      <c r="C27" s="142"/>
      <c r="D27" s="94"/>
      <c r="E27" s="94"/>
      <c r="F27" s="94"/>
      <c r="G27" s="94"/>
      <c r="H27" s="94"/>
      <c r="I27" s="699"/>
      <c r="J27" s="549"/>
      <c r="K27" s="94"/>
      <c r="L27" s="94"/>
      <c r="M27" s="94"/>
      <c r="N27" s="94"/>
      <c r="O27" s="93"/>
    </row>
    <row r="28" spans="1:15" x14ac:dyDescent="0.25">
      <c r="A28" s="697" t="s">
        <v>67</v>
      </c>
      <c r="B28" s="702" t="s">
        <v>13</v>
      </c>
      <c r="C28" s="701" t="s">
        <v>66</v>
      </c>
      <c r="D28" s="656" t="s">
        <v>65</v>
      </c>
      <c r="E28" s="656" t="s">
        <v>64</v>
      </c>
      <c r="F28" s="656" t="s">
        <v>40</v>
      </c>
      <c r="G28" s="656" t="s">
        <v>63</v>
      </c>
      <c r="H28" s="656" t="s">
        <v>741</v>
      </c>
      <c r="I28" s="656" t="s">
        <v>58</v>
      </c>
      <c r="J28" s="95"/>
      <c r="K28" s="94"/>
      <c r="L28" s="94"/>
      <c r="M28" s="94"/>
      <c r="N28" s="94"/>
      <c r="O28" s="93"/>
    </row>
    <row r="29" spans="1:15" s="254" customFormat="1" ht="30" x14ac:dyDescent="0.25">
      <c r="A29" s="282">
        <v>10</v>
      </c>
      <c r="B29" s="282" t="s">
        <v>61</v>
      </c>
      <c r="C29" s="292" t="s">
        <v>1365</v>
      </c>
      <c r="D29" s="283">
        <v>500</v>
      </c>
      <c r="E29" s="282" t="s">
        <v>59</v>
      </c>
      <c r="F29" s="282">
        <v>8</v>
      </c>
      <c r="G29" s="282">
        <v>3000</v>
      </c>
      <c r="H29" s="282">
        <v>1</v>
      </c>
      <c r="I29" s="387">
        <f>D29*F29/G29*H29</f>
        <v>1.3333333333333333</v>
      </c>
      <c r="J29" s="99"/>
      <c r="K29" s="99"/>
      <c r="L29" s="99"/>
      <c r="M29" s="99"/>
      <c r="N29" s="99"/>
      <c r="O29" s="130"/>
    </row>
    <row r="30" spans="1:15" x14ac:dyDescent="0.25">
      <c r="A30" s="98"/>
      <c r="B30" s="95"/>
      <c r="C30" s="95"/>
      <c r="D30" s="95"/>
      <c r="E30" s="95"/>
      <c r="F30" s="95"/>
      <c r="G30" s="95"/>
      <c r="H30" s="649" t="s">
        <v>58</v>
      </c>
      <c r="I30" s="648">
        <f>SUM(I29:I29)</f>
        <v>1.3333333333333333</v>
      </c>
      <c r="J30" s="95"/>
      <c r="K30" s="94"/>
      <c r="L30" s="94"/>
      <c r="M30" s="94"/>
      <c r="N30" s="94"/>
      <c r="O30" s="93"/>
    </row>
    <row r="31" spans="1:15" ht="15.75" thickBot="1" x14ac:dyDescent="0.3">
      <c r="A31" s="92"/>
      <c r="B31" s="91"/>
      <c r="C31" s="91"/>
      <c r="D31" s="91"/>
      <c r="E31" s="91"/>
      <c r="F31" s="91"/>
      <c r="G31" s="91"/>
      <c r="H31" s="544"/>
      <c r="I31" s="544"/>
      <c r="J31" s="91"/>
      <c r="K31" s="91"/>
      <c r="L31" s="91"/>
      <c r="M31" s="91"/>
      <c r="N31" s="91"/>
      <c r="O31" s="90"/>
    </row>
    <row r="32" spans="1:15" ht="15.75" thickBot="1" x14ac:dyDescent="0.3">
      <c r="A32" s="94"/>
      <c r="B32" s="94"/>
      <c r="C32" s="94"/>
      <c r="D32" s="94"/>
      <c r="E32" s="94"/>
      <c r="F32" s="94"/>
      <c r="G32" s="94"/>
      <c r="H32" s="675"/>
      <c r="I32" s="675"/>
      <c r="J32" s="94"/>
      <c r="K32" s="94"/>
      <c r="L32" s="94"/>
      <c r="M32" s="94"/>
      <c r="N32" s="94"/>
      <c r="O32" s="94"/>
    </row>
    <row r="33" spans="1:15" x14ac:dyDescent="0.25">
      <c r="A33" s="141"/>
      <c r="B33" s="140"/>
      <c r="C33" s="140"/>
      <c r="D33" s="140"/>
      <c r="E33" s="140"/>
      <c r="F33" s="140"/>
      <c r="G33" s="140"/>
      <c r="H33" s="140"/>
      <c r="I33" s="140"/>
      <c r="J33" s="140"/>
      <c r="K33" s="140"/>
      <c r="L33" s="140"/>
      <c r="M33" s="140"/>
      <c r="N33" s="140"/>
      <c r="O33" s="139"/>
    </row>
    <row r="34" spans="1:15" x14ac:dyDescent="0.25">
      <c r="A34" s="659" t="s">
        <v>57</v>
      </c>
      <c r="B34" s="133" t="s">
        <v>523</v>
      </c>
      <c r="C34" s="94"/>
      <c r="D34" s="94"/>
      <c r="E34" s="94"/>
      <c r="F34" s="94"/>
      <c r="G34" s="94"/>
      <c r="H34" s="94"/>
      <c r="I34" s="94"/>
      <c r="J34" s="661" t="s">
        <v>51</v>
      </c>
      <c r="K34" s="138">
        <v>81</v>
      </c>
      <c r="L34" s="94"/>
      <c r="M34" s="659" t="s">
        <v>113</v>
      </c>
      <c r="N34" s="100">
        <f>ST_01002_m+ST_01002_p</f>
        <v>4.6967391063624992</v>
      </c>
      <c r="O34" s="93"/>
    </row>
    <row r="35" spans="1:15" x14ac:dyDescent="0.25">
      <c r="A35" s="659" t="s">
        <v>125</v>
      </c>
      <c r="B35" s="133" t="s">
        <v>6</v>
      </c>
      <c r="C35" s="94"/>
      <c r="D35" s="659" t="s">
        <v>122</v>
      </c>
      <c r="E35" s="270" t="s">
        <v>522</v>
      </c>
      <c r="F35" s="94"/>
      <c r="G35" s="94"/>
      <c r="H35" s="94"/>
      <c r="I35" s="94"/>
      <c r="J35" s="94"/>
      <c r="K35" s="94"/>
      <c r="L35" s="94"/>
      <c r="M35" s="659" t="s">
        <v>124</v>
      </c>
      <c r="N35" s="136">
        <v>1</v>
      </c>
      <c r="O35" s="93"/>
    </row>
    <row r="36" spans="1:15" x14ac:dyDescent="0.25">
      <c r="A36" s="659" t="s">
        <v>123</v>
      </c>
      <c r="B36" s="270" t="str">
        <f>'ST Assemblies'!B4</f>
        <v>Steering Column</v>
      </c>
      <c r="C36" s="94"/>
      <c r="D36" s="659" t="s">
        <v>119</v>
      </c>
      <c r="E36" s="94"/>
      <c r="F36" s="94"/>
      <c r="G36" s="94"/>
      <c r="H36" s="94"/>
      <c r="I36" s="94"/>
      <c r="J36" s="660" t="s">
        <v>122</v>
      </c>
      <c r="L36" s="94"/>
      <c r="M36" s="94"/>
      <c r="N36" s="94"/>
      <c r="O36" s="93"/>
    </row>
    <row r="37" spans="1:15" x14ac:dyDescent="0.25">
      <c r="A37" s="659" t="s">
        <v>114</v>
      </c>
      <c r="B37" s="135" t="s">
        <v>1364</v>
      </c>
      <c r="C37" s="94"/>
      <c r="D37" s="659" t="s">
        <v>116</v>
      </c>
      <c r="E37" s="94"/>
      <c r="F37" s="94"/>
      <c r="G37" s="94"/>
      <c r="H37" s="94"/>
      <c r="I37" s="94"/>
      <c r="J37" s="660" t="s">
        <v>119</v>
      </c>
      <c r="K37" s="94"/>
      <c r="L37" s="94"/>
      <c r="M37" s="659" t="s">
        <v>118</v>
      </c>
      <c r="N37" s="100">
        <f>N35*N34</f>
        <v>4.6967391063624992</v>
      </c>
      <c r="O37" s="93"/>
    </row>
    <row r="38" spans="1:15" x14ac:dyDescent="0.25">
      <c r="A38" s="659" t="s">
        <v>121</v>
      </c>
      <c r="B38" s="269" t="s">
        <v>1363</v>
      </c>
      <c r="C38" s="94"/>
      <c r="D38" s="94"/>
      <c r="E38" s="94"/>
      <c r="F38" s="94"/>
      <c r="G38" s="94"/>
      <c r="H38" s="94"/>
      <c r="I38" s="94"/>
      <c r="J38" s="660" t="s">
        <v>116</v>
      </c>
      <c r="K38" s="94"/>
      <c r="L38" s="94"/>
      <c r="M38" s="94"/>
      <c r="N38" s="94"/>
      <c r="O38" s="93"/>
    </row>
    <row r="39" spans="1:15" x14ac:dyDescent="0.25">
      <c r="A39" s="659" t="s">
        <v>117</v>
      </c>
      <c r="B39" s="133" t="s">
        <v>23</v>
      </c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94"/>
      <c r="N39" s="94"/>
      <c r="O39" s="93"/>
    </row>
    <row r="40" spans="1:15" x14ac:dyDescent="0.25">
      <c r="A40" s="659" t="s">
        <v>115</v>
      </c>
      <c r="B40" s="133" t="s">
        <v>697</v>
      </c>
      <c r="C40" s="94"/>
      <c r="D40" s="94"/>
      <c r="E40" s="94"/>
      <c r="F40" s="94"/>
      <c r="G40" s="94"/>
      <c r="H40" s="94"/>
      <c r="I40" s="94"/>
      <c r="J40" s="94"/>
      <c r="K40" s="94"/>
      <c r="L40" s="94"/>
      <c r="M40" s="94"/>
      <c r="N40" s="94"/>
      <c r="O40" s="93"/>
    </row>
    <row r="41" spans="1:15" x14ac:dyDescent="0.25">
      <c r="A41" s="266"/>
      <c r="B41" s="265"/>
      <c r="C41" s="265"/>
      <c r="D41" s="265"/>
      <c r="E41" s="265"/>
      <c r="F41" s="94"/>
      <c r="G41" s="94"/>
      <c r="H41" s="94"/>
      <c r="I41" s="94"/>
      <c r="J41" s="94"/>
      <c r="K41" s="94"/>
      <c r="L41" s="94"/>
      <c r="M41" s="94"/>
      <c r="N41" s="94"/>
      <c r="O41" s="93"/>
    </row>
    <row r="42" spans="1:15" x14ac:dyDescent="0.25">
      <c r="A42" s="658" t="s">
        <v>67</v>
      </c>
      <c r="B42" s="657" t="s">
        <v>112</v>
      </c>
      <c r="C42" s="657" t="s">
        <v>66</v>
      </c>
      <c r="D42" s="657" t="s">
        <v>65</v>
      </c>
      <c r="E42" s="657" t="s">
        <v>81</v>
      </c>
      <c r="F42" s="656" t="s">
        <v>80</v>
      </c>
      <c r="G42" s="656" t="s">
        <v>79</v>
      </c>
      <c r="H42" s="656" t="s">
        <v>78</v>
      </c>
      <c r="I42" s="656" t="s">
        <v>111</v>
      </c>
      <c r="J42" s="656" t="s">
        <v>110</v>
      </c>
      <c r="K42" s="656" t="s">
        <v>109</v>
      </c>
      <c r="L42" s="656" t="s">
        <v>108</v>
      </c>
      <c r="M42" s="656" t="s">
        <v>40</v>
      </c>
      <c r="N42" s="656" t="s">
        <v>58</v>
      </c>
      <c r="O42" s="93"/>
    </row>
    <row r="43" spans="1:15" ht="30" x14ac:dyDescent="0.25">
      <c r="A43" s="529">
        <v>10</v>
      </c>
      <c r="B43" s="402" t="s">
        <v>1362</v>
      </c>
      <c r="C43" s="296" t="s">
        <v>1361</v>
      </c>
      <c r="D43" s="276">
        <v>2.25</v>
      </c>
      <c r="E43" s="296">
        <v>19</v>
      </c>
      <c r="F43" s="296" t="s">
        <v>68</v>
      </c>
      <c r="G43" s="296"/>
      <c r="H43" s="401"/>
      <c r="I43" s="700" t="s">
        <v>1360</v>
      </c>
      <c r="J43" s="528">
        <f>((E43/2*10^-3)^2)*3.14/4</f>
        <v>7.0846249999999996E-5</v>
      </c>
      <c r="K43" s="398">
        <v>8.2000000000000003E-2</v>
      </c>
      <c r="L43" s="319">
        <v>7860</v>
      </c>
      <c r="M43" s="397">
        <v>1</v>
      </c>
      <c r="N43" s="276">
        <f>IF(J43="",D43*M43,D43*J43*K43*L43*M43)</f>
        <v>0.1027391063625</v>
      </c>
      <c r="O43" s="143"/>
    </row>
    <row r="44" spans="1:15" x14ac:dyDescent="0.25">
      <c r="A44" s="98"/>
      <c r="B44" s="95"/>
      <c r="C44" s="95"/>
      <c r="D44" s="95"/>
      <c r="E44" s="95"/>
      <c r="F44" s="95"/>
      <c r="G44" s="95"/>
      <c r="H44" s="95"/>
      <c r="I44" s="95"/>
      <c r="J44" s="95"/>
      <c r="K44" s="95"/>
      <c r="L44" s="95"/>
      <c r="M44" s="654" t="s">
        <v>58</v>
      </c>
      <c r="N44" s="648">
        <f>SUM(N43:N43)</f>
        <v>0.1027391063625</v>
      </c>
      <c r="O44" s="93"/>
    </row>
    <row r="45" spans="1:15" x14ac:dyDescent="0.25">
      <c r="A45" s="107"/>
      <c r="B45" s="94"/>
      <c r="C45" s="94"/>
      <c r="D45" s="94"/>
      <c r="E45" s="94"/>
      <c r="F45" s="94"/>
      <c r="G45" s="94"/>
      <c r="H45" s="94"/>
      <c r="I45" s="94"/>
      <c r="J45" s="94"/>
      <c r="K45" s="94"/>
      <c r="L45" s="94"/>
      <c r="M45" s="94"/>
      <c r="N45" s="94"/>
      <c r="O45" s="93"/>
    </row>
    <row r="46" spans="1:15" x14ac:dyDescent="0.25">
      <c r="A46" s="697" t="s">
        <v>67</v>
      </c>
      <c r="B46" s="656" t="s">
        <v>106</v>
      </c>
      <c r="C46" s="656" t="s">
        <v>66</v>
      </c>
      <c r="D46" s="656" t="s">
        <v>65</v>
      </c>
      <c r="E46" s="656" t="s">
        <v>64</v>
      </c>
      <c r="F46" s="656" t="s">
        <v>40</v>
      </c>
      <c r="G46" s="656" t="s">
        <v>105</v>
      </c>
      <c r="H46" s="656" t="s">
        <v>104</v>
      </c>
      <c r="I46" s="656" t="s">
        <v>58</v>
      </c>
      <c r="J46" s="95"/>
      <c r="K46" s="95"/>
      <c r="L46" s="95"/>
      <c r="M46" s="95"/>
      <c r="N46" s="95"/>
      <c r="O46" s="93"/>
    </row>
    <row r="47" spans="1:15" ht="30" x14ac:dyDescent="0.25">
      <c r="A47" s="299">
        <v>10</v>
      </c>
      <c r="B47" s="309" t="s">
        <v>516</v>
      </c>
      <c r="C47" s="367" t="s">
        <v>802</v>
      </c>
      <c r="D47" s="337">
        <v>1.3</v>
      </c>
      <c r="E47" s="309" t="s">
        <v>64</v>
      </c>
      <c r="F47" s="299">
        <v>1</v>
      </c>
      <c r="G47" s="299"/>
      <c r="H47" s="299"/>
      <c r="I47" s="431">
        <f t="shared" ref="I47:I52" si="1">IF(H47="",D47*F47,D47*F47*H47)</f>
        <v>1.3</v>
      </c>
      <c r="J47" s="142"/>
      <c r="K47" s="142"/>
      <c r="L47" s="142"/>
      <c r="M47" s="142"/>
      <c r="N47" s="142"/>
      <c r="O47" s="120"/>
    </row>
    <row r="48" spans="1:15" x14ac:dyDescent="0.25">
      <c r="A48" s="282">
        <v>20</v>
      </c>
      <c r="B48" s="309" t="s">
        <v>1228</v>
      </c>
      <c r="C48" s="292" t="s">
        <v>1359</v>
      </c>
      <c r="D48" s="337">
        <v>0.35</v>
      </c>
      <c r="E48" s="282" t="s">
        <v>294</v>
      </c>
      <c r="F48" s="282">
        <v>1</v>
      </c>
      <c r="G48" s="300"/>
      <c r="H48" s="299"/>
      <c r="I48" s="431">
        <f t="shared" si="1"/>
        <v>0.35</v>
      </c>
      <c r="J48" s="94"/>
      <c r="K48" s="94"/>
      <c r="L48" s="94"/>
      <c r="M48" s="94"/>
      <c r="N48" s="94"/>
      <c r="O48" s="93"/>
    </row>
    <row r="49" spans="1:15" ht="30" x14ac:dyDescent="0.25">
      <c r="A49" s="299">
        <v>30</v>
      </c>
      <c r="B49" s="309" t="s">
        <v>514</v>
      </c>
      <c r="C49" s="367" t="s">
        <v>1358</v>
      </c>
      <c r="D49" s="337">
        <v>0.04</v>
      </c>
      <c r="E49" s="309" t="s">
        <v>512</v>
      </c>
      <c r="F49" s="299">
        <v>13.4</v>
      </c>
      <c r="G49" s="299" t="s">
        <v>1271</v>
      </c>
      <c r="H49" s="299">
        <v>3</v>
      </c>
      <c r="I49" s="431">
        <f t="shared" si="1"/>
        <v>1.6080000000000001</v>
      </c>
      <c r="J49" s="99"/>
      <c r="K49" s="99"/>
      <c r="L49" s="99"/>
      <c r="M49" s="99"/>
      <c r="N49" s="99"/>
      <c r="O49" s="130"/>
    </row>
    <row r="50" spans="1:15" ht="30" x14ac:dyDescent="0.25">
      <c r="A50" s="282">
        <v>40</v>
      </c>
      <c r="B50" s="309" t="s">
        <v>1357</v>
      </c>
      <c r="C50" s="367" t="s">
        <v>1356</v>
      </c>
      <c r="D50" s="337">
        <v>0.65</v>
      </c>
      <c r="E50" s="309" t="s">
        <v>64</v>
      </c>
      <c r="F50" s="299">
        <v>1</v>
      </c>
      <c r="G50" s="299"/>
      <c r="H50" s="299"/>
      <c r="I50" s="431">
        <f t="shared" si="1"/>
        <v>0.65</v>
      </c>
      <c r="J50" s="94"/>
      <c r="K50" s="94"/>
      <c r="L50" s="94"/>
      <c r="M50" s="94"/>
      <c r="N50" s="94"/>
      <c r="O50" s="93"/>
    </row>
    <row r="51" spans="1:15" x14ac:dyDescent="0.25">
      <c r="A51" s="299">
        <v>50</v>
      </c>
      <c r="B51" s="309" t="s">
        <v>514</v>
      </c>
      <c r="C51" s="367" t="s">
        <v>1355</v>
      </c>
      <c r="D51" s="337">
        <v>0.04</v>
      </c>
      <c r="E51" s="309" t="s">
        <v>512</v>
      </c>
      <c r="F51" s="299">
        <v>2.8</v>
      </c>
      <c r="G51" s="299" t="s">
        <v>1271</v>
      </c>
      <c r="H51" s="299">
        <v>3</v>
      </c>
      <c r="I51" s="431">
        <f t="shared" si="1"/>
        <v>0.33599999999999997</v>
      </c>
      <c r="J51" s="94"/>
      <c r="K51" s="94"/>
      <c r="L51" s="94"/>
      <c r="M51" s="94"/>
      <c r="N51" s="94"/>
      <c r="O51" s="93"/>
    </row>
    <row r="52" spans="1:15" x14ac:dyDescent="0.25">
      <c r="A52" s="282">
        <v>60</v>
      </c>
      <c r="B52" s="309" t="s">
        <v>1228</v>
      </c>
      <c r="C52" s="292" t="s">
        <v>1354</v>
      </c>
      <c r="D52" s="337">
        <v>0.35</v>
      </c>
      <c r="E52" s="282" t="s">
        <v>294</v>
      </c>
      <c r="F52" s="282">
        <v>1</v>
      </c>
      <c r="G52" s="300"/>
      <c r="H52" s="299"/>
      <c r="I52" s="431">
        <f t="shared" si="1"/>
        <v>0.35</v>
      </c>
      <c r="J52" s="94"/>
      <c r="K52" s="94"/>
      <c r="L52" s="94"/>
      <c r="M52" s="94"/>
      <c r="N52" s="94"/>
      <c r="O52" s="93"/>
    </row>
    <row r="53" spans="1:15" x14ac:dyDescent="0.25">
      <c r="A53" s="98"/>
      <c r="B53" s="95"/>
      <c r="C53" s="95"/>
      <c r="D53" s="95"/>
      <c r="E53" s="95"/>
      <c r="F53" s="95"/>
      <c r="G53" s="95"/>
      <c r="H53" s="649" t="s">
        <v>58</v>
      </c>
      <c r="I53" s="648">
        <f>SUM(I47:I52)</f>
        <v>4.5939999999999994</v>
      </c>
      <c r="J53" s="95"/>
      <c r="K53" s="95"/>
      <c r="L53" s="95"/>
      <c r="M53" s="95"/>
      <c r="N53" s="95"/>
      <c r="O53" s="93"/>
    </row>
    <row r="54" spans="1:15" x14ac:dyDescent="0.25">
      <c r="A54" s="107"/>
      <c r="B54" s="94"/>
      <c r="C54" s="94"/>
      <c r="D54" s="94"/>
      <c r="E54" s="94"/>
      <c r="F54" s="94"/>
      <c r="G54" s="94"/>
      <c r="H54" s="94"/>
      <c r="I54" s="699"/>
      <c r="J54" s="549"/>
      <c r="K54" s="94"/>
      <c r="L54" s="94"/>
      <c r="M54" s="94"/>
      <c r="N54" s="94"/>
      <c r="O54" s="93"/>
    </row>
    <row r="55" spans="1:15" ht="15.75" thickBot="1" x14ac:dyDescent="0.3">
      <c r="A55" s="92"/>
      <c r="B55" s="91"/>
      <c r="C55" s="91"/>
      <c r="D55" s="91"/>
      <c r="E55" s="91"/>
      <c r="F55" s="91"/>
      <c r="G55" s="91"/>
      <c r="H55" s="544"/>
      <c r="I55" s="544"/>
      <c r="J55" s="91"/>
      <c r="K55" s="91"/>
      <c r="L55" s="91"/>
      <c r="M55" s="91"/>
      <c r="N55" s="91"/>
      <c r="O55" s="90"/>
    </row>
    <row r="56" spans="1:15" ht="15.75" thickBot="1" x14ac:dyDescent="0.3">
      <c r="A56" s="94"/>
      <c r="B56" s="94"/>
      <c r="C56" s="94"/>
      <c r="D56" s="94"/>
      <c r="E56" s="94"/>
      <c r="F56" s="94"/>
      <c r="G56" s="94"/>
      <c r="H56" s="675"/>
      <c r="I56" s="675"/>
      <c r="J56" s="94"/>
      <c r="K56" s="94"/>
      <c r="L56" s="94"/>
      <c r="M56" s="94"/>
      <c r="N56" s="94"/>
      <c r="O56" s="94"/>
    </row>
    <row r="57" spans="1:15" x14ac:dyDescent="0.25">
      <c r="A57" s="141"/>
      <c r="B57" s="140"/>
      <c r="C57" s="140"/>
      <c r="D57" s="140"/>
      <c r="E57" s="140"/>
      <c r="F57" s="140"/>
      <c r="G57" s="140"/>
      <c r="H57" s="140"/>
      <c r="I57" s="140"/>
      <c r="J57" s="140"/>
      <c r="K57" s="140"/>
      <c r="L57" s="140"/>
      <c r="M57" s="140"/>
      <c r="N57" s="140"/>
      <c r="O57" s="139"/>
    </row>
    <row r="58" spans="1:15" x14ac:dyDescent="0.25">
      <c r="A58" s="659" t="s">
        <v>57</v>
      </c>
      <c r="B58" s="133" t="s">
        <v>523</v>
      </c>
      <c r="C58" s="94"/>
      <c r="D58" s="94"/>
      <c r="E58" s="94"/>
      <c r="F58" s="94"/>
      <c r="G58" s="94"/>
      <c r="H58" s="94"/>
      <c r="I58" s="94"/>
      <c r="J58" s="661" t="s">
        <v>51</v>
      </c>
      <c r="K58" s="138">
        <v>81</v>
      </c>
      <c r="L58" s="94"/>
      <c r="M58" s="659" t="s">
        <v>113</v>
      </c>
      <c r="N58" s="100">
        <f>ST_01003_m+ST_01003_p</f>
        <v>1.38907725085</v>
      </c>
      <c r="O58" s="93"/>
    </row>
    <row r="59" spans="1:15" x14ac:dyDescent="0.25">
      <c r="A59" s="659" t="s">
        <v>125</v>
      </c>
      <c r="B59" s="133" t="s">
        <v>6</v>
      </c>
      <c r="C59" s="94"/>
      <c r="D59" s="659" t="s">
        <v>122</v>
      </c>
      <c r="E59" s="547"/>
      <c r="F59" s="94"/>
      <c r="G59" s="94"/>
      <c r="H59" s="94"/>
      <c r="I59" s="94"/>
      <c r="J59" s="94"/>
      <c r="K59" s="94"/>
      <c r="L59" s="94"/>
      <c r="M59" s="659" t="s">
        <v>124</v>
      </c>
      <c r="N59" s="136">
        <v>1</v>
      </c>
      <c r="O59" s="93"/>
    </row>
    <row r="60" spans="1:15" x14ac:dyDescent="0.25">
      <c r="A60" s="659" t="s">
        <v>123</v>
      </c>
      <c r="B60" s="270" t="str">
        <f>'ST Assemblies'!B4</f>
        <v>Steering Column</v>
      </c>
      <c r="C60" s="94"/>
      <c r="D60" s="659" t="s">
        <v>119</v>
      </c>
      <c r="E60" s="94"/>
      <c r="F60" s="94"/>
      <c r="G60" s="94"/>
      <c r="H60" s="94"/>
      <c r="I60" s="94"/>
      <c r="J60" s="660" t="s">
        <v>122</v>
      </c>
      <c r="K60" s="94"/>
      <c r="L60" s="94"/>
      <c r="M60" s="94"/>
      <c r="N60" s="94"/>
      <c r="O60" s="93"/>
    </row>
    <row r="61" spans="1:15" x14ac:dyDescent="0.25">
      <c r="A61" s="659" t="s">
        <v>114</v>
      </c>
      <c r="B61" s="135" t="s">
        <v>1353</v>
      </c>
      <c r="C61" s="94"/>
      <c r="D61" s="659" t="s">
        <v>116</v>
      </c>
      <c r="E61" s="94"/>
      <c r="F61" s="94"/>
      <c r="G61" s="94"/>
      <c r="H61" s="94"/>
      <c r="I61" s="94"/>
      <c r="J61" s="660" t="s">
        <v>119</v>
      </c>
      <c r="K61" s="94"/>
      <c r="L61" s="94"/>
      <c r="M61" s="659" t="s">
        <v>118</v>
      </c>
      <c r="N61" s="100">
        <f>N59*N58</f>
        <v>1.38907725085</v>
      </c>
      <c r="O61" s="93"/>
    </row>
    <row r="62" spans="1:15" x14ac:dyDescent="0.25">
      <c r="A62" s="659" t="s">
        <v>121</v>
      </c>
      <c r="B62" s="269" t="s">
        <v>1352</v>
      </c>
      <c r="C62" s="94"/>
      <c r="D62" s="94"/>
      <c r="E62" s="94"/>
      <c r="F62" s="94"/>
      <c r="G62" s="94"/>
      <c r="H62" s="94"/>
      <c r="I62" s="94"/>
      <c r="J62" s="660" t="s">
        <v>116</v>
      </c>
      <c r="K62" s="94"/>
      <c r="L62" s="94"/>
      <c r="M62" s="94"/>
      <c r="N62" s="94"/>
      <c r="O62" s="93"/>
    </row>
    <row r="63" spans="1:15" x14ac:dyDescent="0.25">
      <c r="A63" s="659" t="s">
        <v>117</v>
      </c>
      <c r="B63" s="133" t="s">
        <v>23</v>
      </c>
      <c r="C63" s="94"/>
      <c r="D63" s="94"/>
      <c r="E63" s="94"/>
      <c r="F63" s="94"/>
      <c r="G63" s="94"/>
      <c r="H63" s="94"/>
      <c r="I63" s="94"/>
      <c r="J63" s="94"/>
      <c r="K63" s="94"/>
      <c r="L63" s="94"/>
      <c r="M63" s="94"/>
      <c r="N63" s="94"/>
      <c r="O63" s="93"/>
    </row>
    <row r="64" spans="1:15" x14ac:dyDescent="0.25">
      <c r="A64" s="659" t="s">
        <v>115</v>
      </c>
      <c r="B64" s="133" t="s">
        <v>1092</v>
      </c>
      <c r="C64" s="94"/>
      <c r="D64" s="94"/>
      <c r="E64" s="94"/>
      <c r="F64" s="94"/>
      <c r="G64" s="94"/>
      <c r="H64" s="94"/>
      <c r="I64" s="94"/>
      <c r="J64" s="94"/>
      <c r="K64" s="94"/>
      <c r="L64" s="94"/>
      <c r="M64" s="94"/>
      <c r="N64" s="94"/>
      <c r="O64" s="93"/>
    </row>
    <row r="65" spans="1:15" x14ac:dyDescent="0.25">
      <c r="A65" s="266"/>
      <c r="B65" s="265"/>
      <c r="C65" s="265"/>
      <c r="D65" s="265"/>
      <c r="E65" s="265"/>
      <c r="F65" s="94"/>
      <c r="G65" s="94"/>
      <c r="H65" s="94"/>
      <c r="I65" s="94"/>
      <c r="J65" s="94"/>
      <c r="K65" s="94"/>
      <c r="L65" s="94"/>
      <c r="M65" s="94"/>
      <c r="N65" s="94"/>
      <c r="O65" s="93"/>
    </row>
    <row r="66" spans="1:15" x14ac:dyDescent="0.25">
      <c r="A66" s="658" t="s">
        <v>67</v>
      </c>
      <c r="B66" s="657" t="s">
        <v>112</v>
      </c>
      <c r="C66" s="657" t="s">
        <v>66</v>
      </c>
      <c r="D66" s="657" t="s">
        <v>65</v>
      </c>
      <c r="E66" s="657" t="s">
        <v>81</v>
      </c>
      <c r="F66" s="656" t="s">
        <v>80</v>
      </c>
      <c r="G66" s="656" t="s">
        <v>79</v>
      </c>
      <c r="H66" s="656" t="s">
        <v>78</v>
      </c>
      <c r="I66" s="656" t="s">
        <v>111</v>
      </c>
      <c r="J66" s="656" t="s">
        <v>110</v>
      </c>
      <c r="K66" s="656" t="s">
        <v>109</v>
      </c>
      <c r="L66" s="656" t="s">
        <v>108</v>
      </c>
      <c r="M66" s="656" t="s">
        <v>40</v>
      </c>
      <c r="N66" s="656" t="s">
        <v>58</v>
      </c>
      <c r="O66" s="93"/>
    </row>
    <row r="67" spans="1:15" ht="30" x14ac:dyDescent="0.25">
      <c r="A67" s="282">
        <v>10</v>
      </c>
      <c r="B67" s="354" t="s">
        <v>1351</v>
      </c>
      <c r="C67" s="378" t="s">
        <v>1350</v>
      </c>
      <c r="D67" s="337">
        <v>2.25</v>
      </c>
      <c r="E67" s="282">
        <v>15</v>
      </c>
      <c r="F67" s="282" t="s">
        <v>68</v>
      </c>
      <c r="G67" s="282">
        <v>1.5</v>
      </c>
      <c r="H67" s="278" t="s">
        <v>68</v>
      </c>
      <c r="I67" s="281" t="s">
        <v>1349</v>
      </c>
      <c r="J67" s="302">
        <f>(((E67/2*10^-3)^2-(6*10^-3)^2)*3.14)</f>
        <v>6.3584999999999995E-5</v>
      </c>
      <c r="K67" s="278">
        <v>0.34599999999999997</v>
      </c>
      <c r="L67" s="278">
        <v>7860</v>
      </c>
      <c r="M67" s="302">
        <v>1</v>
      </c>
      <c r="N67" s="387">
        <f>IF(J67="",D67*M67,D67*J67*K67*L67*M67)</f>
        <v>0.38907725084999994</v>
      </c>
      <c r="O67" s="143"/>
    </row>
    <row r="68" spans="1:15" x14ac:dyDescent="0.25">
      <c r="A68" s="98"/>
      <c r="B68" s="95"/>
      <c r="C68" s="95"/>
      <c r="D68" s="95"/>
      <c r="E68" s="95"/>
      <c r="F68" s="95"/>
      <c r="G68" s="95"/>
      <c r="H68" s="95"/>
      <c r="I68" s="95"/>
      <c r="J68" s="95"/>
      <c r="K68" s="95"/>
      <c r="L68" s="95"/>
      <c r="M68" s="654" t="s">
        <v>58</v>
      </c>
      <c r="N68" s="648">
        <f>SUM(N67:N67)</f>
        <v>0.38907725084999994</v>
      </c>
      <c r="O68" s="93"/>
    </row>
    <row r="69" spans="1:15" x14ac:dyDescent="0.25">
      <c r="A69" s="107"/>
      <c r="B69" s="94"/>
      <c r="C69" s="94"/>
      <c r="D69" s="94"/>
      <c r="E69" s="94"/>
      <c r="F69" s="94"/>
      <c r="G69" s="94"/>
      <c r="H69" s="94"/>
      <c r="I69" s="94"/>
      <c r="J69" s="94"/>
      <c r="K69" s="94"/>
      <c r="L69" s="94"/>
      <c r="M69" s="94"/>
      <c r="N69" s="94"/>
      <c r="O69" s="93"/>
    </row>
    <row r="70" spans="1:15" x14ac:dyDescent="0.25">
      <c r="A70" s="697" t="s">
        <v>67</v>
      </c>
      <c r="B70" s="656" t="s">
        <v>106</v>
      </c>
      <c r="C70" s="656" t="s">
        <v>66</v>
      </c>
      <c r="D70" s="656" t="s">
        <v>65</v>
      </c>
      <c r="E70" s="656" t="s">
        <v>64</v>
      </c>
      <c r="F70" s="656" t="s">
        <v>40</v>
      </c>
      <c r="G70" s="656" t="s">
        <v>105</v>
      </c>
      <c r="H70" s="656" t="s">
        <v>104</v>
      </c>
      <c r="I70" s="656" t="s">
        <v>58</v>
      </c>
      <c r="J70" s="95"/>
      <c r="K70" s="95"/>
      <c r="L70" s="95"/>
      <c r="M70" s="95"/>
      <c r="N70" s="95"/>
      <c r="O70" s="93"/>
    </row>
    <row r="71" spans="1:15" x14ac:dyDescent="0.25">
      <c r="A71" s="299">
        <v>10</v>
      </c>
      <c r="B71" s="309" t="s">
        <v>463</v>
      </c>
      <c r="C71" s="299" t="s">
        <v>1348</v>
      </c>
      <c r="D71" s="337">
        <v>0.15</v>
      </c>
      <c r="E71" s="309" t="s">
        <v>101</v>
      </c>
      <c r="F71" s="299">
        <v>2</v>
      </c>
      <c r="G71" s="299"/>
      <c r="H71" s="299"/>
      <c r="I71" s="431">
        <f>IF(H71="",D71*F71,D71*F71*H71)</f>
        <v>0.3</v>
      </c>
      <c r="J71" s="142"/>
      <c r="K71" s="142"/>
      <c r="L71" s="142"/>
      <c r="M71" s="142"/>
      <c r="N71" s="142"/>
      <c r="O71" s="120"/>
    </row>
    <row r="72" spans="1:15" x14ac:dyDescent="0.25">
      <c r="A72" s="282">
        <v>20</v>
      </c>
      <c r="B72" s="282" t="s">
        <v>1228</v>
      </c>
      <c r="C72" s="282" t="s">
        <v>1347</v>
      </c>
      <c r="D72" s="337">
        <v>0.35</v>
      </c>
      <c r="E72" s="282" t="s">
        <v>294</v>
      </c>
      <c r="F72" s="336">
        <v>2</v>
      </c>
      <c r="G72" s="300"/>
      <c r="H72" s="299"/>
      <c r="I72" s="431">
        <f>IF(H72="",D72*F72,D72*F72*H72)</f>
        <v>0.7</v>
      </c>
      <c r="J72" s="94"/>
      <c r="K72" s="94"/>
      <c r="L72" s="94"/>
      <c r="M72" s="94"/>
      <c r="N72" s="94"/>
      <c r="O72" s="93"/>
    </row>
    <row r="73" spans="1:15" x14ac:dyDescent="0.25">
      <c r="A73" s="98"/>
      <c r="B73" s="95"/>
      <c r="C73" s="95"/>
      <c r="D73" s="95"/>
      <c r="E73" s="95"/>
      <c r="F73" s="95"/>
      <c r="G73" s="95"/>
      <c r="H73" s="649" t="s">
        <v>58</v>
      </c>
      <c r="I73" s="648">
        <f>SUM(I71:I72)</f>
        <v>1</v>
      </c>
      <c r="J73" s="95"/>
      <c r="K73" s="95"/>
      <c r="L73" s="95"/>
      <c r="M73" s="95"/>
      <c r="N73" s="95"/>
      <c r="O73" s="93"/>
    </row>
    <row r="74" spans="1:15" x14ac:dyDescent="0.25">
      <c r="A74" s="107"/>
      <c r="B74" s="94"/>
      <c r="C74" s="94"/>
      <c r="D74" s="94"/>
      <c r="E74" s="94"/>
      <c r="F74" s="94"/>
      <c r="G74" s="94"/>
      <c r="H74" s="94"/>
      <c r="I74" s="699"/>
      <c r="J74" s="549"/>
      <c r="K74" s="94"/>
      <c r="L74" s="94"/>
      <c r="M74" s="94"/>
      <c r="N74" s="94"/>
      <c r="O74" s="93"/>
    </row>
    <row r="75" spans="1:15" ht="15.75" thickBot="1" x14ac:dyDescent="0.3">
      <c r="A75" s="92"/>
      <c r="B75" s="91"/>
      <c r="C75" s="91"/>
      <c r="D75" s="91"/>
      <c r="E75" s="91"/>
      <c r="F75" s="91"/>
      <c r="G75" s="91"/>
      <c r="H75" s="544"/>
      <c r="I75" s="544"/>
      <c r="J75" s="91"/>
      <c r="K75" s="91"/>
      <c r="L75" s="91"/>
      <c r="M75" s="91"/>
      <c r="N75" s="91"/>
      <c r="O75" s="90"/>
    </row>
    <row r="76" spans="1:15" ht="15.75" thickBot="1" x14ac:dyDescent="0.3">
      <c r="A76" s="94"/>
      <c r="B76" s="94"/>
      <c r="C76" s="94"/>
      <c r="D76" s="94"/>
      <c r="E76" s="94"/>
      <c r="F76" s="94"/>
      <c r="G76" s="94"/>
      <c r="H76" s="675"/>
      <c r="I76" s="675"/>
      <c r="J76" s="94"/>
      <c r="K76" s="94"/>
      <c r="L76" s="94"/>
      <c r="M76" s="94"/>
      <c r="N76" s="94"/>
      <c r="O76" s="94"/>
    </row>
    <row r="77" spans="1:15" x14ac:dyDescent="0.25">
      <c r="A77" s="141"/>
      <c r="B77" s="140"/>
      <c r="C77" s="140"/>
      <c r="D77" s="140"/>
      <c r="E77" s="140"/>
      <c r="F77" s="140"/>
      <c r="G77" s="140"/>
      <c r="H77" s="140"/>
      <c r="I77" s="140"/>
      <c r="J77" s="140"/>
      <c r="K77" s="140"/>
      <c r="L77" s="140"/>
      <c r="M77" s="140"/>
      <c r="N77" s="140"/>
      <c r="O77" s="139"/>
    </row>
    <row r="78" spans="1:15" x14ac:dyDescent="0.25">
      <c r="A78" s="659" t="s">
        <v>57</v>
      </c>
      <c r="B78" s="133" t="s">
        <v>523</v>
      </c>
      <c r="C78" s="94"/>
      <c r="D78" s="94"/>
      <c r="E78" s="94"/>
      <c r="F78" s="94"/>
      <c r="G78" s="94"/>
      <c r="H78" s="94"/>
      <c r="I78" s="94"/>
      <c r="J78" s="661" t="s">
        <v>51</v>
      </c>
      <c r="K78" s="138">
        <v>81</v>
      </c>
      <c r="L78" s="94"/>
      <c r="M78" s="659" t="s">
        <v>113</v>
      </c>
      <c r="N78" s="100">
        <f>ST_01004_m+ST_01004_p</f>
        <v>2.3493042693750001</v>
      </c>
      <c r="O78" s="93"/>
    </row>
    <row r="79" spans="1:15" x14ac:dyDescent="0.25">
      <c r="A79" s="659" t="s">
        <v>125</v>
      </c>
      <c r="B79" s="133" t="s">
        <v>6</v>
      </c>
      <c r="C79" s="94"/>
      <c r="D79" s="659" t="s">
        <v>122</v>
      </c>
      <c r="E79" s="270" t="s">
        <v>522</v>
      </c>
      <c r="F79" s="94"/>
      <c r="G79" s="94"/>
      <c r="H79" s="94"/>
      <c r="I79" s="94"/>
      <c r="J79" s="94"/>
      <c r="K79" s="94"/>
      <c r="L79" s="94"/>
      <c r="M79" s="659" t="s">
        <v>124</v>
      </c>
      <c r="N79" s="136">
        <v>2</v>
      </c>
      <c r="O79" s="93"/>
    </row>
    <row r="80" spans="1:15" x14ac:dyDescent="0.25">
      <c r="A80" s="659" t="s">
        <v>123</v>
      </c>
      <c r="B80" s="270" t="str">
        <f>'ST Assemblies'!B4</f>
        <v>Steering Column</v>
      </c>
      <c r="C80" s="94"/>
      <c r="D80" s="659" t="s">
        <v>119</v>
      </c>
      <c r="E80" s="94"/>
      <c r="F80" s="94"/>
      <c r="G80" s="94"/>
      <c r="H80" s="94"/>
      <c r="I80" s="94"/>
      <c r="J80" s="660" t="s">
        <v>122</v>
      </c>
      <c r="L80" s="94"/>
      <c r="M80" s="94"/>
      <c r="N80" s="94"/>
      <c r="O80" s="93"/>
    </row>
    <row r="81" spans="1:15" x14ac:dyDescent="0.25">
      <c r="A81" s="659" t="s">
        <v>114</v>
      </c>
      <c r="B81" s="135" t="s">
        <v>779</v>
      </c>
      <c r="C81" s="94"/>
      <c r="D81" s="659" t="s">
        <v>116</v>
      </c>
      <c r="E81" s="94"/>
      <c r="F81" s="94"/>
      <c r="G81" s="94"/>
      <c r="H81" s="94"/>
      <c r="I81" s="94"/>
      <c r="J81" s="660" t="s">
        <v>119</v>
      </c>
      <c r="K81" s="94"/>
      <c r="L81" s="94"/>
      <c r="M81" s="659" t="s">
        <v>118</v>
      </c>
      <c r="N81" s="100">
        <f>N79*N78</f>
        <v>4.6986085387500003</v>
      </c>
      <c r="O81" s="93"/>
    </row>
    <row r="82" spans="1:15" x14ac:dyDescent="0.25">
      <c r="A82" s="659" t="s">
        <v>121</v>
      </c>
      <c r="B82" s="269" t="s">
        <v>1346</v>
      </c>
      <c r="C82" s="94"/>
      <c r="D82" s="94"/>
      <c r="E82" s="94"/>
      <c r="F82" s="94"/>
      <c r="G82" s="94"/>
      <c r="H82" s="94"/>
      <c r="I82" s="94"/>
      <c r="J82" s="660" t="s">
        <v>116</v>
      </c>
      <c r="K82" s="94"/>
      <c r="L82" s="94"/>
      <c r="M82" s="94"/>
      <c r="N82" s="94"/>
      <c r="O82" s="93"/>
    </row>
    <row r="83" spans="1:15" x14ac:dyDescent="0.25">
      <c r="A83" s="659" t="s">
        <v>117</v>
      </c>
      <c r="B83" s="133" t="s">
        <v>23</v>
      </c>
      <c r="C83" s="94"/>
      <c r="D83" s="94"/>
      <c r="E83" s="94"/>
      <c r="F83" s="94"/>
      <c r="G83" s="94"/>
      <c r="H83" s="94"/>
      <c r="I83" s="94"/>
      <c r="J83" s="94"/>
      <c r="K83" s="94"/>
      <c r="L83" s="94"/>
      <c r="M83" s="94"/>
      <c r="N83" s="94"/>
      <c r="O83" s="93"/>
    </row>
    <row r="84" spans="1:15" x14ac:dyDescent="0.25">
      <c r="A84" s="659" t="s">
        <v>115</v>
      </c>
      <c r="B84" s="133" t="s">
        <v>1345</v>
      </c>
      <c r="C84" s="94"/>
      <c r="D84" s="94"/>
      <c r="E84" s="94"/>
      <c r="F84" s="94"/>
      <c r="G84" s="94"/>
      <c r="H84" s="94"/>
      <c r="I84" s="94"/>
      <c r="J84" s="94"/>
      <c r="K84" s="94"/>
      <c r="L84" s="94"/>
      <c r="M84" s="94"/>
      <c r="N84" s="94"/>
      <c r="O84" s="93"/>
    </row>
    <row r="85" spans="1:15" x14ac:dyDescent="0.25">
      <c r="A85" s="266"/>
      <c r="B85" s="265"/>
      <c r="C85" s="265"/>
      <c r="D85" s="265"/>
      <c r="E85" s="265"/>
      <c r="F85" s="94"/>
      <c r="G85" s="94"/>
      <c r="H85" s="94"/>
      <c r="I85" s="94"/>
      <c r="J85" s="94"/>
      <c r="K85" s="94"/>
      <c r="L85" s="94"/>
      <c r="M85" s="94"/>
      <c r="N85" s="94"/>
      <c r="O85" s="93"/>
    </row>
    <row r="86" spans="1:15" x14ac:dyDescent="0.25">
      <c r="A86" s="658" t="s">
        <v>67</v>
      </c>
      <c r="B86" s="657" t="s">
        <v>112</v>
      </c>
      <c r="C86" s="657" t="s">
        <v>66</v>
      </c>
      <c r="D86" s="657" t="s">
        <v>65</v>
      </c>
      <c r="E86" s="657" t="s">
        <v>81</v>
      </c>
      <c r="F86" s="656" t="s">
        <v>80</v>
      </c>
      <c r="G86" s="656" t="s">
        <v>79</v>
      </c>
      <c r="H86" s="656" t="s">
        <v>78</v>
      </c>
      <c r="I86" s="656" t="s">
        <v>111</v>
      </c>
      <c r="J86" s="656" t="s">
        <v>110</v>
      </c>
      <c r="K86" s="656" t="s">
        <v>109</v>
      </c>
      <c r="L86" s="656" t="s">
        <v>108</v>
      </c>
      <c r="M86" s="656" t="s">
        <v>40</v>
      </c>
      <c r="N86" s="656" t="s">
        <v>58</v>
      </c>
      <c r="O86" s="93"/>
    </row>
    <row r="87" spans="1:15" ht="30" x14ac:dyDescent="0.25">
      <c r="A87" s="282">
        <v>10</v>
      </c>
      <c r="B87" s="282" t="s">
        <v>519</v>
      </c>
      <c r="C87" s="282" t="s">
        <v>531</v>
      </c>
      <c r="D87" s="283">
        <v>2.25</v>
      </c>
      <c r="E87" s="282">
        <v>15</v>
      </c>
      <c r="F87" s="282" t="s">
        <v>68</v>
      </c>
      <c r="G87" s="282"/>
      <c r="H87" s="278"/>
      <c r="I87" s="281" t="s">
        <v>1344</v>
      </c>
      <c r="J87" s="280">
        <f>3.14*0.0075^2</f>
        <v>1.76625E-4</v>
      </c>
      <c r="K87" s="279">
        <v>5.0999999999999997E-2</v>
      </c>
      <c r="L87" s="278">
        <v>7860</v>
      </c>
      <c r="M87" s="284">
        <v>1</v>
      </c>
      <c r="N87" s="387">
        <f>IF(J87="",D87*M87,D87*J87*K87*L87*M87)</f>
        <v>0.159304269375</v>
      </c>
      <c r="O87" s="143"/>
    </row>
    <row r="88" spans="1:15" x14ac:dyDescent="0.25">
      <c r="A88" s="98"/>
      <c r="B88" s="95"/>
      <c r="C88" s="95"/>
      <c r="D88" s="95"/>
      <c r="E88" s="95"/>
      <c r="F88" s="95"/>
      <c r="G88" s="95"/>
      <c r="H88" s="95"/>
      <c r="I88" s="95"/>
      <c r="J88" s="95"/>
      <c r="K88" s="95"/>
      <c r="L88" s="95"/>
      <c r="M88" s="654" t="s">
        <v>58</v>
      </c>
      <c r="N88" s="648">
        <f>SUM(N87:N87)</f>
        <v>0.159304269375</v>
      </c>
      <c r="O88" s="93"/>
    </row>
    <row r="89" spans="1:15" x14ac:dyDescent="0.25">
      <c r="A89" s="107"/>
      <c r="B89" s="94"/>
      <c r="C89" s="94"/>
      <c r="D89" s="94"/>
      <c r="E89" s="94"/>
      <c r="F89" s="94"/>
      <c r="G89" s="94"/>
      <c r="H89" s="94"/>
      <c r="I89" s="94"/>
      <c r="J89" s="94"/>
      <c r="K89" s="94"/>
      <c r="L89" s="94"/>
      <c r="M89" s="94"/>
      <c r="N89" s="94"/>
      <c r="O89" s="93"/>
    </row>
    <row r="90" spans="1:15" x14ac:dyDescent="0.25">
      <c r="A90" s="697" t="s">
        <v>67</v>
      </c>
      <c r="B90" s="656" t="s">
        <v>106</v>
      </c>
      <c r="C90" s="656" t="s">
        <v>66</v>
      </c>
      <c r="D90" s="656" t="s">
        <v>65</v>
      </c>
      <c r="E90" s="656" t="s">
        <v>64</v>
      </c>
      <c r="F90" s="656" t="s">
        <v>40</v>
      </c>
      <c r="G90" s="656" t="s">
        <v>105</v>
      </c>
      <c r="H90" s="656" t="s">
        <v>104</v>
      </c>
      <c r="I90" s="656" t="s">
        <v>58</v>
      </c>
      <c r="J90" s="95"/>
      <c r="K90" s="95"/>
      <c r="L90" s="95"/>
      <c r="M90" s="95"/>
      <c r="N90" s="95"/>
      <c r="O90" s="93"/>
    </row>
    <row r="91" spans="1:15" ht="30" x14ac:dyDescent="0.25">
      <c r="A91" s="282">
        <v>10</v>
      </c>
      <c r="B91" s="696" t="s">
        <v>516</v>
      </c>
      <c r="C91" s="698" t="s">
        <v>528</v>
      </c>
      <c r="D91" s="690">
        <v>1.3</v>
      </c>
      <c r="E91" s="509" t="s">
        <v>64</v>
      </c>
      <c r="F91" s="509">
        <v>1</v>
      </c>
      <c r="G91" s="509"/>
      <c r="H91" s="509"/>
      <c r="I91" s="668">
        <f>IF(H91="",D91*F91,D91*F91*H91)</f>
        <v>1.3</v>
      </c>
      <c r="J91" s="142"/>
      <c r="K91" s="142"/>
      <c r="L91" s="142"/>
      <c r="M91" s="142"/>
      <c r="N91" s="142"/>
      <c r="O91" s="120"/>
    </row>
    <row r="92" spans="1:15" x14ac:dyDescent="0.25">
      <c r="A92" s="509">
        <v>20</v>
      </c>
      <c r="B92" s="698" t="s">
        <v>514</v>
      </c>
      <c r="C92" s="698" t="s">
        <v>1338</v>
      </c>
      <c r="D92" s="690">
        <v>0.04</v>
      </c>
      <c r="E92" s="509" t="s">
        <v>512</v>
      </c>
      <c r="F92" s="509">
        <v>1</v>
      </c>
      <c r="G92" s="510" t="s">
        <v>1271</v>
      </c>
      <c r="H92" s="510">
        <v>3</v>
      </c>
      <c r="I92" s="668">
        <f>IF(H92="",D92*F92,D92*F92*H92)</f>
        <v>0.12</v>
      </c>
      <c r="J92" s="94"/>
      <c r="K92" s="94"/>
      <c r="L92" s="94"/>
      <c r="M92" s="94"/>
      <c r="N92" s="94"/>
      <c r="O92" s="93"/>
    </row>
    <row r="93" spans="1:15" ht="30" x14ac:dyDescent="0.25">
      <c r="A93" s="509">
        <v>30</v>
      </c>
      <c r="B93" s="696" t="s">
        <v>822</v>
      </c>
      <c r="C93" s="376" t="s">
        <v>1336</v>
      </c>
      <c r="D93" s="283">
        <v>0.65</v>
      </c>
      <c r="E93" s="282" t="s">
        <v>64</v>
      </c>
      <c r="F93" s="282">
        <v>1</v>
      </c>
      <c r="G93" s="282"/>
      <c r="H93" s="282"/>
      <c r="I93" s="387">
        <f>IF(H93="",D93*F93,D93*F93*H93)</f>
        <v>0.65</v>
      </c>
      <c r="J93" s="99"/>
      <c r="K93" s="99"/>
      <c r="L93" s="99"/>
      <c r="M93" s="99"/>
      <c r="N93" s="99"/>
      <c r="O93" s="130"/>
    </row>
    <row r="94" spans="1:15" x14ac:dyDescent="0.25">
      <c r="A94" s="282">
        <v>40</v>
      </c>
      <c r="B94" s="285" t="s">
        <v>514</v>
      </c>
      <c r="C94" s="285" t="s">
        <v>1343</v>
      </c>
      <c r="D94" s="283">
        <v>0.04</v>
      </c>
      <c r="E94" s="282" t="s">
        <v>512</v>
      </c>
      <c r="F94" s="282">
        <v>1</v>
      </c>
      <c r="G94" s="299" t="s">
        <v>1271</v>
      </c>
      <c r="H94" s="299">
        <v>3</v>
      </c>
      <c r="I94" s="387">
        <f>IF(H94="",D94*F94,D94*F94*H94)</f>
        <v>0.12</v>
      </c>
      <c r="J94" s="94"/>
      <c r="K94" s="94"/>
      <c r="L94" s="94"/>
      <c r="M94" s="94"/>
      <c r="N94" s="94"/>
      <c r="O94" s="93"/>
    </row>
    <row r="95" spans="1:15" x14ac:dyDescent="0.25">
      <c r="A95" s="98"/>
      <c r="B95" s="95"/>
      <c r="C95" s="95"/>
      <c r="D95" s="95"/>
      <c r="E95" s="95"/>
      <c r="F95" s="95"/>
      <c r="G95" s="95"/>
      <c r="H95" s="649" t="s">
        <v>58</v>
      </c>
      <c r="I95" s="648">
        <f>SUM(I91:I94)</f>
        <v>2.19</v>
      </c>
      <c r="J95" s="95"/>
      <c r="K95" s="95"/>
      <c r="L95" s="95"/>
      <c r="M95" s="95"/>
      <c r="N95" s="95"/>
      <c r="O95" s="93"/>
    </row>
    <row r="96" spans="1:15" ht="15.75" thickBot="1" x14ac:dyDescent="0.3">
      <c r="A96" s="92"/>
      <c r="B96" s="91"/>
      <c r="C96" s="91"/>
      <c r="D96" s="91"/>
      <c r="E96" s="91"/>
      <c r="F96" s="91"/>
      <c r="G96" s="91"/>
      <c r="H96" s="544"/>
      <c r="I96" s="544"/>
      <c r="J96" s="91"/>
      <c r="K96" s="91"/>
      <c r="L96" s="91"/>
      <c r="M96" s="91"/>
      <c r="N96" s="91"/>
      <c r="O96" s="90"/>
    </row>
    <row r="97" spans="1:15" ht="15.75" thickBot="1" x14ac:dyDescent="0.3">
      <c r="A97" s="94"/>
      <c r="B97" s="94"/>
      <c r="C97" s="94"/>
      <c r="D97" s="94"/>
      <c r="E97" s="94"/>
      <c r="F97" s="94"/>
      <c r="G97" s="94"/>
      <c r="H97" s="675"/>
      <c r="I97" s="675"/>
      <c r="J97" s="94"/>
      <c r="K97" s="94"/>
      <c r="L97" s="94"/>
      <c r="M97" s="94"/>
      <c r="N97" s="94"/>
      <c r="O97" s="94"/>
    </row>
    <row r="98" spans="1:15" x14ac:dyDescent="0.25">
      <c r="A98" s="141"/>
      <c r="B98" s="140"/>
      <c r="C98" s="140"/>
      <c r="D98" s="140"/>
      <c r="E98" s="140"/>
      <c r="F98" s="140"/>
      <c r="G98" s="140"/>
      <c r="H98" s="140"/>
      <c r="I98" s="140"/>
      <c r="J98" s="140"/>
      <c r="K98" s="140"/>
      <c r="L98" s="140"/>
      <c r="M98" s="140"/>
      <c r="N98" s="140"/>
      <c r="O98" s="139"/>
    </row>
    <row r="99" spans="1:15" x14ac:dyDescent="0.25">
      <c r="A99" s="659" t="s">
        <v>57</v>
      </c>
      <c r="B99" s="133" t="s">
        <v>523</v>
      </c>
      <c r="C99" s="94"/>
      <c r="D99" s="94"/>
      <c r="E99" s="94"/>
      <c r="F99" s="94"/>
      <c r="G99" s="94"/>
      <c r="H99" s="94"/>
      <c r="I99" s="94"/>
      <c r="J99" s="661" t="s">
        <v>51</v>
      </c>
      <c r="K99" s="138">
        <v>81</v>
      </c>
      <c r="L99" s="94"/>
      <c r="M99" s="659" t="s">
        <v>113</v>
      </c>
      <c r="N99" s="100">
        <f>ST_01005_m+ST_01005_p</f>
        <v>4.8869019795000002</v>
      </c>
      <c r="O99" s="93"/>
    </row>
    <row r="100" spans="1:15" x14ac:dyDescent="0.25">
      <c r="A100" s="659" t="s">
        <v>125</v>
      </c>
      <c r="B100" s="133" t="s">
        <v>6</v>
      </c>
      <c r="C100" s="94"/>
      <c r="D100" s="659" t="s">
        <v>122</v>
      </c>
      <c r="E100" s="547" t="s">
        <v>522</v>
      </c>
      <c r="F100" s="94"/>
      <c r="G100" s="94"/>
      <c r="H100" s="94"/>
      <c r="I100" s="94"/>
      <c r="J100" s="94"/>
      <c r="K100" s="94"/>
      <c r="L100" s="94"/>
      <c r="M100" s="659" t="s">
        <v>124</v>
      </c>
      <c r="N100" s="136">
        <v>1</v>
      </c>
      <c r="O100" s="93"/>
    </row>
    <row r="101" spans="1:15" x14ac:dyDescent="0.25">
      <c r="A101" s="659" t="s">
        <v>123</v>
      </c>
      <c r="B101" s="270" t="str">
        <f>'ST Assemblies'!B4</f>
        <v>Steering Column</v>
      </c>
      <c r="C101" s="94"/>
      <c r="D101" s="659" t="s">
        <v>119</v>
      </c>
      <c r="E101" s="94"/>
      <c r="F101" s="94"/>
      <c r="G101" s="94"/>
      <c r="H101" s="94"/>
      <c r="I101" s="94"/>
      <c r="J101" s="660" t="s">
        <v>122</v>
      </c>
      <c r="K101" s="270" t="s">
        <v>522</v>
      </c>
      <c r="L101" s="94"/>
      <c r="M101" s="94"/>
      <c r="N101" s="94"/>
      <c r="O101" s="93"/>
    </row>
    <row r="102" spans="1:15" x14ac:dyDescent="0.25">
      <c r="A102" s="659" t="s">
        <v>114</v>
      </c>
      <c r="B102" s="135" t="s">
        <v>1342</v>
      </c>
      <c r="C102" s="94"/>
      <c r="D102" s="659" t="s">
        <v>116</v>
      </c>
      <c r="E102" s="94"/>
      <c r="F102" s="94"/>
      <c r="G102" s="94"/>
      <c r="H102" s="94"/>
      <c r="I102" s="94"/>
      <c r="J102" s="660" t="s">
        <v>119</v>
      </c>
      <c r="K102" s="94"/>
      <c r="L102" s="94"/>
      <c r="M102" s="659" t="s">
        <v>118</v>
      </c>
      <c r="N102" s="100">
        <f>N100*N99</f>
        <v>4.8869019795000002</v>
      </c>
      <c r="O102" s="93"/>
    </row>
    <row r="103" spans="1:15" x14ac:dyDescent="0.25">
      <c r="A103" s="659" t="s">
        <v>121</v>
      </c>
      <c r="B103" s="269" t="s">
        <v>1341</v>
      </c>
      <c r="C103" s="94"/>
      <c r="D103" s="94"/>
      <c r="E103" s="94"/>
      <c r="F103" s="94"/>
      <c r="G103" s="94"/>
      <c r="H103" s="94"/>
      <c r="I103" s="94"/>
      <c r="J103" s="660" t="s">
        <v>116</v>
      </c>
      <c r="K103" s="94"/>
      <c r="L103" s="94"/>
      <c r="M103" s="94"/>
      <c r="N103" s="94"/>
      <c r="O103" s="93"/>
    </row>
    <row r="104" spans="1:15" x14ac:dyDescent="0.25">
      <c r="A104" s="659" t="s">
        <v>117</v>
      </c>
      <c r="B104" s="133" t="s">
        <v>23</v>
      </c>
      <c r="C104" s="94"/>
      <c r="D104" s="94"/>
      <c r="E104" s="94"/>
      <c r="F104" s="94"/>
      <c r="G104" s="94"/>
      <c r="H104" s="94"/>
      <c r="I104" s="94"/>
      <c r="J104" s="94"/>
      <c r="K104" s="94"/>
      <c r="L104" s="94"/>
      <c r="M104" s="94"/>
      <c r="N104" s="94"/>
      <c r="O104" s="93"/>
    </row>
    <row r="105" spans="1:15" x14ac:dyDescent="0.25">
      <c r="A105" s="659" t="s">
        <v>115</v>
      </c>
      <c r="B105" s="133" t="s">
        <v>1340</v>
      </c>
      <c r="C105" s="94"/>
      <c r="D105" s="94"/>
      <c r="E105" s="94"/>
      <c r="F105" s="94"/>
      <c r="G105" s="94"/>
      <c r="H105" s="94"/>
      <c r="I105" s="94"/>
      <c r="J105" s="94"/>
      <c r="K105" s="94"/>
      <c r="L105" s="94"/>
      <c r="M105" s="94"/>
      <c r="N105" s="94"/>
      <c r="O105" s="93"/>
    </row>
    <row r="106" spans="1:15" x14ac:dyDescent="0.25">
      <c r="A106" s="266"/>
      <c r="B106" s="265"/>
      <c r="C106" s="265"/>
      <c r="D106" s="265"/>
      <c r="E106" s="265"/>
      <c r="F106" s="94"/>
      <c r="G106" s="94"/>
      <c r="H106" s="94"/>
      <c r="I106" s="94"/>
      <c r="J106" s="94"/>
      <c r="K106" s="94"/>
      <c r="L106" s="94"/>
      <c r="M106" s="94"/>
      <c r="N106" s="94"/>
      <c r="O106" s="93"/>
    </row>
    <row r="107" spans="1:15" x14ac:dyDescent="0.25">
      <c r="A107" s="658" t="s">
        <v>67</v>
      </c>
      <c r="B107" s="657" t="s">
        <v>112</v>
      </c>
      <c r="C107" s="657" t="s">
        <v>66</v>
      </c>
      <c r="D107" s="657" t="s">
        <v>65</v>
      </c>
      <c r="E107" s="657" t="s">
        <v>81</v>
      </c>
      <c r="F107" s="656" t="s">
        <v>80</v>
      </c>
      <c r="G107" s="656" t="s">
        <v>79</v>
      </c>
      <c r="H107" s="656" t="s">
        <v>78</v>
      </c>
      <c r="I107" s="656" t="s">
        <v>111</v>
      </c>
      <c r="J107" s="656" t="s">
        <v>110</v>
      </c>
      <c r="K107" s="656" t="s">
        <v>109</v>
      </c>
      <c r="L107" s="656" t="s">
        <v>108</v>
      </c>
      <c r="M107" s="656" t="s">
        <v>40</v>
      </c>
      <c r="N107" s="656" t="s">
        <v>58</v>
      </c>
      <c r="O107" s="93"/>
    </row>
    <row r="108" spans="1:15" ht="30" x14ac:dyDescent="0.25">
      <c r="A108" s="282">
        <v>10</v>
      </c>
      <c r="B108" s="282" t="s">
        <v>519</v>
      </c>
      <c r="C108" s="282" t="s">
        <v>531</v>
      </c>
      <c r="D108" s="283">
        <v>2.25</v>
      </c>
      <c r="E108" s="282">
        <v>21</v>
      </c>
      <c r="F108" s="282" t="s">
        <v>68</v>
      </c>
      <c r="G108" s="282"/>
      <c r="H108" s="278"/>
      <c r="I108" s="281" t="s">
        <v>1339</v>
      </c>
      <c r="J108" s="280">
        <f>3.14*0.021^2</f>
        <v>1.3847400000000002E-3</v>
      </c>
      <c r="K108" s="279">
        <v>5.5E-2</v>
      </c>
      <c r="L108" s="278">
        <v>7860</v>
      </c>
      <c r="M108" s="284">
        <v>1</v>
      </c>
      <c r="N108" s="387">
        <f>IF(J108="",D108*M108,D108*J108*K108*L108*M108)</f>
        <v>1.3469019795000003</v>
      </c>
      <c r="O108" s="143"/>
    </row>
    <row r="109" spans="1:15" x14ac:dyDescent="0.25">
      <c r="A109" s="98"/>
      <c r="B109" s="95"/>
      <c r="C109" s="95"/>
      <c r="D109" s="95"/>
      <c r="E109" s="95"/>
      <c r="F109" s="95"/>
      <c r="G109" s="95"/>
      <c r="H109" s="95"/>
      <c r="I109" s="95"/>
      <c r="J109" s="95"/>
      <c r="K109" s="95"/>
      <c r="L109" s="95"/>
      <c r="M109" s="654" t="s">
        <v>58</v>
      </c>
      <c r="N109" s="648">
        <f>SUM(N108:N108)</f>
        <v>1.3469019795000003</v>
      </c>
      <c r="O109" s="93"/>
    </row>
    <row r="110" spans="1:15" x14ac:dyDescent="0.25">
      <c r="A110" s="107"/>
      <c r="B110" s="94"/>
      <c r="C110" s="94"/>
      <c r="D110" s="94"/>
      <c r="E110" s="94"/>
      <c r="F110" s="94"/>
      <c r="G110" s="94"/>
      <c r="H110" s="94"/>
      <c r="I110" s="94"/>
      <c r="J110" s="94"/>
      <c r="K110" s="94"/>
      <c r="L110" s="94"/>
      <c r="M110" s="94"/>
      <c r="N110" s="94"/>
      <c r="O110" s="93"/>
    </row>
    <row r="111" spans="1:15" x14ac:dyDescent="0.25">
      <c r="A111" s="697" t="s">
        <v>67</v>
      </c>
      <c r="B111" s="656" t="s">
        <v>106</v>
      </c>
      <c r="C111" s="656" t="s">
        <v>66</v>
      </c>
      <c r="D111" s="656" t="s">
        <v>65</v>
      </c>
      <c r="E111" s="656" t="s">
        <v>64</v>
      </c>
      <c r="F111" s="656" t="s">
        <v>40</v>
      </c>
      <c r="G111" s="656" t="s">
        <v>105</v>
      </c>
      <c r="H111" s="656" t="s">
        <v>104</v>
      </c>
      <c r="I111" s="656" t="s">
        <v>58</v>
      </c>
      <c r="J111" s="95"/>
      <c r="K111" s="95"/>
      <c r="L111" s="95"/>
      <c r="M111" s="95"/>
      <c r="N111" s="95"/>
      <c r="O111" s="93"/>
    </row>
    <row r="112" spans="1:15" ht="30" x14ac:dyDescent="0.25">
      <c r="A112" s="666">
        <v>10</v>
      </c>
      <c r="B112" s="696" t="s">
        <v>516</v>
      </c>
      <c r="C112" s="695" t="s">
        <v>528</v>
      </c>
      <c r="D112" s="694">
        <v>1.3</v>
      </c>
      <c r="E112" s="666" t="s">
        <v>64</v>
      </c>
      <c r="F112" s="666">
        <v>1</v>
      </c>
      <c r="G112" s="666"/>
      <c r="H112" s="666"/>
      <c r="I112" s="693">
        <f t="shared" ref="I112:I117" si="2">IF(H112="",D112*F112,D112*F112*H112)</f>
        <v>1.3</v>
      </c>
      <c r="J112" s="142"/>
      <c r="K112" s="142"/>
      <c r="L112" s="142"/>
      <c r="M112" s="142"/>
      <c r="N112" s="142"/>
      <c r="O112" s="120"/>
    </row>
    <row r="113" spans="1:15" x14ac:dyDescent="0.25">
      <c r="A113" s="666">
        <v>20</v>
      </c>
      <c r="B113" s="695" t="s">
        <v>514</v>
      </c>
      <c r="C113" s="695" t="s">
        <v>1338</v>
      </c>
      <c r="D113" s="694">
        <v>0.04</v>
      </c>
      <c r="E113" s="666" t="s">
        <v>512</v>
      </c>
      <c r="F113" s="666">
        <v>1</v>
      </c>
      <c r="G113" s="510" t="s">
        <v>1271</v>
      </c>
      <c r="H113" s="510">
        <v>3</v>
      </c>
      <c r="I113" s="693">
        <f t="shared" si="2"/>
        <v>0.12</v>
      </c>
      <c r="J113" s="94"/>
      <c r="K113" s="94"/>
      <c r="L113" s="94"/>
      <c r="M113" s="94"/>
      <c r="N113" s="94"/>
      <c r="O113" s="93"/>
    </row>
    <row r="114" spans="1:15" ht="30" x14ac:dyDescent="0.25">
      <c r="A114" s="666">
        <v>30</v>
      </c>
      <c r="B114" s="696" t="s">
        <v>822</v>
      </c>
      <c r="C114" s="695" t="s">
        <v>1336</v>
      </c>
      <c r="D114" s="694">
        <v>0.65</v>
      </c>
      <c r="E114" s="666" t="s">
        <v>64</v>
      </c>
      <c r="F114" s="666">
        <v>1</v>
      </c>
      <c r="G114" s="666"/>
      <c r="H114" s="666"/>
      <c r="I114" s="693">
        <f t="shared" si="2"/>
        <v>0.65</v>
      </c>
      <c r="J114" s="99"/>
      <c r="K114" s="99"/>
      <c r="L114" s="99"/>
      <c r="M114" s="99"/>
      <c r="N114" s="99"/>
      <c r="O114" s="130"/>
    </row>
    <row r="115" spans="1:15" x14ac:dyDescent="0.25">
      <c r="A115" s="666">
        <v>40</v>
      </c>
      <c r="B115" s="695" t="s">
        <v>514</v>
      </c>
      <c r="C115" s="695" t="s">
        <v>1337</v>
      </c>
      <c r="D115" s="694">
        <v>0.04</v>
      </c>
      <c r="E115" s="666" t="s">
        <v>512</v>
      </c>
      <c r="F115" s="666">
        <v>1</v>
      </c>
      <c r="G115" s="510" t="s">
        <v>1271</v>
      </c>
      <c r="H115" s="510">
        <v>3</v>
      </c>
      <c r="I115" s="693">
        <f t="shared" si="2"/>
        <v>0.12</v>
      </c>
      <c r="J115" s="94"/>
      <c r="K115" s="94"/>
      <c r="L115" s="94"/>
      <c r="M115" s="94"/>
      <c r="N115" s="94"/>
      <c r="O115" s="93"/>
    </row>
    <row r="116" spans="1:15" ht="30" x14ac:dyDescent="0.25">
      <c r="A116" s="666">
        <v>50</v>
      </c>
      <c r="B116" s="696" t="s">
        <v>822</v>
      </c>
      <c r="C116" s="695" t="s">
        <v>1336</v>
      </c>
      <c r="D116" s="694">
        <v>0.65</v>
      </c>
      <c r="E116" s="666" t="s">
        <v>64</v>
      </c>
      <c r="F116" s="666">
        <v>1</v>
      </c>
      <c r="G116" s="666"/>
      <c r="H116" s="666"/>
      <c r="I116" s="693">
        <f t="shared" si="2"/>
        <v>0.65</v>
      </c>
      <c r="J116" s="94"/>
      <c r="K116" s="94"/>
      <c r="L116" s="94"/>
      <c r="M116" s="94"/>
      <c r="N116" s="94"/>
      <c r="O116" s="93"/>
    </row>
    <row r="117" spans="1:15" x14ac:dyDescent="0.25">
      <c r="A117" s="666">
        <v>60</v>
      </c>
      <c r="B117" s="695" t="s">
        <v>1228</v>
      </c>
      <c r="C117" s="695" t="s">
        <v>1335</v>
      </c>
      <c r="D117" s="694">
        <v>0.35</v>
      </c>
      <c r="E117" s="666" t="s">
        <v>294</v>
      </c>
      <c r="F117" s="666">
        <v>2</v>
      </c>
      <c r="G117" s="666"/>
      <c r="H117" s="666"/>
      <c r="I117" s="693">
        <f t="shared" si="2"/>
        <v>0.7</v>
      </c>
      <c r="J117" s="94"/>
      <c r="K117" s="94"/>
      <c r="L117" s="94"/>
      <c r="M117" s="94"/>
      <c r="N117" s="94"/>
      <c r="O117" s="93"/>
    </row>
    <row r="118" spans="1:15" x14ac:dyDescent="0.25">
      <c r="A118" s="98"/>
      <c r="B118" s="95"/>
      <c r="C118" s="95"/>
      <c r="D118" s="95"/>
      <c r="E118" s="95"/>
      <c r="F118" s="95"/>
      <c r="G118" s="95"/>
      <c r="H118" s="649" t="s">
        <v>58</v>
      </c>
      <c r="I118" s="648">
        <f>SUM(I112:I117)</f>
        <v>3.54</v>
      </c>
      <c r="J118" s="95"/>
      <c r="K118" s="95"/>
      <c r="L118" s="95"/>
      <c r="M118" s="95"/>
      <c r="N118" s="95"/>
      <c r="O118" s="93"/>
    </row>
    <row r="119" spans="1:15" ht="15.75" thickBot="1" x14ac:dyDescent="0.3">
      <c r="A119" s="92"/>
      <c r="B119" s="91"/>
      <c r="C119" s="91"/>
      <c r="D119" s="91"/>
      <c r="E119" s="91"/>
      <c r="F119" s="91"/>
      <c r="G119" s="91"/>
      <c r="H119" s="544"/>
      <c r="I119" s="544"/>
      <c r="J119" s="91"/>
      <c r="K119" s="91"/>
      <c r="L119" s="91"/>
      <c r="M119" s="91"/>
      <c r="N119" s="91"/>
      <c r="O119" s="90"/>
    </row>
    <row r="120" spans="1:15" x14ac:dyDescent="0.25">
      <c r="A120" s="94"/>
      <c r="B120" s="94"/>
      <c r="C120" s="94"/>
      <c r="D120" s="94"/>
      <c r="E120" s="94"/>
      <c r="F120" s="94"/>
      <c r="G120" s="94"/>
      <c r="H120" s="675"/>
      <c r="I120" s="675"/>
      <c r="J120" s="94"/>
      <c r="K120" s="94"/>
      <c r="L120" s="94"/>
      <c r="M120" s="94"/>
      <c r="N120" s="94"/>
      <c r="O120" s="94"/>
    </row>
    <row r="121" spans="1:15" ht="15.75" thickBot="1" x14ac:dyDescent="0.3"/>
    <row r="122" spans="1:15" x14ac:dyDescent="0.25">
      <c r="A122" s="141"/>
      <c r="B122" s="140"/>
      <c r="C122" s="140"/>
      <c r="D122" s="140"/>
      <c r="E122" s="140"/>
      <c r="F122" s="140"/>
      <c r="G122" s="140"/>
      <c r="H122" s="140"/>
      <c r="I122" s="140"/>
      <c r="J122" s="140"/>
      <c r="K122" s="140"/>
      <c r="L122" s="140"/>
      <c r="M122" s="140"/>
      <c r="N122" s="140"/>
      <c r="O122" s="139"/>
    </row>
    <row r="123" spans="1:15" x14ac:dyDescent="0.25">
      <c r="A123" s="659" t="s">
        <v>57</v>
      </c>
      <c r="B123" s="133" t="s">
        <v>523</v>
      </c>
      <c r="C123" s="94"/>
      <c r="D123" s="94"/>
      <c r="E123" s="94"/>
      <c r="F123" s="94"/>
      <c r="G123" s="94"/>
      <c r="H123" s="94"/>
      <c r="I123" s="94"/>
      <c r="J123" s="661" t="s">
        <v>51</v>
      </c>
      <c r="K123" s="138">
        <v>81</v>
      </c>
      <c r="L123" s="94"/>
      <c r="M123" s="659" t="s">
        <v>113</v>
      </c>
      <c r="N123" s="100">
        <f>ST_02001_m+ST_02001_p</f>
        <v>3.6159270000000001</v>
      </c>
      <c r="O123" s="93"/>
    </row>
    <row r="124" spans="1:15" x14ac:dyDescent="0.25">
      <c r="A124" s="659" t="s">
        <v>125</v>
      </c>
      <c r="B124" s="133" t="s">
        <v>6</v>
      </c>
      <c r="C124" s="94"/>
      <c r="D124" s="659" t="s">
        <v>122</v>
      </c>
      <c r="E124" s="94"/>
      <c r="F124" s="94"/>
      <c r="G124" s="94"/>
      <c r="H124" s="94"/>
      <c r="I124" s="94"/>
      <c r="J124" s="94"/>
      <c r="K124" s="94"/>
      <c r="L124" s="94"/>
      <c r="M124" s="659" t="s">
        <v>124</v>
      </c>
      <c r="N124" s="136">
        <v>1</v>
      </c>
      <c r="O124" s="93"/>
    </row>
    <row r="125" spans="1:15" x14ac:dyDescent="0.25">
      <c r="A125" s="659" t="s">
        <v>123</v>
      </c>
      <c r="B125" s="270" t="str">
        <f>'ST Assemblies'!B49</f>
        <v>Steering Rack assembly</v>
      </c>
      <c r="C125" s="94"/>
      <c r="D125" s="659" t="s">
        <v>119</v>
      </c>
      <c r="E125" s="94"/>
      <c r="F125" s="94"/>
      <c r="G125" s="94"/>
      <c r="H125" s="94"/>
      <c r="I125" s="94"/>
      <c r="J125" s="660" t="s">
        <v>122</v>
      </c>
      <c r="K125" s="94"/>
      <c r="L125" s="94"/>
      <c r="M125" s="94"/>
      <c r="N125" s="94"/>
      <c r="O125" s="93"/>
    </row>
    <row r="126" spans="1:15" x14ac:dyDescent="0.25">
      <c r="A126" s="659" t="s">
        <v>114</v>
      </c>
      <c r="B126" s="682" t="s">
        <v>1334</v>
      </c>
      <c r="C126" s="94"/>
      <c r="D126" s="659" t="s">
        <v>116</v>
      </c>
      <c r="E126" s="94"/>
      <c r="F126" s="94"/>
      <c r="G126" s="94"/>
      <c r="H126" s="94"/>
      <c r="I126" s="94"/>
      <c r="J126" s="660" t="s">
        <v>119</v>
      </c>
      <c r="K126" s="94"/>
      <c r="L126" s="94"/>
      <c r="M126" s="659" t="s">
        <v>118</v>
      </c>
      <c r="N126" s="100">
        <f>N124*N123</f>
        <v>3.6159270000000001</v>
      </c>
      <c r="O126" s="93"/>
    </row>
    <row r="127" spans="1:15" x14ac:dyDescent="0.25">
      <c r="A127" s="659" t="s">
        <v>121</v>
      </c>
      <c r="B127" s="269" t="s">
        <v>1333</v>
      </c>
      <c r="C127" s="94"/>
      <c r="D127" s="94"/>
      <c r="E127" s="94"/>
      <c r="F127" s="94"/>
      <c r="G127" s="94"/>
      <c r="H127" s="94"/>
      <c r="I127" s="94"/>
      <c r="J127" s="660" t="s">
        <v>116</v>
      </c>
      <c r="K127" s="94"/>
      <c r="L127" s="94"/>
      <c r="M127" s="94"/>
      <c r="N127" s="94"/>
      <c r="O127" s="93"/>
    </row>
    <row r="128" spans="1:15" x14ac:dyDescent="0.25">
      <c r="A128" s="659" t="s">
        <v>117</v>
      </c>
      <c r="B128" s="133" t="s">
        <v>23</v>
      </c>
      <c r="C128" s="94"/>
      <c r="D128" s="94"/>
      <c r="E128" s="94"/>
      <c r="F128" s="94"/>
      <c r="G128" s="94"/>
      <c r="H128" s="94"/>
      <c r="I128" s="94"/>
      <c r="J128" s="94"/>
      <c r="K128" s="94"/>
      <c r="L128" s="94"/>
      <c r="M128" s="94"/>
      <c r="N128" s="94"/>
      <c r="O128" s="93"/>
    </row>
    <row r="129" spans="1:15" x14ac:dyDescent="0.25">
      <c r="A129" s="659" t="s">
        <v>115</v>
      </c>
      <c r="B129" s="133" t="s">
        <v>1287</v>
      </c>
      <c r="C129" s="94"/>
      <c r="D129" s="94"/>
      <c r="E129" s="94"/>
      <c r="F129" s="94"/>
      <c r="G129" s="94"/>
      <c r="H129" s="94"/>
      <c r="I129" s="94"/>
      <c r="J129" s="94"/>
      <c r="K129" s="94"/>
      <c r="L129" s="94"/>
      <c r="M129" s="94"/>
      <c r="N129" s="94"/>
      <c r="O129" s="93"/>
    </row>
    <row r="130" spans="1:15" x14ac:dyDescent="0.25">
      <c r="A130" s="266"/>
      <c r="B130" s="265"/>
      <c r="C130" s="265"/>
      <c r="D130" s="265"/>
      <c r="E130" s="265"/>
      <c r="F130" s="94"/>
      <c r="G130" s="94"/>
      <c r="H130" s="94"/>
      <c r="I130" s="94"/>
      <c r="J130" s="94"/>
      <c r="K130" s="94"/>
      <c r="L130" s="94"/>
      <c r="M130" s="94"/>
      <c r="N130" s="94"/>
      <c r="O130" s="93"/>
    </row>
    <row r="131" spans="1:15" x14ac:dyDescent="0.25">
      <c r="A131" s="658" t="s">
        <v>67</v>
      </c>
      <c r="B131" s="657" t="s">
        <v>112</v>
      </c>
      <c r="C131" s="657" t="s">
        <v>66</v>
      </c>
      <c r="D131" s="657" t="s">
        <v>65</v>
      </c>
      <c r="E131" s="657" t="s">
        <v>81</v>
      </c>
      <c r="F131" s="652" t="s">
        <v>80</v>
      </c>
      <c r="G131" s="652" t="s">
        <v>79</v>
      </c>
      <c r="H131" s="652" t="s">
        <v>78</v>
      </c>
      <c r="I131" s="652" t="s">
        <v>111</v>
      </c>
      <c r="J131" s="652" t="s">
        <v>110</v>
      </c>
      <c r="K131" s="652" t="s">
        <v>109</v>
      </c>
      <c r="L131" s="652" t="s">
        <v>108</v>
      </c>
      <c r="M131" s="652" t="s">
        <v>40</v>
      </c>
      <c r="N131" s="652" t="s">
        <v>58</v>
      </c>
      <c r="O131" s="93"/>
    </row>
    <row r="132" spans="1:15" ht="30" x14ac:dyDescent="0.25">
      <c r="A132" s="509">
        <v>10</v>
      </c>
      <c r="B132" s="673" t="s">
        <v>729</v>
      </c>
      <c r="C132" s="681" t="s">
        <v>1332</v>
      </c>
      <c r="D132" s="665">
        <v>2.25</v>
      </c>
      <c r="E132" s="509">
        <v>20</v>
      </c>
      <c r="F132" s="509" t="s">
        <v>68</v>
      </c>
      <c r="G132" s="509"/>
      <c r="H132" s="670"/>
      <c r="I132" s="671" t="s">
        <v>1331</v>
      </c>
      <c r="J132" s="669">
        <f>((E132/2*10^-3)^2)*3.14</f>
        <v>3.1400000000000004E-4</v>
      </c>
      <c r="K132" s="670">
        <v>0.3</v>
      </c>
      <c r="L132" s="670">
        <v>7860</v>
      </c>
      <c r="M132" s="669">
        <v>1</v>
      </c>
      <c r="N132" s="668">
        <f>IF(J132="",D132*M132,D132*J132*K132*L132*M132)</f>
        <v>1.6659270000000002</v>
      </c>
      <c r="O132" s="143"/>
    </row>
    <row r="133" spans="1:15" x14ac:dyDescent="0.25">
      <c r="A133" s="98"/>
      <c r="B133" s="95"/>
      <c r="C133" s="95"/>
      <c r="D133" s="95"/>
      <c r="E133" s="95"/>
      <c r="F133" s="95"/>
      <c r="G133" s="95"/>
      <c r="H133" s="95"/>
      <c r="I133" s="95"/>
      <c r="J133" s="95"/>
      <c r="K133" s="95"/>
      <c r="L133" s="95"/>
      <c r="M133" s="667" t="s">
        <v>58</v>
      </c>
      <c r="N133" s="648">
        <f>SUM(N132:N132)</f>
        <v>1.6659270000000002</v>
      </c>
      <c r="O133" s="93"/>
    </row>
    <row r="134" spans="1:15" x14ac:dyDescent="0.25">
      <c r="A134" s="678"/>
      <c r="B134" s="549"/>
      <c r="C134" s="549"/>
      <c r="D134" s="549"/>
      <c r="E134" s="549"/>
      <c r="F134" s="549"/>
      <c r="G134" s="549"/>
      <c r="H134" s="549"/>
      <c r="I134" s="549"/>
      <c r="J134" s="94"/>
      <c r="K134" s="94"/>
      <c r="L134" s="94"/>
      <c r="M134" s="94"/>
      <c r="N134" s="94"/>
      <c r="O134" s="93"/>
    </row>
    <row r="135" spans="1:15" x14ac:dyDescent="0.25">
      <c r="A135" s="653" t="s">
        <v>67</v>
      </c>
      <c r="B135" s="652" t="s">
        <v>106</v>
      </c>
      <c r="C135" s="652" t="s">
        <v>66</v>
      </c>
      <c r="D135" s="652" t="s">
        <v>65</v>
      </c>
      <c r="E135" s="652" t="s">
        <v>64</v>
      </c>
      <c r="F135" s="652" t="s">
        <v>40</v>
      </c>
      <c r="G135" s="652" t="s">
        <v>105</v>
      </c>
      <c r="H135" s="652" t="s">
        <v>104</v>
      </c>
      <c r="I135" s="652" t="s">
        <v>58</v>
      </c>
      <c r="J135" s="95"/>
      <c r="K135" s="95"/>
      <c r="L135" s="95"/>
      <c r="M135" s="95"/>
      <c r="N135" s="95"/>
      <c r="O135" s="93"/>
    </row>
    <row r="136" spans="1:15" x14ac:dyDescent="0.25">
      <c r="A136" s="510">
        <v>10</v>
      </c>
      <c r="B136" s="651" t="s">
        <v>1228</v>
      </c>
      <c r="C136" s="510" t="s">
        <v>1327</v>
      </c>
      <c r="D136" s="665">
        <v>0.35</v>
      </c>
      <c r="E136" s="651" t="s">
        <v>294</v>
      </c>
      <c r="F136" s="510">
        <v>2</v>
      </c>
      <c r="G136" s="510"/>
      <c r="H136" s="510">
        <v>1</v>
      </c>
      <c r="I136" s="662">
        <f>IF(H136="",D136*F136,D136*F136*H136)</f>
        <v>0.7</v>
      </c>
      <c r="J136" s="142"/>
      <c r="K136" s="142"/>
      <c r="L136" s="142"/>
      <c r="M136" s="142"/>
      <c r="N136" s="142"/>
      <c r="O136" s="120"/>
    </row>
    <row r="137" spans="1:15" x14ac:dyDescent="0.25">
      <c r="A137" s="509">
        <v>20</v>
      </c>
      <c r="B137" s="509" t="s">
        <v>577</v>
      </c>
      <c r="C137" s="509" t="s">
        <v>1325</v>
      </c>
      <c r="D137" s="665">
        <v>0.5</v>
      </c>
      <c r="E137" s="509" t="s">
        <v>101</v>
      </c>
      <c r="F137" s="664">
        <v>2.5</v>
      </c>
      <c r="G137" s="663"/>
      <c r="H137" s="510"/>
      <c r="I137" s="662">
        <f>IF(H137="",D137*F137,D137*F137*H137)</f>
        <v>1.25</v>
      </c>
      <c r="J137" s="94"/>
      <c r="K137" s="94"/>
      <c r="L137" s="94"/>
      <c r="M137" s="94"/>
      <c r="N137" s="94"/>
      <c r="O137" s="93"/>
    </row>
    <row r="138" spans="1:15" x14ac:dyDescent="0.25">
      <c r="A138" s="98"/>
      <c r="B138" s="95"/>
      <c r="C138" s="95"/>
      <c r="D138" s="95"/>
      <c r="E138" s="95"/>
      <c r="F138" s="95"/>
      <c r="G138" s="95"/>
      <c r="H138" s="649" t="s">
        <v>58</v>
      </c>
      <c r="I138" s="648">
        <f>SUM(I136:I137)</f>
        <v>1.95</v>
      </c>
      <c r="J138" s="95"/>
      <c r="K138" s="95"/>
      <c r="L138" s="95"/>
      <c r="M138" s="95"/>
      <c r="N138" s="95"/>
      <c r="O138" s="93"/>
    </row>
    <row r="139" spans="1:15" x14ac:dyDescent="0.25">
      <c r="A139" s="107"/>
      <c r="B139" s="94"/>
      <c r="C139" s="94"/>
      <c r="D139" s="94"/>
      <c r="E139" s="94"/>
      <c r="F139" s="94"/>
      <c r="G139" s="94"/>
      <c r="H139" s="675"/>
      <c r="I139" s="674"/>
      <c r="J139" s="94"/>
      <c r="K139" s="94"/>
      <c r="L139" s="94"/>
      <c r="M139" s="94"/>
      <c r="N139" s="94"/>
      <c r="O139" s="93"/>
    </row>
    <row r="140" spans="1:15" ht="15.75" thickBot="1" x14ac:dyDescent="0.3">
      <c r="A140" s="92"/>
      <c r="B140" s="91"/>
      <c r="C140" s="91"/>
      <c r="D140" s="91"/>
      <c r="E140" s="91"/>
      <c r="F140" s="91"/>
      <c r="G140" s="91"/>
      <c r="H140" s="91"/>
      <c r="I140" s="91"/>
      <c r="J140" s="91"/>
      <c r="K140" s="91"/>
      <c r="L140" s="91"/>
      <c r="M140" s="91"/>
      <c r="N140" s="91"/>
      <c r="O140" s="90"/>
    </row>
    <row r="141" spans="1:15" ht="15.75" thickBot="1" x14ac:dyDescent="0.3"/>
    <row r="142" spans="1:15" x14ac:dyDescent="0.25">
      <c r="A142" s="141"/>
      <c r="B142" s="140"/>
      <c r="C142" s="140"/>
      <c r="D142" s="140"/>
      <c r="E142" s="140"/>
      <c r="F142" s="140"/>
      <c r="G142" s="140"/>
      <c r="H142" s="140"/>
      <c r="I142" s="140"/>
      <c r="J142" s="272"/>
      <c r="K142" s="140"/>
      <c r="L142" s="140"/>
      <c r="M142" s="140"/>
      <c r="N142" s="140"/>
      <c r="O142" s="139"/>
    </row>
    <row r="143" spans="1:15" x14ac:dyDescent="0.25">
      <c r="A143" s="659" t="s">
        <v>57</v>
      </c>
      <c r="B143" s="133" t="s">
        <v>523</v>
      </c>
      <c r="C143" s="94"/>
      <c r="D143" s="94"/>
      <c r="E143" s="94"/>
      <c r="F143" s="94"/>
      <c r="G143" s="94"/>
      <c r="H143" s="94"/>
      <c r="I143" s="94"/>
      <c r="J143" s="661" t="s">
        <v>51</v>
      </c>
      <c r="K143" s="138">
        <v>81</v>
      </c>
      <c r="L143" s="94"/>
      <c r="M143" s="659" t="s">
        <v>113</v>
      </c>
      <c r="N143" s="100">
        <f>ST_02002_m+ST_02002_p</f>
        <v>10.285340625000002</v>
      </c>
      <c r="O143" s="93"/>
    </row>
    <row r="144" spans="1:15" x14ac:dyDescent="0.25">
      <c r="A144" s="659" t="s">
        <v>125</v>
      </c>
      <c r="B144" s="133" t="s">
        <v>6</v>
      </c>
      <c r="C144" s="94"/>
      <c r="D144" s="659" t="s">
        <v>122</v>
      </c>
      <c r="E144" s="94"/>
      <c r="F144" s="94"/>
      <c r="G144" s="94"/>
      <c r="H144" s="94"/>
      <c r="I144" s="94"/>
      <c r="J144" s="94"/>
      <c r="K144" s="94"/>
      <c r="L144" s="94"/>
      <c r="M144" s="659" t="s">
        <v>124</v>
      </c>
      <c r="N144" s="136">
        <v>1</v>
      </c>
      <c r="O144" s="93"/>
    </row>
    <row r="145" spans="1:15" x14ac:dyDescent="0.25">
      <c r="A145" s="659" t="s">
        <v>123</v>
      </c>
      <c r="B145" s="270" t="str">
        <f>'ST Assemblies'!B49</f>
        <v>Steering Rack assembly</v>
      </c>
      <c r="C145" s="94"/>
      <c r="D145" s="659" t="s">
        <v>119</v>
      </c>
      <c r="E145" s="94"/>
      <c r="F145" s="94"/>
      <c r="G145" s="94"/>
      <c r="H145" s="94"/>
      <c r="I145" s="94"/>
      <c r="J145" s="660" t="s">
        <v>122</v>
      </c>
      <c r="K145" s="94"/>
      <c r="L145" s="94"/>
      <c r="M145" s="94"/>
      <c r="N145" s="94"/>
      <c r="O145" s="93"/>
    </row>
    <row r="146" spans="1:15" x14ac:dyDescent="0.25">
      <c r="A146" s="659" t="s">
        <v>114</v>
      </c>
      <c r="B146" s="135" t="s">
        <v>2709</v>
      </c>
      <c r="C146" s="94"/>
      <c r="D146" s="659" t="s">
        <v>116</v>
      </c>
      <c r="E146" s="94"/>
      <c r="F146" s="94"/>
      <c r="G146" s="94"/>
      <c r="H146" s="94"/>
      <c r="I146" s="94"/>
      <c r="J146" s="660" t="s">
        <v>119</v>
      </c>
      <c r="K146" s="94"/>
      <c r="L146" s="94"/>
      <c r="M146" s="659" t="s">
        <v>118</v>
      </c>
      <c r="N146" s="100">
        <f>N144*N143</f>
        <v>10.285340625000002</v>
      </c>
      <c r="O146" s="93"/>
    </row>
    <row r="147" spans="1:15" x14ac:dyDescent="0.25">
      <c r="A147" s="659" t="s">
        <v>121</v>
      </c>
      <c r="B147" s="269" t="s">
        <v>1330</v>
      </c>
      <c r="C147" s="94"/>
      <c r="D147" s="94"/>
      <c r="E147" s="94"/>
      <c r="F147" s="94"/>
      <c r="G147" s="94"/>
      <c r="H147" s="94"/>
      <c r="I147" s="94"/>
      <c r="J147" s="660" t="s">
        <v>116</v>
      </c>
      <c r="K147" s="94"/>
      <c r="L147" s="94"/>
      <c r="M147" s="94"/>
      <c r="N147" s="94"/>
      <c r="O147" s="93"/>
    </row>
    <row r="148" spans="1:15" x14ac:dyDescent="0.25">
      <c r="A148" s="659" t="s">
        <v>117</v>
      </c>
      <c r="B148" s="133" t="s">
        <v>23</v>
      </c>
      <c r="C148" s="94"/>
      <c r="D148" s="94"/>
      <c r="E148" s="94"/>
      <c r="F148" s="94"/>
      <c r="G148" s="94"/>
      <c r="H148" s="94"/>
      <c r="I148" s="94"/>
      <c r="J148" s="94"/>
      <c r="K148" s="94"/>
      <c r="L148" s="94"/>
      <c r="M148" s="94"/>
      <c r="N148" s="94"/>
      <c r="O148" s="93"/>
    </row>
    <row r="149" spans="1:15" x14ac:dyDescent="0.25">
      <c r="A149" s="659" t="s">
        <v>115</v>
      </c>
      <c r="B149" s="133" t="s">
        <v>1287</v>
      </c>
      <c r="C149" s="94"/>
      <c r="D149" s="94"/>
      <c r="E149" s="94"/>
      <c r="F149" s="94"/>
      <c r="G149" s="94"/>
      <c r="H149" s="94"/>
      <c r="I149" s="94"/>
      <c r="J149" s="94"/>
      <c r="K149" s="94"/>
      <c r="L149" s="94"/>
      <c r="M149" s="94"/>
      <c r="N149" s="94"/>
      <c r="O149" s="93"/>
    </row>
    <row r="150" spans="1:15" x14ac:dyDescent="0.25">
      <c r="A150" s="266"/>
      <c r="B150" s="265"/>
      <c r="C150" s="265"/>
      <c r="D150" s="265"/>
      <c r="E150" s="265"/>
      <c r="F150" s="94"/>
      <c r="G150" s="94"/>
      <c r="H150" s="94"/>
      <c r="I150" s="94"/>
      <c r="J150" s="94"/>
      <c r="K150" s="94"/>
      <c r="L150" s="94"/>
      <c r="M150" s="94"/>
      <c r="N150" s="94"/>
      <c r="O150" s="93"/>
    </row>
    <row r="151" spans="1:15" x14ac:dyDescent="0.25">
      <c r="A151" s="658" t="s">
        <v>67</v>
      </c>
      <c r="B151" s="657" t="s">
        <v>112</v>
      </c>
      <c r="C151" s="657" t="s">
        <v>66</v>
      </c>
      <c r="D151" s="657" t="s">
        <v>65</v>
      </c>
      <c r="E151" s="657" t="s">
        <v>81</v>
      </c>
      <c r="F151" s="652" t="s">
        <v>80</v>
      </c>
      <c r="G151" s="652" t="s">
        <v>79</v>
      </c>
      <c r="H151" s="652" t="s">
        <v>78</v>
      </c>
      <c r="I151" s="652" t="s">
        <v>111</v>
      </c>
      <c r="J151" s="652" t="s">
        <v>110</v>
      </c>
      <c r="K151" s="652" t="s">
        <v>109</v>
      </c>
      <c r="L151" s="652" t="s">
        <v>108</v>
      </c>
      <c r="M151" s="652" t="s">
        <v>40</v>
      </c>
      <c r="N151" s="652" t="s">
        <v>58</v>
      </c>
      <c r="O151" s="93"/>
    </row>
    <row r="152" spans="1:15" ht="30" x14ac:dyDescent="0.25">
      <c r="A152" s="509">
        <v>10</v>
      </c>
      <c r="B152" s="673" t="s">
        <v>729</v>
      </c>
      <c r="C152" s="681" t="s">
        <v>1329</v>
      </c>
      <c r="D152" s="665">
        <v>2.25</v>
      </c>
      <c r="E152" s="509">
        <v>50</v>
      </c>
      <c r="F152" s="509" t="s">
        <v>68</v>
      </c>
      <c r="G152" s="509"/>
      <c r="H152" s="670"/>
      <c r="I152" s="671" t="s">
        <v>1328</v>
      </c>
      <c r="J152" s="669">
        <f>3.14*0.025^2</f>
        <v>1.9625000000000003E-3</v>
      </c>
      <c r="K152" s="670">
        <v>0.05</v>
      </c>
      <c r="L152" s="670">
        <v>7860</v>
      </c>
      <c r="M152" s="669">
        <v>1</v>
      </c>
      <c r="N152" s="668">
        <f>IF(J152="",D152*M152,D152*J152*K152*L152*M152)</f>
        <v>1.7353406250000003</v>
      </c>
      <c r="O152" s="143"/>
    </row>
    <row r="153" spans="1:15" x14ac:dyDescent="0.25">
      <c r="A153" s="98"/>
      <c r="B153" s="95"/>
      <c r="C153" s="95"/>
      <c r="D153" s="95"/>
      <c r="E153" s="95"/>
      <c r="F153" s="95"/>
      <c r="G153" s="95"/>
      <c r="H153" s="95"/>
      <c r="I153" s="95"/>
      <c r="J153" s="95"/>
      <c r="K153" s="95"/>
      <c r="L153" s="95"/>
      <c r="M153" s="667" t="s">
        <v>58</v>
      </c>
      <c r="N153" s="648">
        <f>SUM(N152:N152)</f>
        <v>1.7353406250000003</v>
      </c>
      <c r="O153" s="93"/>
    </row>
    <row r="154" spans="1:15" x14ac:dyDescent="0.25">
      <c r="A154" s="107"/>
      <c r="B154" s="94"/>
      <c r="C154" s="94"/>
      <c r="D154" s="94"/>
      <c r="E154" s="94"/>
      <c r="F154" s="94"/>
      <c r="G154" s="94"/>
      <c r="H154" s="94"/>
      <c r="I154" s="94"/>
      <c r="J154" s="94"/>
      <c r="K154" s="94"/>
      <c r="L154" s="94"/>
      <c r="M154" s="94"/>
      <c r="N154" s="94"/>
      <c r="O154" s="93"/>
    </row>
    <row r="155" spans="1:15" x14ac:dyDescent="0.25">
      <c r="A155" s="653" t="s">
        <v>67</v>
      </c>
      <c r="B155" s="652" t="s">
        <v>106</v>
      </c>
      <c r="C155" s="652" t="s">
        <v>66</v>
      </c>
      <c r="D155" s="652" t="s">
        <v>65</v>
      </c>
      <c r="E155" s="652" t="s">
        <v>64</v>
      </c>
      <c r="F155" s="652" t="s">
        <v>40</v>
      </c>
      <c r="G155" s="652" t="s">
        <v>105</v>
      </c>
      <c r="H155" s="652" t="s">
        <v>104</v>
      </c>
      <c r="I155" s="652" t="s">
        <v>58</v>
      </c>
      <c r="J155" s="95"/>
      <c r="K155" s="95"/>
      <c r="L155" s="95"/>
      <c r="M155" s="95"/>
      <c r="N155" s="95"/>
      <c r="O155" s="93"/>
    </row>
    <row r="156" spans="1:15" ht="30" x14ac:dyDescent="0.25">
      <c r="A156" s="510">
        <v>10</v>
      </c>
      <c r="B156" s="651" t="s">
        <v>516</v>
      </c>
      <c r="C156" s="650" t="s">
        <v>1327</v>
      </c>
      <c r="D156" s="665">
        <v>1.3</v>
      </c>
      <c r="E156" s="651" t="s">
        <v>64</v>
      </c>
      <c r="F156" s="510">
        <v>1</v>
      </c>
      <c r="G156" s="510"/>
      <c r="H156" s="510"/>
      <c r="I156" s="662">
        <f>IF(H156="",D156*F156,D156*F156*H156)</f>
        <v>1.3</v>
      </c>
      <c r="J156" s="142"/>
      <c r="K156" s="142"/>
      <c r="L156" s="142"/>
      <c r="M156" s="142"/>
      <c r="N156" s="142"/>
      <c r="O156" s="120"/>
    </row>
    <row r="157" spans="1:15" ht="30" x14ac:dyDescent="0.25">
      <c r="A157" s="509">
        <v>20</v>
      </c>
      <c r="B157" s="509" t="s">
        <v>514</v>
      </c>
      <c r="C157" s="666" t="s">
        <v>1326</v>
      </c>
      <c r="D157" s="665">
        <v>0.04</v>
      </c>
      <c r="E157" s="509" t="s">
        <v>512</v>
      </c>
      <c r="F157" s="664">
        <v>50</v>
      </c>
      <c r="G157" s="510" t="s">
        <v>1271</v>
      </c>
      <c r="H157" s="510">
        <v>3</v>
      </c>
      <c r="I157" s="662">
        <f>IF(H157="",D157*F157,D157*F157*H157)</f>
        <v>6</v>
      </c>
      <c r="J157" s="94"/>
      <c r="K157" s="94"/>
      <c r="L157" s="94"/>
      <c r="M157" s="94"/>
      <c r="N157" s="94"/>
      <c r="O157" s="93"/>
    </row>
    <row r="158" spans="1:15" x14ac:dyDescent="0.25">
      <c r="A158" s="509">
        <v>30</v>
      </c>
      <c r="B158" s="509" t="s">
        <v>1292</v>
      </c>
      <c r="C158" s="509" t="s">
        <v>1325</v>
      </c>
      <c r="D158" s="665">
        <v>0.5</v>
      </c>
      <c r="E158" s="509" t="s">
        <v>101</v>
      </c>
      <c r="F158" s="676">
        <v>2.5</v>
      </c>
      <c r="G158" s="663"/>
      <c r="H158" s="510"/>
      <c r="I158" s="662">
        <f>IF(H158="",D158*F158,D158*F158*H158)</f>
        <v>1.25</v>
      </c>
      <c r="J158" s="99"/>
      <c r="K158" s="99"/>
      <c r="L158" s="99"/>
      <c r="M158" s="99"/>
      <c r="N158" s="99"/>
      <c r="O158" s="130"/>
    </row>
    <row r="159" spans="1:15" x14ac:dyDescent="0.25">
      <c r="A159" s="98"/>
      <c r="B159" s="95"/>
      <c r="C159" s="95"/>
      <c r="D159" s="95"/>
      <c r="E159" s="95"/>
      <c r="F159" s="95"/>
      <c r="G159" s="95"/>
      <c r="H159" s="649" t="s">
        <v>58</v>
      </c>
      <c r="I159" s="648">
        <f>SUM(I156:I158)</f>
        <v>8.5500000000000007</v>
      </c>
      <c r="J159" s="95"/>
      <c r="K159" s="95"/>
      <c r="L159" s="95"/>
      <c r="M159" s="95"/>
      <c r="N159" s="95"/>
      <c r="O159" s="93"/>
    </row>
    <row r="160" spans="1:15" ht="15.75" thickBot="1" x14ac:dyDescent="0.3">
      <c r="A160" s="92"/>
      <c r="B160" s="91"/>
      <c r="C160" s="91"/>
      <c r="D160" s="91"/>
      <c r="E160" s="91"/>
      <c r="F160" s="91"/>
      <c r="G160" s="91"/>
      <c r="H160" s="91"/>
      <c r="I160" s="91"/>
      <c r="J160" s="91"/>
      <c r="K160" s="91"/>
      <c r="L160" s="91"/>
      <c r="M160" s="91"/>
      <c r="N160" s="91"/>
      <c r="O160" s="90"/>
    </row>
    <row r="161" spans="1:15" ht="15.75" thickBot="1" x14ac:dyDescent="0.3"/>
    <row r="162" spans="1:15" x14ac:dyDescent="0.25">
      <c r="A162" s="141"/>
      <c r="B162" s="140"/>
      <c r="C162" s="140"/>
      <c r="D162" s="140"/>
      <c r="E162" s="140"/>
      <c r="F162" s="140"/>
      <c r="G162" s="140"/>
      <c r="H162" s="140"/>
      <c r="I162" s="140"/>
      <c r="J162" s="272"/>
      <c r="K162" s="140"/>
      <c r="L162" s="140"/>
      <c r="M162" s="140"/>
      <c r="N162" s="140"/>
      <c r="O162" s="139"/>
    </row>
    <row r="163" spans="1:15" x14ac:dyDescent="0.25">
      <c r="A163" s="659" t="s">
        <v>57</v>
      </c>
      <c r="B163" s="133" t="s">
        <v>523</v>
      </c>
      <c r="C163" s="94"/>
      <c r="D163" s="94"/>
      <c r="E163" s="94"/>
      <c r="F163" s="94"/>
      <c r="G163" s="94"/>
      <c r="H163" s="94"/>
      <c r="I163" s="94"/>
      <c r="J163" s="661" t="s">
        <v>51</v>
      </c>
      <c r="K163" s="138">
        <v>81</v>
      </c>
      <c r="L163" s="94"/>
      <c r="M163" s="659" t="s">
        <v>113</v>
      </c>
      <c r="N163" s="100">
        <f>ST_02003_m+ST_02003_p+ST_02003_t</f>
        <v>14.786666666666669</v>
      </c>
      <c r="O163" s="93"/>
    </row>
    <row r="164" spans="1:15" x14ac:dyDescent="0.25">
      <c r="A164" s="659" t="s">
        <v>125</v>
      </c>
      <c r="B164" s="133" t="s">
        <v>6</v>
      </c>
      <c r="C164" s="94"/>
      <c r="D164" s="659" t="s">
        <v>122</v>
      </c>
      <c r="E164" s="94"/>
      <c r="F164" s="94"/>
      <c r="G164" s="94"/>
      <c r="H164" s="94"/>
      <c r="I164" s="94"/>
      <c r="J164" s="94"/>
      <c r="K164" s="94"/>
      <c r="L164" s="94"/>
      <c r="M164" s="659" t="s">
        <v>124</v>
      </c>
      <c r="N164" s="136">
        <v>1</v>
      </c>
      <c r="O164" s="93"/>
    </row>
    <row r="165" spans="1:15" x14ac:dyDescent="0.25">
      <c r="A165" s="659" t="s">
        <v>123</v>
      </c>
      <c r="B165" s="270" t="str">
        <f>'ST Assemblies'!B49</f>
        <v>Steering Rack assembly</v>
      </c>
      <c r="C165" s="94"/>
      <c r="D165" s="659" t="s">
        <v>119</v>
      </c>
      <c r="E165" s="94"/>
      <c r="F165" s="94"/>
      <c r="G165" s="94"/>
      <c r="H165" s="94"/>
      <c r="I165" s="94"/>
      <c r="J165" s="660" t="s">
        <v>122</v>
      </c>
      <c r="K165" s="94"/>
      <c r="L165" s="94"/>
      <c r="M165" s="94"/>
      <c r="N165" s="94"/>
      <c r="O165" s="93"/>
    </row>
    <row r="166" spans="1:15" x14ac:dyDescent="0.25">
      <c r="A166" s="659" t="s">
        <v>114</v>
      </c>
      <c r="B166" s="135" t="s">
        <v>1324</v>
      </c>
      <c r="C166" s="94"/>
      <c r="D166" s="659" t="s">
        <v>116</v>
      </c>
      <c r="E166" s="94"/>
      <c r="F166" s="94"/>
      <c r="G166" s="94"/>
      <c r="H166" s="94"/>
      <c r="I166" s="94"/>
      <c r="J166" s="660" t="s">
        <v>119</v>
      </c>
      <c r="K166" s="94"/>
      <c r="L166" s="94"/>
      <c r="M166" s="659" t="s">
        <v>118</v>
      </c>
      <c r="N166" s="100">
        <f>N164*N163</f>
        <v>14.786666666666669</v>
      </c>
      <c r="O166" s="93"/>
    </row>
    <row r="167" spans="1:15" x14ac:dyDescent="0.25">
      <c r="A167" s="659" t="s">
        <v>121</v>
      </c>
      <c r="B167" s="269" t="s">
        <v>1323</v>
      </c>
      <c r="C167" s="94"/>
      <c r="D167" s="94"/>
      <c r="E167" s="94"/>
      <c r="F167" s="94"/>
      <c r="G167" s="94"/>
      <c r="H167" s="94"/>
      <c r="I167" s="94"/>
      <c r="J167" s="660" t="s">
        <v>116</v>
      </c>
      <c r="K167" s="94"/>
      <c r="L167" s="94"/>
      <c r="M167" s="94"/>
      <c r="N167" s="94"/>
      <c r="O167" s="93"/>
    </row>
    <row r="168" spans="1:15" x14ac:dyDescent="0.25">
      <c r="A168" s="659" t="s">
        <v>117</v>
      </c>
      <c r="B168" s="133" t="s">
        <v>23</v>
      </c>
      <c r="C168" s="94"/>
      <c r="D168" s="94"/>
      <c r="E168" s="94"/>
      <c r="F168" s="94"/>
      <c r="G168" s="94"/>
      <c r="H168" s="94"/>
      <c r="I168" s="94"/>
      <c r="J168" s="94"/>
      <c r="K168" s="94"/>
      <c r="L168" s="94"/>
      <c r="M168" s="94"/>
      <c r="N168" s="94"/>
      <c r="O168" s="93"/>
    </row>
    <row r="169" spans="1:15" x14ac:dyDescent="0.25">
      <c r="A169" s="659" t="s">
        <v>115</v>
      </c>
      <c r="B169" s="133" t="s">
        <v>1287</v>
      </c>
      <c r="C169" s="94"/>
      <c r="D169" s="94"/>
      <c r="E169" s="94"/>
      <c r="F169" s="94"/>
      <c r="G169" s="94"/>
      <c r="H169" s="94"/>
      <c r="I169" s="94"/>
      <c r="J169" s="94"/>
      <c r="K169" s="94"/>
      <c r="L169" s="94"/>
      <c r="M169" s="94"/>
      <c r="N169" s="94"/>
      <c r="O169" s="93"/>
    </row>
    <row r="170" spans="1:15" x14ac:dyDescent="0.25">
      <c r="A170" s="266"/>
      <c r="B170" s="265"/>
      <c r="C170" s="265"/>
      <c r="D170" s="265"/>
      <c r="E170" s="265"/>
      <c r="F170" s="94"/>
      <c r="G170" s="94"/>
      <c r="H170" s="94"/>
      <c r="I170" s="94"/>
      <c r="J170" s="94"/>
      <c r="K170" s="94"/>
      <c r="L170" s="94"/>
      <c r="M170" s="94"/>
      <c r="N170" s="94"/>
      <c r="O170" s="93"/>
    </row>
    <row r="171" spans="1:15" x14ac:dyDescent="0.25">
      <c r="A171" s="658" t="s">
        <v>67</v>
      </c>
      <c r="B171" s="657" t="s">
        <v>112</v>
      </c>
      <c r="C171" s="657" t="s">
        <v>66</v>
      </c>
      <c r="D171" s="657" t="s">
        <v>65</v>
      </c>
      <c r="E171" s="657" t="s">
        <v>81</v>
      </c>
      <c r="F171" s="652" t="s">
        <v>80</v>
      </c>
      <c r="G171" s="652" t="s">
        <v>79</v>
      </c>
      <c r="H171" s="652" t="s">
        <v>78</v>
      </c>
      <c r="I171" s="652" t="s">
        <v>111</v>
      </c>
      <c r="J171" s="652" t="s">
        <v>110</v>
      </c>
      <c r="K171" s="652" t="s">
        <v>109</v>
      </c>
      <c r="L171" s="652" t="s">
        <v>108</v>
      </c>
      <c r="M171" s="652" t="s">
        <v>40</v>
      </c>
      <c r="N171" s="652" t="s">
        <v>58</v>
      </c>
      <c r="O171" s="93"/>
    </row>
    <row r="172" spans="1:15" x14ac:dyDescent="0.25">
      <c r="A172" s="509">
        <v>10</v>
      </c>
      <c r="B172" s="673" t="s">
        <v>754</v>
      </c>
      <c r="C172" s="672" t="s">
        <v>1322</v>
      </c>
      <c r="D172" s="665">
        <v>4.2</v>
      </c>
      <c r="E172" s="509">
        <v>0.3</v>
      </c>
      <c r="F172" s="509" t="s">
        <v>794</v>
      </c>
      <c r="G172" s="509"/>
      <c r="H172" s="670"/>
      <c r="I172" s="671"/>
      <c r="J172" s="692"/>
      <c r="K172" s="670"/>
      <c r="L172" s="670"/>
      <c r="M172" s="669">
        <v>1</v>
      </c>
      <c r="N172" s="668">
        <v>4.2</v>
      </c>
      <c r="O172" s="143"/>
    </row>
    <row r="173" spans="1:15" x14ac:dyDescent="0.25">
      <c r="A173" s="98"/>
      <c r="B173" s="95"/>
      <c r="C173" s="95"/>
      <c r="D173" s="95"/>
      <c r="E173" s="95"/>
      <c r="F173" s="95"/>
      <c r="G173" s="95"/>
      <c r="H173" s="95"/>
      <c r="I173" s="95"/>
      <c r="J173" s="95"/>
      <c r="K173" s="95"/>
      <c r="L173" s="95"/>
      <c r="M173" s="667" t="s">
        <v>58</v>
      </c>
      <c r="N173" s="648">
        <f>SUM(N172:N172)</f>
        <v>4.2</v>
      </c>
      <c r="O173" s="93"/>
    </row>
    <row r="174" spans="1:15" x14ac:dyDescent="0.25">
      <c r="A174" s="107"/>
      <c r="B174" s="94"/>
      <c r="C174" s="94"/>
      <c r="D174" s="94"/>
      <c r="E174" s="94"/>
      <c r="F174" s="94"/>
      <c r="G174" s="94"/>
      <c r="H174" s="94"/>
      <c r="I174" s="94"/>
      <c r="J174" s="94"/>
      <c r="K174" s="94"/>
      <c r="L174" s="94"/>
      <c r="M174" s="94"/>
      <c r="N174" s="94"/>
      <c r="O174" s="93"/>
    </row>
    <row r="175" spans="1:15" x14ac:dyDescent="0.25">
      <c r="A175" s="653" t="s">
        <v>67</v>
      </c>
      <c r="B175" s="652" t="s">
        <v>106</v>
      </c>
      <c r="C175" s="652" t="s">
        <v>66</v>
      </c>
      <c r="D175" s="652" t="s">
        <v>65</v>
      </c>
      <c r="E175" s="652" t="s">
        <v>64</v>
      </c>
      <c r="F175" s="652" t="s">
        <v>40</v>
      </c>
      <c r="G175" s="652" t="s">
        <v>105</v>
      </c>
      <c r="H175" s="652" t="s">
        <v>104</v>
      </c>
      <c r="I175" s="652" t="s">
        <v>58</v>
      </c>
      <c r="J175" s="95"/>
      <c r="K175" s="95"/>
      <c r="L175" s="95"/>
      <c r="M175" s="95"/>
      <c r="N175" s="95"/>
      <c r="O175" s="93"/>
    </row>
    <row r="176" spans="1:15" x14ac:dyDescent="0.25">
      <c r="A176" s="509">
        <v>10</v>
      </c>
      <c r="B176" s="509" t="s">
        <v>1321</v>
      </c>
      <c r="C176" s="509" t="s">
        <v>1320</v>
      </c>
      <c r="D176" s="665">
        <v>4</v>
      </c>
      <c r="E176" s="651" t="s">
        <v>1319</v>
      </c>
      <c r="F176" s="691">
        <v>0.3</v>
      </c>
      <c r="G176" s="691"/>
      <c r="H176" s="691"/>
      <c r="I176" s="662">
        <f>IF(H176="",D176*F176,D176*F176*H176)</f>
        <v>1.2</v>
      </c>
      <c r="J176" s="142"/>
      <c r="K176" s="142"/>
      <c r="L176" s="142"/>
      <c r="M176" s="142"/>
      <c r="N176" s="142"/>
      <c r="O176" s="120"/>
    </row>
    <row r="177" spans="1:15" ht="30" x14ac:dyDescent="0.25">
      <c r="A177" s="510">
        <v>20</v>
      </c>
      <c r="B177" s="651" t="s">
        <v>516</v>
      </c>
      <c r="C177" s="510"/>
      <c r="D177" s="665">
        <v>1.3</v>
      </c>
      <c r="E177" s="663" t="s">
        <v>64</v>
      </c>
      <c r="F177" s="510">
        <v>1</v>
      </c>
      <c r="G177" s="510"/>
      <c r="H177" s="510"/>
      <c r="I177" s="662">
        <f>IF(H177="",D177*F177,D177*F177*H177)</f>
        <v>1.3</v>
      </c>
      <c r="J177" s="94"/>
      <c r="K177" s="94"/>
      <c r="L177" s="94"/>
      <c r="M177" s="94"/>
      <c r="N177" s="94"/>
      <c r="O177" s="93"/>
    </row>
    <row r="178" spans="1:15" ht="30" x14ac:dyDescent="0.25">
      <c r="A178" s="509">
        <v>30</v>
      </c>
      <c r="B178" s="509" t="s">
        <v>514</v>
      </c>
      <c r="C178" s="509" t="s">
        <v>1318</v>
      </c>
      <c r="D178" s="665">
        <v>0.04</v>
      </c>
      <c r="E178" s="509" t="s">
        <v>512</v>
      </c>
      <c r="F178" s="664">
        <v>18</v>
      </c>
      <c r="G178" s="651" t="s">
        <v>1285</v>
      </c>
      <c r="H178" s="510">
        <v>1</v>
      </c>
      <c r="I178" s="662">
        <f>IF(H178="",D178*F178,D178*F178*H178)</f>
        <v>0.72</v>
      </c>
      <c r="J178" s="99"/>
      <c r="K178" s="99"/>
      <c r="L178" s="99"/>
      <c r="M178" s="99"/>
      <c r="N178" s="99"/>
      <c r="O178" s="130"/>
    </row>
    <row r="179" spans="1:15" x14ac:dyDescent="0.25">
      <c r="A179" s="510">
        <v>40</v>
      </c>
      <c r="B179" s="509" t="s">
        <v>1292</v>
      </c>
      <c r="C179" s="509" t="s">
        <v>1317</v>
      </c>
      <c r="D179" s="665">
        <v>0.35</v>
      </c>
      <c r="E179" s="509" t="s">
        <v>101</v>
      </c>
      <c r="F179" s="676">
        <v>2</v>
      </c>
      <c r="G179" s="663"/>
      <c r="H179" s="510"/>
      <c r="I179" s="662">
        <f>IF(H179="",D179*F179,D179*F179*H179)</f>
        <v>0.7</v>
      </c>
      <c r="J179" s="94"/>
      <c r="K179" s="94"/>
      <c r="L179" s="94"/>
      <c r="M179" s="94"/>
      <c r="N179" s="94"/>
      <c r="O179" s="93"/>
    </row>
    <row r="180" spans="1:15" x14ac:dyDescent="0.25">
      <c r="A180" s="98"/>
      <c r="B180" s="95"/>
      <c r="C180" s="95"/>
      <c r="D180" s="95"/>
      <c r="E180" s="95"/>
      <c r="F180" s="95"/>
      <c r="G180" s="95"/>
      <c r="H180" s="649" t="s">
        <v>58</v>
      </c>
      <c r="I180" s="648">
        <f>SUM(I176:I179)</f>
        <v>3.92</v>
      </c>
      <c r="J180" s="95"/>
      <c r="K180" s="95"/>
      <c r="L180" s="95"/>
      <c r="M180" s="95"/>
      <c r="N180" s="95"/>
      <c r="O180" s="93"/>
    </row>
    <row r="181" spans="1:15" x14ac:dyDescent="0.25">
      <c r="A181" s="360"/>
      <c r="B181" s="99"/>
      <c r="C181" s="99"/>
      <c r="D181" s="99"/>
      <c r="E181" s="99"/>
      <c r="F181" s="99"/>
      <c r="G181" s="99"/>
      <c r="H181" s="359"/>
      <c r="I181" s="358"/>
      <c r="J181" s="99"/>
      <c r="K181" s="94"/>
      <c r="L181" s="94"/>
      <c r="M181" s="94"/>
      <c r="N181" s="94"/>
      <c r="O181" s="93"/>
    </row>
    <row r="182" spans="1:15" x14ac:dyDescent="0.25">
      <c r="A182" s="653" t="s">
        <v>67</v>
      </c>
      <c r="B182" s="652" t="s">
        <v>13</v>
      </c>
      <c r="C182" s="652" t="s">
        <v>66</v>
      </c>
      <c r="D182" s="652" t="s">
        <v>65</v>
      </c>
      <c r="E182" s="652" t="s">
        <v>64</v>
      </c>
      <c r="F182" s="652" t="s">
        <v>40</v>
      </c>
      <c r="G182" s="652" t="s">
        <v>63</v>
      </c>
      <c r="H182" s="652" t="s">
        <v>741</v>
      </c>
      <c r="I182" s="652" t="s">
        <v>58</v>
      </c>
      <c r="J182" s="95"/>
      <c r="K182" s="94"/>
      <c r="L182" s="94"/>
      <c r="M182" s="94"/>
      <c r="N182" s="94"/>
      <c r="O182" s="93"/>
    </row>
    <row r="183" spans="1:15" x14ac:dyDescent="0.25">
      <c r="A183" s="509">
        <v>10</v>
      </c>
      <c r="B183" s="509" t="s">
        <v>1316</v>
      </c>
      <c r="C183" s="509"/>
      <c r="D183" s="690">
        <v>10000</v>
      </c>
      <c r="E183" s="509" t="s">
        <v>1315</v>
      </c>
      <c r="F183" s="509">
        <v>2</v>
      </c>
      <c r="G183" s="509">
        <v>3000</v>
      </c>
      <c r="H183" s="509">
        <v>1</v>
      </c>
      <c r="I183" s="668">
        <f>D183*F183/G183*H183</f>
        <v>6.666666666666667</v>
      </c>
      <c r="J183" s="99"/>
      <c r="K183" s="99"/>
      <c r="L183" s="99"/>
      <c r="M183" s="99"/>
      <c r="N183" s="99"/>
      <c r="O183" s="130"/>
    </row>
    <row r="184" spans="1:15" x14ac:dyDescent="0.25">
      <c r="A184" s="98"/>
      <c r="B184" s="95"/>
      <c r="C184" s="95"/>
      <c r="D184" s="95"/>
      <c r="E184" s="95"/>
      <c r="F184" s="95"/>
      <c r="G184" s="95"/>
      <c r="H184" s="649" t="s">
        <v>58</v>
      </c>
      <c r="I184" s="648">
        <f>SUM(I183:I183)</f>
        <v>6.666666666666667</v>
      </c>
      <c r="J184" s="95"/>
      <c r="K184" s="94"/>
      <c r="L184" s="94"/>
      <c r="M184" s="94"/>
      <c r="N184" s="94"/>
      <c r="O184" s="93"/>
    </row>
    <row r="185" spans="1:15" ht="15.75" thickBot="1" x14ac:dyDescent="0.3">
      <c r="A185" s="92"/>
      <c r="B185" s="91"/>
      <c r="C185" s="91"/>
      <c r="D185" s="91"/>
      <c r="E185" s="91"/>
      <c r="F185" s="91"/>
      <c r="G185" s="91"/>
      <c r="H185" s="91"/>
      <c r="I185" s="91"/>
      <c r="J185" s="91"/>
      <c r="K185" s="91"/>
      <c r="L185" s="91"/>
      <c r="M185" s="91"/>
      <c r="N185" s="91"/>
      <c r="O185" s="90"/>
    </row>
    <row r="186" spans="1:15" ht="15.75" thickBot="1" x14ac:dyDescent="0.3"/>
    <row r="187" spans="1:15" x14ac:dyDescent="0.25">
      <c r="A187" s="141"/>
      <c r="B187" s="140"/>
      <c r="C187" s="140"/>
      <c r="D187" s="140"/>
      <c r="E187" s="140"/>
      <c r="F187" s="140"/>
      <c r="G187" s="140"/>
      <c r="H187" s="140"/>
      <c r="I187" s="140"/>
      <c r="J187" s="272"/>
      <c r="K187" s="140"/>
      <c r="L187" s="140"/>
      <c r="M187" s="140"/>
      <c r="N187" s="140"/>
      <c r="O187" s="139"/>
    </row>
    <row r="188" spans="1:15" x14ac:dyDescent="0.25">
      <c r="A188" s="659" t="s">
        <v>57</v>
      </c>
      <c r="B188" s="133" t="s">
        <v>523</v>
      </c>
      <c r="C188" s="94"/>
      <c r="D188" s="94"/>
      <c r="E188" s="94"/>
      <c r="F188" s="94"/>
      <c r="G188" s="94"/>
      <c r="H188" s="94"/>
      <c r="I188" s="94"/>
      <c r="J188" s="661" t="s">
        <v>51</v>
      </c>
      <c r="K188" s="138">
        <v>81</v>
      </c>
      <c r="L188" s="94"/>
      <c r="M188" s="659" t="s">
        <v>113</v>
      </c>
      <c r="N188" s="100">
        <f>ST_02003_m+ST_02003_p</f>
        <v>8.120000000000001</v>
      </c>
      <c r="O188" s="93"/>
    </row>
    <row r="189" spans="1:15" x14ac:dyDescent="0.25">
      <c r="A189" s="659" t="s">
        <v>125</v>
      </c>
      <c r="B189" s="133" t="s">
        <v>6</v>
      </c>
      <c r="C189" s="94"/>
      <c r="D189" s="659" t="s">
        <v>122</v>
      </c>
      <c r="E189" s="270" t="s">
        <v>522</v>
      </c>
      <c r="F189" s="94"/>
      <c r="G189" s="94"/>
      <c r="H189" s="94"/>
      <c r="I189" s="94"/>
      <c r="J189" s="94"/>
      <c r="K189" s="94"/>
      <c r="L189" s="94"/>
      <c r="M189" s="659" t="s">
        <v>124</v>
      </c>
      <c r="N189" s="136">
        <v>2</v>
      </c>
      <c r="O189" s="93"/>
    </row>
    <row r="190" spans="1:15" x14ac:dyDescent="0.25">
      <c r="A190" s="659" t="s">
        <v>123</v>
      </c>
      <c r="B190" s="270" t="str">
        <f>'ST Assemblies'!B49</f>
        <v>Steering Rack assembly</v>
      </c>
      <c r="C190" s="94"/>
      <c r="D190" s="659" t="s">
        <v>119</v>
      </c>
      <c r="E190" s="94"/>
      <c r="F190" s="94"/>
      <c r="G190" s="94"/>
      <c r="H190" s="94"/>
      <c r="I190" s="94"/>
      <c r="J190" s="660" t="s">
        <v>122</v>
      </c>
      <c r="L190" s="94"/>
      <c r="M190" s="94"/>
      <c r="N190" s="94"/>
      <c r="O190" s="93"/>
    </row>
    <row r="191" spans="1:15" x14ac:dyDescent="0.25">
      <c r="A191" s="659" t="s">
        <v>114</v>
      </c>
      <c r="B191" s="135" t="s">
        <v>1314</v>
      </c>
      <c r="C191" s="94"/>
      <c r="D191" s="659" t="s">
        <v>116</v>
      </c>
      <c r="E191" s="94"/>
      <c r="F191" s="94"/>
      <c r="G191" s="94"/>
      <c r="H191" s="94"/>
      <c r="I191" s="94"/>
      <c r="J191" s="660" t="s">
        <v>119</v>
      </c>
      <c r="K191" s="94"/>
      <c r="L191" s="94"/>
      <c r="M191" s="659" t="s">
        <v>118</v>
      </c>
      <c r="N191" s="100">
        <f>N189*N188</f>
        <v>16.240000000000002</v>
      </c>
      <c r="O191" s="93"/>
    </row>
    <row r="192" spans="1:15" x14ac:dyDescent="0.25">
      <c r="A192" s="659" t="s">
        <v>121</v>
      </c>
      <c r="B192" s="269" t="s">
        <v>1313</v>
      </c>
      <c r="C192" s="94"/>
      <c r="D192" s="94"/>
      <c r="E192" s="94"/>
      <c r="F192" s="94"/>
      <c r="G192" s="94"/>
      <c r="H192" s="94"/>
      <c r="I192" s="94"/>
      <c r="J192" s="660" t="s">
        <v>116</v>
      </c>
      <c r="K192" s="94"/>
      <c r="L192" s="94"/>
      <c r="M192" s="94"/>
      <c r="N192" s="94"/>
      <c r="O192" s="93"/>
    </row>
    <row r="193" spans="1:15" x14ac:dyDescent="0.25">
      <c r="A193" s="659" t="s">
        <v>117</v>
      </c>
      <c r="B193" s="133" t="s">
        <v>23</v>
      </c>
      <c r="C193" s="94"/>
      <c r="D193" s="94"/>
      <c r="E193" s="94"/>
      <c r="F193" s="94"/>
      <c r="G193" s="94"/>
      <c r="H193" s="94"/>
      <c r="I193" s="94"/>
      <c r="J193" s="94"/>
      <c r="K193" s="94"/>
      <c r="L193" s="94"/>
      <c r="M193" s="94"/>
      <c r="N193" s="94"/>
      <c r="O193" s="93"/>
    </row>
    <row r="194" spans="1:15" x14ac:dyDescent="0.25">
      <c r="A194" s="659" t="s">
        <v>115</v>
      </c>
      <c r="B194" s="133"/>
      <c r="C194" s="94"/>
      <c r="D194" s="94"/>
      <c r="E194" s="94"/>
      <c r="F194" s="94"/>
      <c r="G194" s="94"/>
      <c r="H194" s="94"/>
      <c r="I194" s="94"/>
      <c r="J194" s="94"/>
      <c r="K194" s="94"/>
      <c r="L194" s="94"/>
      <c r="M194" s="94"/>
      <c r="N194" s="94"/>
      <c r="O194" s="93"/>
    </row>
    <row r="195" spans="1:15" x14ac:dyDescent="0.25">
      <c r="A195" s="266"/>
      <c r="B195" s="265"/>
      <c r="C195" s="265"/>
      <c r="D195" s="265"/>
      <c r="E195" s="265"/>
      <c r="F195" s="94"/>
      <c r="G195" s="94"/>
      <c r="H195" s="94"/>
      <c r="I195" s="94"/>
      <c r="J195" s="94"/>
      <c r="K195" s="94"/>
      <c r="L195" s="94"/>
      <c r="M195" s="94"/>
      <c r="N195" s="94"/>
      <c r="O195" s="93"/>
    </row>
    <row r="196" spans="1:15" x14ac:dyDescent="0.25">
      <c r="A196" s="658" t="s">
        <v>67</v>
      </c>
      <c r="B196" s="657" t="s">
        <v>112</v>
      </c>
      <c r="C196" s="657" t="s">
        <v>66</v>
      </c>
      <c r="D196" s="657" t="s">
        <v>65</v>
      </c>
      <c r="E196" s="657" t="s">
        <v>81</v>
      </c>
      <c r="F196" s="652" t="s">
        <v>80</v>
      </c>
      <c r="G196" s="652" t="s">
        <v>79</v>
      </c>
      <c r="H196" s="652" t="s">
        <v>78</v>
      </c>
      <c r="I196" s="652" t="s">
        <v>111</v>
      </c>
      <c r="J196" s="652" t="s">
        <v>110</v>
      </c>
      <c r="K196" s="652" t="s">
        <v>109</v>
      </c>
      <c r="L196" s="652" t="s">
        <v>108</v>
      </c>
      <c r="M196" s="652" t="s">
        <v>40</v>
      </c>
      <c r="N196" s="652" t="s">
        <v>58</v>
      </c>
      <c r="O196" s="93"/>
    </row>
    <row r="197" spans="1:15" ht="30" x14ac:dyDescent="0.25">
      <c r="A197" s="509">
        <v>10</v>
      </c>
      <c r="B197" s="673" t="s">
        <v>729</v>
      </c>
      <c r="C197" s="681" t="s">
        <v>1240</v>
      </c>
      <c r="D197" s="665">
        <v>2.25</v>
      </c>
      <c r="E197" s="509">
        <v>115</v>
      </c>
      <c r="F197" s="509" t="s">
        <v>68</v>
      </c>
      <c r="G197" s="509">
        <v>25</v>
      </c>
      <c r="H197" s="670" t="s">
        <v>68</v>
      </c>
      <c r="I197" s="671" t="s">
        <v>1312</v>
      </c>
      <c r="J197" s="683">
        <f>E197*G197*10^-6</f>
        <v>2.875E-3</v>
      </c>
      <c r="K197" s="670">
        <v>0.01</v>
      </c>
      <c r="L197" s="670">
        <v>7860</v>
      </c>
      <c r="M197" s="669">
        <v>1</v>
      </c>
      <c r="N197" s="668">
        <f>IF(J197="",D197*M197,D197*J197*K197*L197*M197)</f>
        <v>0.50844374999999997</v>
      </c>
      <c r="O197" s="143"/>
    </row>
    <row r="198" spans="1:15" x14ac:dyDescent="0.25">
      <c r="A198" s="98"/>
      <c r="B198" s="95"/>
      <c r="C198" s="95"/>
      <c r="D198" s="95"/>
      <c r="E198" s="95"/>
      <c r="F198" s="95"/>
      <c r="G198" s="95"/>
      <c r="H198" s="95"/>
      <c r="I198" s="95"/>
      <c r="J198" s="95"/>
      <c r="K198" s="95"/>
      <c r="L198" s="95"/>
      <c r="M198" s="667" t="s">
        <v>58</v>
      </c>
      <c r="N198" s="648">
        <f>SUM(N197:N197)</f>
        <v>0.50844374999999997</v>
      </c>
      <c r="O198" s="93"/>
    </row>
    <row r="199" spans="1:15" x14ac:dyDescent="0.25">
      <c r="A199" s="107"/>
      <c r="B199" s="94"/>
      <c r="C199" s="94"/>
      <c r="D199" s="94"/>
      <c r="E199" s="94"/>
      <c r="F199" s="94"/>
      <c r="G199" s="94"/>
      <c r="H199" s="94"/>
      <c r="I199" s="94"/>
      <c r="J199" s="94"/>
      <c r="K199" s="94"/>
      <c r="L199" s="94"/>
      <c r="M199" s="94"/>
      <c r="N199" s="94"/>
      <c r="O199" s="93"/>
    </row>
    <row r="200" spans="1:15" x14ac:dyDescent="0.25">
      <c r="A200" s="653" t="s">
        <v>67</v>
      </c>
      <c r="B200" s="652" t="s">
        <v>106</v>
      </c>
      <c r="C200" s="652" t="s">
        <v>66</v>
      </c>
      <c r="D200" s="652" t="s">
        <v>65</v>
      </c>
      <c r="E200" s="652" t="s">
        <v>64</v>
      </c>
      <c r="F200" s="652" t="s">
        <v>40</v>
      </c>
      <c r="G200" s="652" t="s">
        <v>105</v>
      </c>
      <c r="H200" s="652" t="s">
        <v>104</v>
      </c>
      <c r="I200" s="652" t="s">
        <v>58</v>
      </c>
      <c r="J200" s="95"/>
      <c r="K200" s="95"/>
      <c r="L200" s="95"/>
      <c r="M200" s="95"/>
      <c r="N200" s="95"/>
      <c r="O200" s="93"/>
    </row>
    <row r="201" spans="1:15" ht="30" x14ac:dyDescent="0.25">
      <c r="A201" s="510">
        <v>10</v>
      </c>
      <c r="B201" s="651" t="s">
        <v>516</v>
      </c>
      <c r="C201" s="510" t="s">
        <v>686</v>
      </c>
      <c r="D201" s="665">
        <v>1.3</v>
      </c>
      <c r="E201" s="651" t="s">
        <v>64</v>
      </c>
      <c r="F201" s="510">
        <v>1</v>
      </c>
      <c r="G201" s="510"/>
      <c r="H201" s="510"/>
      <c r="I201" s="662">
        <f>IF(H201="",D201*F201,D201*F201*H201)</f>
        <v>1.3</v>
      </c>
      <c r="J201" s="142"/>
      <c r="K201" s="142"/>
      <c r="L201" s="142"/>
      <c r="M201" s="142"/>
      <c r="N201" s="142"/>
      <c r="O201" s="120"/>
    </row>
    <row r="202" spans="1:15" x14ac:dyDescent="0.25">
      <c r="A202" s="509">
        <v>20</v>
      </c>
      <c r="B202" s="509" t="s">
        <v>527</v>
      </c>
      <c r="C202" s="509" t="s">
        <v>1257</v>
      </c>
      <c r="D202" s="665">
        <v>0.01</v>
      </c>
      <c r="E202" s="509" t="s">
        <v>101</v>
      </c>
      <c r="F202" s="664">
        <v>33.6</v>
      </c>
      <c r="G202" s="651" t="s">
        <v>1271</v>
      </c>
      <c r="H202" s="510">
        <v>3</v>
      </c>
      <c r="I202" s="662">
        <f>IF(H202="",D202*F202,D202*F202*H202)</f>
        <v>1.008</v>
      </c>
      <c r="J202" s="94"/>
      <c r="K202" s="94"/>
      <c r="L202" s="94"/>
      <c r="M202" s="94"/>
      <c r="N202" s="94"/>
      <c r="O202" s="93"/>
    </row>
    <row r="203" spans="1:15" x14ac:dyDescent="0.25">
      <c r="A203" s="509">
        <v>30</v>
      </c>
      <c r="B203" s="509" t="s">
        <v>1228</v>
      </c>
      <c r="C203" s="509" t="s">
        <v>1255</v>
      </c>
      <c r="D203" s="665">
        <v>0.35</v>
      </c>
      <c r="E203" s="509" t="s">
        <v>294</v>
      </c>
      <c r="F203" s="676">
        <v>2</v>
      </c>
      <c r="G203" s="663"/>
      <c r="H203" s="510"/>
      <c r="I203" s="662">
        <f>IF(H203="",D203*F203,D203*F203*H203)</f>
        <v>0.7</v>
      </c>
      <c r="J203" s="99"/>
      <c r="K203" s="99"/>
      <c r="L203" s="99"/>
      <c r="M203" s="99"/>
      <c r="N203" s="99"/>
      <c r="O203" s="130"/>
    </row>
    <row r="204" spans="1:15" x14ac:dyDescent="0.25">
      <c r="A204" s="98"/>
      <c r="B204" s="95"/>
      <c r="C204" s="95"/>
      <c r="D204" s="95"/>
      <c r="E204" s="95"/>
      <c r="F204" s="95"/>
      <c r="G204" s="95"/>
      <c r="H204" s="649" t="s">
        <v>58</v>
      </c>
      <c r="I204" s="648">
        <f>SUM(I201:I203)</f>
        <v>3.008</v>
      </c>
      <c r="J204" s="95"/>
      <c r="K204" s="95"/>
      <c r="L204" s="95"/>
      <c r="M204" s="95"/>
      <c r="N204" s="95"/>
      <c r="O204" s="93"/>
    </row>
    <row r="205" spans="1:15" x14ac:dyDescent="0.25">
      <c r="A205" s="107"/>
      <c r="B205" s="94"/>
      <c r="C205" s="94"/>
      <c r="D205" s="94"/>
      <c r="E205" s="94"/>
      <c r="F205" s="94"/>
      <c r="G205" s="94"/>
      <c r="H205" s="94"/>
      <c r="I205" s="99"/>
      <c r="J205" s="94"/>
      <c r="K205" s="94"/>
      <c r="L205" s="94"/>
      <c r="M205" s="94"/>
      <c r="N205" s="94"/>
      <c r="O205" s="93"/>
    </row>
    <row r="206" spans="1:15" ht="15.75" thickBot="1" x14ac:dyDescent="0.3">
      <c r="A206" s="92"/>
      <c r="B206" s="91"/>
      <c r="C206" s="91"/>
      <c r="D206" s="91"/>
      <c r="E206" s="91"/>
      <c r="F206" s="91"/>
      <c r="G206" s="91"/>
      <c r="H206" s="91"/>
      <c r="I206" s="91"/>
      <c r="J206" s="91"/>
      <c r="K206" s="91"/>
      <c r="L206" s="91"/>
      <c r="M206" s="91"/>
      <c r="N206" s="91"/>
      <c r="O206" s="90"/>
    </row>
    <row r="207" spans="1:15" ht="15.75" thickBot="1" x14ac:dyDescent="0.3"/>
    <row r="208" spans="1:15" x14ac:dyDescent="0.25">
      <c r="A208" s="141"/>
      <c r="B208" s="140"/>
      <c r="C208" s="140"/>
      <c r="D208" s="140"/>
      <c r="E208" s="140"/>
      <c r="F208" s="140"/>
      <c r="G208" s="140"/>
      <c r="H208" s="140"/>
      <c r="I208" s="140"/>
      <c r="J208" s="272"/>
      <c r="K208" s="140"/>
      <c r="L208" s="140"/>
      <c r="M208" s="140"/>
      <c r="N208" s="140"/>
      <c r="O208" s="139"/>
    </row>
    <row r="209" spans="1:15" x14ac:dyDescent="0.25">
      <c r="A209" s="659" t="s">
        <v>57</v>
      </c>
      <c r="B209" s="133" t="s">
        <v>523</v>
      </c>
      <c r="C209" s="94"/>
      <c r="D209" s="94"/>
      <c r="E209" s="94"/>
      <c r="F209" s="94"/>
      <c r="G209" s="94"/>
      <c r="H209" s="94"/>
      <c r="I209" s="94"/>
      <c r="J209" s="661" t="s">
        <v>51</v>
      </c>
      <c r="K209" s="138">
        <v>81</v>
      </c>
      <c r="L209" s="94"/>
      <c r="M209" s="659" t="s">
        <v>113</v>
      </c>
      <c r="N209" s="100">
        <f>ST_02005_m+ST_02005_p</f>
        <v>2.3454214599999998</v>
      </c>
      <c r="O209" s="93"/>
    </row>
    <row r="210" spans="1:15" x14ac:dyDescent="0.25">
      <c r="A210" s="659" t="s">
        <v>125</v>
      </c>
      <c r="B210" s="133" t="s">
        <v>6</v>
      </c>
      <c r="C210" s="94"/>
      <c r="D210" s="659" t="s">
        <v>122</v>
      </c>
      <c r="E210" s="270" t="s">
        <v>522</v>
      </c>
      <c r="F210" s="94"/>
      <c r="G210" s="94"/>
      <c r="H210" s="94"/>
      <c r="I210" s="94"/>
      <c r="J210" s="94"/>
      <c r="K210" s="94"/>
      <c r="L210" s="94"/>
      <c r="M210" s="659" t="s">
        <v>124</v>
      </c>
      <c r="N210" s="136">
        <v>4</v>
      </c>
      <c r="O210" s="93"/>
    </row>
    <row r="211" spans="1:15" x14ac:dyDescent="0.25">
      <c r="A211" s="659" t="s">
        <v>123</v>
      </c>
      <c r="B211" s="270" t="str">
        <f>'ST Assemblies'!B49</f>
        <v>Steering Rack assembly</v>
      </c>
      <c r="C211" s="94"/>
      <c r="D211" s="659" t="s">
        <v>119</v>
      </c>
      <c r="E211" s="94"/>
      <c r="F211" s="94"/>
      <c r="G211" s="94"/>
      <c r="H211" s="94"/>
      <c r="I211" s="94"/>
      <c r="J211" s="660" t="s">
        <v>122</v>
      </c>
      <c r="L211" s="94"/>
      <c r="M211" s="94"/>
      <c r="N211" s="94"/>
      <c r="O211" s="93"/>
    </row>
    <row r="212" spans="1:15" x14ac:dyDescent="0.25">
      <c r="A212" s="659" t="s">
        <v>114</v>
      </c>
      <c r="B212" s="135" t="s">
        <v>1311</v>
      </c>
      <c r="C212" s="94"/>
      <c r="D212" s="659" t="s">
        <v>116</v>
      </c>
      <c r="E212" s="94"/>
      <c r="F212" s="94"/>
      <c r="G212" s="94"/>
      <c r="H212" s="94"/>
      <c r="I212" s="94"/>
      <c r="J212" s="660" t="s">
        <v>119</v>
      </c>
      <c r="K212" s="94"/>
      <c r="L212" s="94"/>
      <c r="M212" s="659" t="s">
        <v>118</v>
      </c>
      <c r="N212" s="100">
        <f>N210*N209</f>
        <v>9.3816858399999994</v>
      </c>
      <c r="O212" s="93"/>
    </row>
    <row r="213" spans="1:15" x14ac:dyDescent="0.25">
      <c r="A213" s="659" t="s">
        <v>121</v>
      </c>
      <c r="B213" s="269" t="s">
        <v>1310</v>
      </c>
      <c r="C213" s="94"/>
      <c r="D213" s="94"/>
      <c r="E213" s="94"/>
      <c r="F213" s="94"/>
      <c r="G213" s="94"/>
      <c r="H213" s="94"/>
      <c r="I213" s="94"/>
      <c r="J213" s="660" t="s">
        <v>116</v>
      </c>
      <c r="K213" s="94"/>
      <c r="L213" s="94"/>
      <c r="M213" s="94"/>
      <c r="N213" s="94"/>
      <c r="O213" s="93"/>
    </row>
    <row r="214" spans="1:15" x14ac:dyDescent="0.25">
      <c r="A214" s="659" t="s">
        <v>117</v>
      </c>
      <c r="B214" s="133" t="s">
        <v>23</v>
      </c>
      <c r="C214" s="94"/>
      <c r="D214" s="94"/>
      <c r="E214" s="94"/>
      <c r="F214" s="94"/>
      <c r="G214" s="94"/>
      <c r="H214" s="94"/>
      <c r="I214" s="94"/>
      <c r="J214" s="94"/>
      <c r="K214" s="94"/>
      <c r="L214" s="94"/>
      <c r="M214" s="94"/>
      <c r="N214" s="94"/>
      <c r="O214" s="93"/>
    </row>
    <row r="215" spans="1:15" x14ac:dyDescent="0.25">
      <c r="A215" s="659" t="s">
        <v>115</v>
      </c>
      <c r="B215" s="133"/>
      <c r="C215" s="94"/>
      <c r="D215" s="94"/>
      <c r="E215" s="94"/>
      <c r="F215" s="94"/>
      <c r="G215" s="94"/>
      <c r="H215" s="94"/>
      <c r="I215" s="94"/>
      <c r="J215" s="94"/>
      <c r="K215" s="94"/>
      <c r="L215" s="94"/>
      <c r="M215" s="94"/>
      <c r="N215" s="94"/>
      <c r="O215" s="93"/>
    </row>
    <row r="216" spans="1:15" x14ac:dyDescent="0.25">
      <c r="A216" s="266"/>
      <c r="B216" s="265"/>
      <c r="C216" s="265"/>
      <c r="D216" s="265"/>
      <c r="E216" s="265"/>
      <c r="F216" s="94"/>
      <c r="G216" s="94"/>
      <c r="H216" s="94"/>
      <c r="I216" s="94"/>
      <c r="J216" s="94"/>
      <c r="K216" s="94"/>
      <c r="L216" s="94"/>
      <c r="M216" s="94"/>
      <c r="N216" s="94"/>
      <c r="O216" s="93"/>
    </row>
    <row r="217" spans="1:15" x14ac:dyDescent="0.25">
      <c r="A217" s="658" t="s">
        <v>67</v>
      </c>
      <c r="B217" s="657" t="s">
        <v>112</v>
      </c>
      <c r="C217" s="657" t="s">
        <v>66</v>
      </c>
      <c r="D217" s="657" t="s">
        <v>65</v>
      </c>
      <c r="E217" s="657" t="s">
        <v>81</v>
      </c>
      <c r="F217" s="652" t="s">
        <v>80</v>
      </c>
      <c r="G217" s="652" t="s">
        <v>79</v>
      </c>
      <c r="H217" s="652" t="s">
        <v>78</v>
      </c>
      <c r="I217" s="652" t="s">
        <v>111</v>
      </c>
      <c r="J217" s="652" t="s">
        <v>110</v>
      </c>
      <c r="K217" s="652" t="s">
        <v>109</v>
      </c>
      <c r="L217" s="652" t="s">
        <v>108</v>
      </c>
      <c r="M217" s="652" t="s">
        <v>40</v>
      </c>
      <c r="N217" s="652" t="s">
        <v>58</v>
      </c>
      <c r="O217" s="93"/>
    </row>
    <row r="218" spans="1:15" ht="30" x14ac:dyDescent="0.25">
      <c r="A218" s="509">
        <v>10</v>
      </c>
      <c r="B218" s="673" t="s">
        <v>729</v>
      </c>
      <c r="C218" s="681" t="s">
        <v>1240</v>
      </c>
      <c r="D218" s="665">
        <v>2.25</v>
      </c>
      <c r="E218" s="509">
        <v>46</v>
      </c>
      <c r="F218" s="509" t="s">
        <v>68</v>
      </c>
      <c r="G218" s="509">
        <v>23</v>
      </c>
      <c r="H218" s="670" t="s">
        <v>68</v>
      </c>
      <c r="I218" s="671" t="s">
        <v>1309</v>
      </c>
      <c r="J218" s="689">
        <f>E218*G218*10^-6</f>
        <v>1.0579999999999999E-3</v>
      </c>
      <c r="K218" s="679">
        <v>2E-3</v>
      </c>
      <c r="L218" s="670">
        <v>7860</v>
      </c>
      <c r="M218" s="669">
        <v>1</v>
      </c>
      <c r="N218" s="668">
        <f>IF(J218="",D218*M218,D218*J218*K218*L218*M218)</f>
        <v>3.7421459999999997E-2</v>
      </c>
      <c r="O218" s="143"/>
    </row>
    <row r="219" spans="1:15" x14ac:dyDescent="0.25">
      <c r="A219" s="98"/>
      <c r="B219" s="95"/>
      <c r="C219" s="95"/>
      <c r="D219" s="95"/>
      <c r="E219" s="95"/>
      <c r="F219" s="95"/>
      <c r="G219" s="95"/>
      <c r="H219" s="95"/>
      <c r="I219" s="95"/>
      <c r="J219" s="95"/>
      <c r="K219" s="95"/>
      <c r="L219" s="95"/>
      <c r="M219" s="667" t="s">
        <v>58</v>
      </c>
      <c r="N219" s="648">
        <f>SUM(N218:N218)</f>
        <v>3.7421459999999997E-2</v>
      </c>
      <c r="O219" s="93"/>
    </row>
    <row r="220" spans="1:15" x14ac:dyDescent="0.25">
      <c r="A220" s="107"/>
      <c r="B220" s="94"/>
      <c r="C220" s="94"/>
      <c r="D220" s="94"/>
      <c r="E220" s="94"/>
      <c r="F220" s="94"/>
      <c r="G220" s="94"/>
      <c r="H220" s="94"/>
      <c r="I220" s="94"/>
      <c r="J220" s="94"/>
      <c r="K220" s="94"/>
      <c r="L220" s="94"/>
      <c r="M220" s="94"/>
      <c r="N220" s="94"/>
      <c r="O220" s="93"/>
    </row>
    <row r="221" spans="1:15" x14ac:dyDescent="0.25">
      <c r="A221" s="653" t="s">
        <v>67</v>
      </c>
      <c r="B221" s="652" t="s">
        <v>106</v>
      </c>
      <c r="C221" s="652" t="s">
        <v>66</v>
      </c>
      <c r="D221" s="652" t="s">
        <v>65</v>
      </c>
      <c r="E221" s="652" t="s">
        <v>64</v>
      </c>
      <c r="F221" s="652" t="s">
        <v>40</v>
      </c>
      <c r="G221" s="652" t="s">
        <v>105</v>
      </c>
      <c r="H221" s="652" t="s">
        <v>104</v>
      </c>
      <c r="I221" s="652" t="s">
        <v>58</v>
      </c>
      <c r="J221" s="95"/>
      <c r="K221" s="95"/>
      <c r="L221" s="95"/>
      <c r="M221" s="95"/>
      <c r="N221" s="95"/>
      <c r="O221" s="93"/>
    </row>
    <row r="222" spans="1:15" ht="30" x14ac:dyDescent="0.25">
      <c r="A222" s="510">
        <v>10</v>
      </c>
      <c r="B222" s="651" t="s">
        <v>516</v>
      </c>
      <c r="C222" s="510" t="s">
        <v>686</v>
      </c>
      <c r="D222" s="665">
        <v>1.3</v>
      </c>
      <c r="E222" s="651" t="s">
        <v>64</v>
      </c>
      <c r="F222" s="510">
        <v>1</v>
      </c>
      <c r="G222" s="510"/>
      <c r="H222" s="510"/>
      <c r="I222" s="662">
        <f>IF(H222="",D222*F222,D222*F222*H222)</f>
        <v>1.3</v>
      </c>
      <c r="J222" s="142"/>
      <c r="K222" s="142"/>
      <c r="L222" s="142"/>
      <c r="M222" s="142"/>
      <c r="N222" s="142"/>
      <c r="O222" s="120"/>
    </row>
    <row r="223" spans="1:15" x14ac:dyDescent="0.25">
      <c r="A223" s="509">
        <v>20</v>
      </c>
      <c r="B223" s="509" t="s">
        <v>527</v>
      </c>
      <c r="C223" s="509" t="s">
        <v>1308</v>
      </c>
      <c r="D223" s="665">
        <v>0.01</v>
      </c>
      <c r="E223" s="509" t="s">
        <v>101</v>
      </c>
      <c r="F223" s="664">
        <v>33.6</v>
      </c>
      <c r="G223" s="651" t="s">
        <v>1256</v>
      </c>
      <c r="H223" s="510">
        <v>3</v>
      </c>
      <c r="I223" s="662">
        <f>IF(H223="",D223*F223,D223*F223*H223)</f>
        <v>1.008</v>
      </c>
      <c r="J223" s="94"/>
      <c r="K223" s="94"/>
      <c r="L223" s="94"/>
      <c r="M223" s="94"/>
      <c r="N223" s="94"/>
      <c r="O223" s="93"/>
    </row>
    <row r="224" spans="1:15" x14ac:dyDescent="0.25">
      <c r="A224" s="98"/>
      <c r="B224" s="95"/>
      <c r="C224" s="95"/>
      <c r="D224" s="95"/>
      <c r="E224" s="95"/>
      <c r="F224" s="95"/>
      <c r="G224" s="95"/>
      <c r="H224" s="649" t="s">
        <v>58</v>
      </c>
      <c r="I224" s="648">
        <f>SUM(I222:I223)</f>
        <v>2.3079999999999998</v>
      </c>
      <c r="J224" s="95"/>
      <c r="K224" s="95"/>
      <c r="L224" s="95"/>
      <c r="M224" s="95"/>
      <c r="N224" s="95"/>
      <c r="O224" s="93"/>
    </row>
    <row r="225" spans="1:15" x14ac:dyDescent="0.25">
      <c r="A225" s="107"/>
      <c r="B225" s="94"/>
      <c r="C225" s="94"/>
      <c r="D225" s="94"/>
      <c r="E225" s="94"/>
      <c r="F225" s="94"/>
      <c r="G225" s="94"/>
      <c r="H225" s="94"/>
      <c r="I225" s="99"/>
      <c r="J225" s="94"/>
      <c r="K225" s="94"/>
      <c r="L225" s="94"/>
      <c r="M225" s="94"/>
      <c r="N225" s="94"/>
      <c r="O225" s="93"/>
    </row>
    <row r="226" spans="1:15" ht="15.75" thickBot="1" x14ac:dyDescent="0.3">
      <c r="A226" s="92"/>
      <c r="B226" s="91"/>
      <c r="C226" s="91"/>
      <c r="D226" s="91"/>
      <c r="E226" s="91"/>
      <c r="F226" s="91"/>
      <c r="G226" s="91"/>
      <c r="H226" s="91"/>
      <c r="I226" s="91"/>
      <c r="J226" s="91"/>
      <c r="K226" s="91"/>
      <c r="L226" s="91"/>
      <c r="M226" s="91"/>
      <c r="N226" s="91"/>
      <c r="O226" s="90"/>
    </row>
    <row r="227" spans="1:15" ht="15.75" thickBot="1" x14ac:dyDescent="0.3"/>
    <row r="228" spans="1:15" x14ac:dyDescent="0.25">
      <c r="A228" s="141"/>
      <c r="B228" s="140"/>
      <c r="C228" s="140"/>
      <c r="D228" s="140"/>
      <c r="E228" s="140"/>
      <c r="F228" s="140"/>
      <c r="G228" s="140"/>
      <c r="H228" s="140"/>
      <c r="I228" s="140"/>
      <c r="J228" s="272"/>
      <c r="K228" s="140"/>
      <c r="L228" s="140"/>
      <c r="M228" s="140"/>
      <c r="N228" s="140"/>
      <c r="O228" s="139"/>
    </row>
    <row r="229" spans="1:15" x14ac:dyDescent="0.25">
      <c r="A229" s="659" t="s">
        <v>57</v>
      </c>
      <c r="B229" s="133" t="s">
        <v>523</v>
      </c>
      <c r="C229" s="94"/>
      <c r="D229" s="94"/>
      <c r="E229" s="94"/>
      <c r="F229" s="94"/>
      <c r="G229" s="94"/>
      <c r="H229" s="94"/>
      <c r="I229" s="94"/>
      <c r="J229" s="661" t="s">
        <v>51</v>
      </c>
      <c r="K229" s="138">
        <v>81</v>
      </c>
      <c r="L229" s="94"/>
      <c r="M229" s="659" t="s">
        <v>113</v>
      </c>
      <c r="N229" s="100">
        <f>ST_02006_m+ST_02006_p</f>
        <v>2.2312192800000004</v>
      </c>
      <c r="O229" s="93"/>
    </row>
    <row r="230" spans="1:15" x14ac:dyDescent="0.25">
      <c r="A230" s="659" t="s">
        <v>125</v>
      </c>
      <c r="B230" s="133" t="s">
        <v>6</v>
      </c>
      <c r="C230" s="94"/>
      <c r="D230" s="659" t="s">
        <v>122</v>
      </c>
      <c r="E230" s="270" t="s">
        <v>522</v>
      </c>
      <c r="F230" s="94"/>
      <c r="G230" s="94"/>
      <c r="H230" s="94"/>
      <c r="I230" s="94"/>
      <c r="J230" s="94"/>
      <c r="K230" s="94"/>
      <c r="L230" s="94"/>
      <c r="M230" s="659" t="s">
        <v>124</v>
      </c>
      <c r="N230" s="136">
        <v>2</v>
      </c>
      <c r="O230" s="93"/>
    </row>
    <row r="231" spans="1:15" x14ac:dyDescent="0.25">
      <c r="A231" s="659" t="s">
        <v>123</v>
      </c>
      <c r="B231" s="270" t="str">
        <f>'ST Assemblies'!B49</f>
        <v>Steering Rack assembly</v>
      </c>
      <c r="C231" s="94"/>
      <c r="D231" s="659" t="s">
        <v>119</v>
      </c>
      <c r="E231" s="94"/>
      <c r="F231" s="94"/>
      <c r="G231" s="94"/>
      <c r="H231" s="94"/>
      <c r="I231" s="94"/>
      <c r="J231" s="660" t="s">
        <v>122</v>
      </c>
      <c r="L231" s="94"/>
      <c r="M231" s="94"/>
      <c r="N231" s="94"/>
      <c r="O231" s="93"/>
    </row>
    <row r="232" spans="1:15" x14ac:dyDescent="0.25">
      <c r="A232" s="659" t="s">
        <v>114</v>
      </c>
      <c r="B232" s="135" t="s">
        <v>1307</v>
      </c>
      <c r="C232" s="94"/>
      <c r="D232" s="659" t="s">
        <v>116</v>
      </c>
      <c r="E232" s="94"/>
      <c r="F232" s="94"/>
      <c r="G232" s="94"/>
      <c r="H232" s="94"/>
      <c r="I232" s="94"/>
      <c r="J232" s="660" t="s">
        <v>119</v>
      </c>
      <c r="K232" s="94"/>
      <c r="L232" s="94"/>
      <c r="M232" s="659" t="s">
        <v>118</v>
      </c>
      <c r="N232" s="100">
        <f>N230*N229</f>
        <v>4.4624385600000007</v>
      </c>
      <c r="O232" s="93"/>
    </row>
    <row r="233" spans="1:15" x14ac:dyDescent="0.25">
      <c r="A233" s="659" t="s">
        <v>121</v>
      </c>
      <c r="B233" s="269" t="s">
        <v>1306</v>
      </c>
      <c r="C233" s="94"/>
      <c r="D233" s="94"/>
      <c r="E233" s="94"/>
      <c r="F233" s="94"/>
      <c r="G233" s="94"/>
      <c r="H233" s="94"/>
      <c r="I233" s="94"/>
      <c r="J233" s="660" t="s">
        <v>116</v>
      </c>
      <c r="K233" s="94"/>
      <c r="L233" s="94"/>
      <c r="M233" s="94"/>
      <c r="N233" s="94"/>
      <c r="O233" s="93"/>
    </row>
    <row r="234" spans="1:15" x14ac:dyDescent="0.25">
      <c r="A234" s="659" t="s">
        <v>117</v>
      </c>
      <c r="B234" s="133" t="s">
        <v>23</v>
      </c>
      <c r="C234" s="94"/>
      <c r="D234" s="94"/>
      <c r="E234" s="94"/>
      <c r="F234" s="94"/>
      <c r="G234" s="94"/>
      <c r="H234" s="94"/>
      <c r="I234" s="94"/>
      <c r="J234" s="94"/>
      <c r="K234" s="94"/>
      <c r="L234" s="94"/>
      <c r="M234" s="94"/>
      <c r="N234" s="94"/>
      <c r="O234" s="93"/>
    </row>
    <row r="235" spans="1:15" x14ac:dyDescent="0.25">
      <c r="A235" s="659" t="s">
        <v>115</v>
      </c>
      <c r="B235" s="133"/>
      <c r="C235" s="94"/>
      <c r="D235" s="94"/>
      <c r="E235" s="94"/>
      <c r="F235" s="94"/>
      <c r="G235" s="94"/>
      <c r="H235" s="94"/>
      <c r="I235" s="94"/>
      <c r="J235" s="94"/>
      <c r="K235" s="94"/>
      <c r="L235" s="94"/>
      <c r="M235" s="94"/>
      <c r="N235" s="94"/>
      <c r="O235" s="93"/>
    </row>
    <row r="236" spans="1:15" x14ac:dyDescent="0.25">
      <c r="A236" s="266"/>
      <c r="B236" s="265"/>
      <c r="C236" s="265"/>
      <c r="D236" s="265"/>
      <c r="E236" s="265"/>
      <c r="F236" s="94"/>
      <c r="G236" s="94"/>
      <c r="H236" s="94"/>
      <c r="I236" s="94"/>
      <c r="J236" s="94"/>
      <c r="K236" s="94"/>
      <c r="L236" s="94"/>
      <c r="M236" s="94"/>
      <c r="N236" s="94"/>
      <c r="O236" s="93"/>
    </row>
    <row r="237" spans="1:15" x14ac:dyDescent="0.25">
      <c r="A237" s="658" t="s">
        <v>67</v>
      </c>
      <c r="B237" s="657" t="s">
        <v>112</v>
      </c>
      <c r="C237" s="657" t="s">
        <v>66</v>
      </c>
      <c r="D237" s="657" t="s">
        <v>65</v>
      </c>
      <c r="E237" s="657" t="s">
        <v>81</v>
      </c>
      <c r="F237" s="652" t="s">
        <v>80</v>
      </c>
      <c r="G237" s="652" t="s">
        <v>79</v>
      </c>
      <c r="H237" s="652" t="s">
        <v>78</v>
      </c>
      <c r="I237" s="652" t="s">
        <v>111</v>
      </c>
      <c r="J237" s="652" t="s">
        <v>110</v>
      </c>
      <c r="K237" s="652" t="s">
        <v>109</v>
      </c>
      <c r="L237" s="652" t="s">
        <v>108</v>
      </c>
      <c r="M237" s="652" t="s">
        <v>40</v>
      </c>
      <c r="N237" s="652" t="s">
        <v>58</v>
      </c>
      <c r="O237" s="93"/>
    </row>
    <row r="238" spans="1:15" ht="30" x14ac:dyDescent="0.25">
      <c r="A238" s="509">
        <v>10</v>
      </c>
      <c r="B238" s="673" t="s">
        <v>754</v>
      </c>
      <c r="C238" s="681" t="s">
        <v>1240</v>
      </c>
      <c r="D238" s="665">
        <v>4.2</v>
      </c>
      <c r="E238" s="509">
        <v>68</v>
      </c>
      <c r="F238" s="509" t="s">
        <v>68</v>
      </c>
      <c r="G238" s="509">
        <v>20</v>
      </c>
      <c r="H238" s="670" t="s">
        <v>68</v>
      </c>
      <c r="I238" s="671" t="s">
        <v>1305</v>
      </c>
      <c r="J238" s="669">
        <f>E238*G238*10^-6</f>
        <v>1.3599999999999999E-3</v>
      </c>
      <c r="K238" s="688">
        <v>1.5E-3</v>
      </c>
      <c r="L238" s="670">
        <v>2710</v>
      </c>
      <c r="M238" s="669">
        <v>1</v>
      </c>
      <c r="N238" s="668">
        <f>IF(J238="",D238*M238,D238*J238*K238*L238*M238)</f>
        <v>2.3219279999999998E-2</v>
      </c>
      <c r="O238" s="143"/>
    </row>
    <row r="239" spans="1:15" x14ac:dyDescent="0.25">
      <c r="A239" s="98"/>
      <c r="B239" s="95"/>
      <c r="C239" s="95"/>
      <c r="D239" s="95"/>
      <c r="E239" s="95"/>
      <c r="F239" s="95"/>
      <c r="G239" s="95"/>
      <c r="H239" s="95"/>
      <c r="I239" s="95"/>
      <c r="J239" s="95"/>
      <c r="K239" s="95"/>
      <c r="L239" s="95"/>
      <c r="M239" s="667" t="s">
        <v>58</v>
      </c>
      <c r="N239" s="648">
        <f>SUM(N238:N238)</f>
        <v>2.3219279999999998E-2</v>
      </c>
      <c r="O239" s="93"/>
    </row>
    <row r="240" spans="1:15" x14ac:dyDescent="0.25">
      <c r="A240" s="107"/>
      <c r="B240" s="94"/>
      <c r="C240" s="94"/>
      <c r="D240" s="94"/>
      <c r="E240" s="94"/>
      <c r="F240" s="94"/>
      <c r="G240" s="94"/>
      <c r="H240" s="94"/>
      <c r="I240" s="94"/>
      <c r="J240" s="94"/>
      <c r="K240" s="94"/>
      <c r="L240" s="94"/>
      <c r="M240" s="94"/>
      <c r="N240" s="94"/>
      <c r="O240" s="93"/>
    </row>
    <row r="241" spans="1:15" x14ac:dyDescent="0.25">
      <c r="A241" s="653" t="s">
        <v>67</v>
      </c>
      <c r="B241" s="652" t="s">
        <v>106</v>
      </c>
      <c r="C241" s="652" t="s">
        <v>66</v>
      </c>
      <c r="D241" s="652" t="s">
        <v>65</v>
      </c>
      <c r="E241" s="652" t="s">
        <v>64</v>
      </c>
      <c r="F241" s="652" t="s">
        <v>40</v>
      </c>
      <c r="G241" s="652" t="s">
        <v>105</v>
      </c>
      <c r="H241" s="652" t="s">
        <v>104</v>
      </c>
      <c r="I241" s="652" t="s">
        <v>58</v>
      </c>
      <c r="J241" s="95"/>
      <c r="K241" s="95"/>
      <c r="L241" s="95"/>
      <c r="M241" s="95"/>
      <c r="N241" s="95"/>
      <c r="O241" s="93"/>
    </row>
    <row r="242" spans="1:15" ht="30" x14ac:dyDescent="0.25">
      <c r="A242" s="510">
        <v>10</v>
      </c>
      <c r="B242" s="651" t="s">
        <v>516</v>
      </c>
      <c r="C242" s="650" t="s">
        <v>1248</v>
      </c>
      <c r="D242" s="665">
        <v>1.3</v>
      </c>
      <c r="E242" s="651" t="s">
        <v>64</v>
      </c>
      <c r="F242" s="510">
        <v>1</v>
      </c>
      <c r="G242" s="510"/>
      <c r="H242" s="510"/>
      <c r="I242" s="662">
        <f>IF(H242="",D242*F242,D242*F242*H242)</f>
        <v>1.3</v>
      </c>
      <c r="J242" s="142"/>
      <c r="K242" s="142"/>
      <c r="L242" s="142"/>
      <c r="M242" s="142"/>
      <c r="N242" s="142"/>
      <c r="O242" s="120"/>
    </row>
    <row r="243" spans="1:15" ht="30" x14ac:dyDescent="0.25">
      <c r="A243" s="509">
        <v>20</v>
      </c>
      <c r="B243" s="509" t="s">
        <v>514</v>
      </c>
      <c r="C243" s="666" t="s">
        <v>1266</v>
      </c>
      <c r="D243" s="665">
        <v>0.04</v>
      </c>
      <c r="E243" s="509" t="s">
        <v>512</v>
      </c>
      <c r="F243" s="676">
        <v>5.2</v>
      </c>
      <c r="G243" s="651" t="s">
        <v>629</v>
      </c>
      <c r="H243" s="510">
        <v>1</v>
      </c>
      <c r="I243" s="662">
        <f>IF(H243="",D243*F243,D243*F243*H243)</f>
        <v>0.20800000000000002</v>
      </c>
      <c r="J243" s="94"/>
      <c r="K243" s="94"/>
      <c r="L243" s="94"/>
      <c r="M243" s="94"/>
      <c r="N243" s="94"/>
      <c r="O243" s="93"/>
    </row>
    <row r="244" spans="1:15" x14ac:dyDescent="0.25">
      <c r="A244" s="509">
        <v>30</v>
      </c>
      <c r="B244" s="509" t="s">
        <v>1228</v>
      </c>
      <c r="C244" s="509" t="s">
        <v>1255</v>
      </c>
      <c r="D244" s="665">
        <v>0.35</v>
      </c>
      <c r="E244" s="509" t="s">
        <v>294</v>
      </c>
      <c r="F244" s="664">
        <v>2</v>
      </c>
      <c r="G244" s="663"/>
      <c r="H244" s="510"/>
      <c r="I244" s="662">
        <f>IF(H244="",D244*F244,D244*F244*H244)</f>
        <v>0.7</v>
      </c>
      <c r="J244" s="99"/>
      <c r="K244" s="99"/>
      <c r="L244" s="99"/>
      <c r="M244" s="99"/>
      <c r="N244" s="99"/>
      <c r="O244" s="130"/>
    </row>
    <row r="245" spans="1:15" x14ac:dyDescent="0.25">
      <c r="A245" s="98"/>
      <c r="B245" s="95"/>
      <c r="C245" s="95"/>
      <c r="D245" s="95"/>
      <c r="E245" s="95"/>
      <c r="F245" s="95"/>
      <c r="G245" s="95"/>
      <c r="H245" s="649" t="s">
        <v>58</v>
      </c>
      <c r="I245" s="648">
        <f>SUM(I242:I244)</f>
        <v>2.2080000000000002</v>
      </c>
      <c r="J245" s="95"/>
      <c r="K245" s="95"/>
      <c r="L245" s="95"/>
      <c r="M245" s="95"/>
      <c r="N245" s="95"/>
      <c r="O245" s="93"/>
    </row>
    <row r="246" spans="1:15" x14ac:dyDescent="0.25">
      <c r="A246" s="107"/>
      <c r="B246" s="94"/>
      <c r="C246" s="94"/>
      <c r="D246" s="94"/>
      <c r="E246" s="94"/>
      <c r="F246" s="94"/>
      <c r="G246" s="94"/>
      <c r="H246" s="94"/>
      <c r="I246" s="99"/>
      <c r="J246" s="94"/>
      <c r="K246" s="94"/>
      <c r="L246" s="94"/>
      <c r="M246" s="94"/>
      <c r="N246" s="94"/>
      <c r="O246" s="93"/>
    </row>
    <row r="247" spans="1:15" ht="15.75" thickBot="1" x14ac:dyDescent="0.3">
      <c r="A247" s="92"/>
      <c r="B247" s="91"/>
      <c r="C247" s="91"/>
      <c r="D247" s="91"/>
      <c r="E247" s="91"/>
      <c r="F247" s="91"/>
      <c r="G247" s="91"/>
      <c r="H247" s="91"/>
      <c r="I247" s="91"/>
      <c r="J247" s="91"/>
      <c r="K247" s="91"/>
      <c r="L247" s="91"/>
      <c r="M247" s="91"/>
      <c r="N247" s="91"/>
      <c r="O247" s="90"/>
    </row>
    <row r="248" spans="1:15" ht="15.75" thickBot="1" x14ac:dyDescent="0.3"/>
    <row r="249" spans="1:15" x14ac:dyDescent="0.25">
      <c r="A249" s="141"/>
      <c r="B249" s="140"/>
      <c r="C249" s="140"/>
      <c r="D249" s="140"/>
      <c r="E249" s="140"/>
      <c r="F249" s="140"/>
      <c r="G249" s="140"/>
      <c r="H249" s="140"/>
      <c r="I249" s="140"/>
      <c r="J249" s="272"/>
      <c r="K249" s="140"/>
      <c r="L249" s="140"/>
      <c r="M249" s="140"/>
      <c r="N249" s="140"/>
      <c r="O249" s="139"/>
    </row>
    <row r="250" spans="1:15" x14ac:dyDescent="0.25">
      <c r="A250" s="659" t="s">
        <v>57</v>
      </c>
      <c r="B250" s="133" t="s">
        <v>523</v>
      </c>
      <c r="C250" s="94"/>
      <c r="D250" s="94"/>
      <c r="E250" s="94"/>
      <c r="F250" s="94"/>
      <c r="G250" s="94"/>
      <c r="H250" s="94"/>
      <c r="I250" s="94"/>
      <c r="J250" s="661" t="s">
        <v>51</v>
      </c>
      <c r="K250" s="138">
        <v>81</v>
      </c>
      <c r="L250" s="94"/>
      <c r="M250" s="659" t="s">
        <v>113</v>
      </c>
      <c r="N250" s="100">
        <f>ST_02007_m+ST_02007_p</f>
        <v>4.1353908959999996</v>
      </c>
      <c r="O250" s="93"/>
    </row>
    <row r="251" spans="1:15" x14ac:dyDescent="0.25">
      <c r="A251" s="659" t="s">
        <v>125</v>
      </c>
      <c r="B251" s="133" t="s">
        <v>6</v>
      </c>
      <c r="C251" s="94"/>
      <c r="D251" s="659" t="s">
        <v>122</v>
      </c>
      <c r="E251" s="270" t="s">
        <v>522</v>
      </c>
      <c r="F251" s="94"/>
      <c r="G251" s="94"/>
      <c r="H251" s="94"/>
      <c r="I251" s="94"/>
      <c r="J251" s="94"/>
      <c r="K251" s="94"/>
      <c r="L251" s="94"/>
      <c r="M251" s="659" t="s">
        <v>124</v>
      </c>
      <c r="N251" s="136">
        <v>2</v>
      </c>
      <c r="O251" s="93"/>
    </row>
    <row r="252" spans="1:15" x14ac:dyDescent="0.25">
      <c r="A252" s="659" t="s">
        <v>123</v>
      </c>
      <c r="B252" s="270" t="str">
        <f>'ST Assemblies'!B49</f>
        <v>Steering Rack assembly</v>
      </c>
      <c r="C252" s="94"/>
      <c r="D252" s="659" t="s">
        <v>119</v>
      </c>
      <c r="E252" s="94"/>
      <c r="F252" s="94"/>
      <c r="G252" s="94"/>
      <c r="H252" s="94"/>
      <c r="I252" s="94"/>
      <c r="J252" s="660" t="s">
        <v>122</v>
      </c>
      <c r="L252" s="94"/>
      <c r="M252" s="94"/>
      <c r="N252" s="94"/>
      <c r="O252" s="93"/>
    </row>
    <row r="253" spans="1:15" x14ac:dyDescent="0.25">
      <c r="A253" s="659" t="s">
        <v>114</v>
      </c>
      <c r="B253" s="135" t="s">
        <v>1304</v>
      </c>
      <c r="C253" s="94"/>
      <c r="D253" s="659" t="s">
        <v>116</v>
      </c>
      <c r="E253" s="94"/>
      <c r="F253" s="94"/>
      <c r="G253" s="94"/>
      <c r="H253" s="94"/>
      <c r="I253" s="94"/>
      <c r="J253" s="660" t="s">
        <v>119</v>
      </c>
      <c r="K253" s="94"/>
      <c r="L253" s="94"/>
      <c r="M253" s="659" t="s">
        <v>118</v>
      </c>
      <c r="N253" s="100">
        <f>N251*N250</f>
        <v>8.2707817919999993</v>
      </c>
      <c r="O253" s="93"/>
    </row>
    <row r="254" spans="1:15" x14ac:dyDescent="0.25">
      <c r="A254" s="659" t="s">
        <v>121</v>
      </c>
      <c r="B254" s="269" t="s">
        <v>1303</v>
      </c>
      <c r="C254" s="94"/>
      <c r="D254" s="94"/>
      <c r="E254" s="94"/>
      <c r="F254" s="94"/>
      <c r="G254" s="94"/>
      <c r="H254" s="94"/>
      <c r="I254" s="94"/>
      <c r="J254" s="660" t="s">
        <v>116</v>
      </c>
      <c r="K254" s="94"/>
      <c r="L254" s="94"/>
      <c r="M254" s="94"/>
      <c r="N254" s="94"/>
      <c r="O254" s="93"/>
    </row>
    <row r="255" spans="1:15" x14ac:dyDescent="0.25">
      <c r="A255" s="659" t="s">
        <v>117</v>
      </c>
      <c r="B255" s="133" t="s">
        <v>23</v>
      </c>
      <c r="C255" s="94"/>
      <c r="D255" s="94"/>
      <c r="E255" s="94"/>
      <c r="F255" s="94"/>
      <c r="G255" s="94"/>
      <c r="H255" s="94"/>
      <c r="I255" s="94"/>
      <c r="J255" s="94"/>
      <c r="K255" s="94"/>
      <c r="L255" s="94"/>
      <c r="M255" s="94"/>
      <c r="N255" s="94"/>
      <c r="O255" s="93"/>
    </row>
    <row r="256" spans="1:15" x14ac:dyDescent="0.25">
      <c r="A256" s="659" t="s">
        <v>115</v>
      </c>
      <c r="B256" s="133"/>
      <c r="C256" s="94"/>
      <c r="D256" s="94"/>
      <c r="E256" s="94"/>
      <c r="F256" s="94"/>
      <c r="G256" s="94"/>
      <c r="H256" s="94"/>
      <c r="I256" s="94"/>
      <c r="J256" s="94"/>
      <c r="K256" s="94"/>
      <c r="L256" s="94"/>
      <c r="M256" s="94"/>
      <c r="N256" s="94"/>
      <c r="O256" s="93"/>
    </row>
    <row r="257" spans="1:15" x14ac:dyDescent="0.25">
      <c r="A257" s="266"/>
      <c r="B257" s="265"/>
      <c r="C257" s="265"/>
      <c r="D257" s="265"/>
      <c r="E257" s="265"/>
      <c r="F257" s="94"/>
      <c r="G257" s="94"/>
      <c r="H257" s="94"/>
      <c r="I257" s="94"/>
      <c r="J257" s="94"/>
      <c r="K257" s="94"/>
      <c r="L257" s="94"/>
      <c r="M257" s="94"/>
      <c r="N257" s="94"/>
      <c r="O257" s="93"/>
    </row>
    <row r="258" spans="1:15" x14ac:dyDescent="0.25">
      <c r="A258" s="658" t="s">
        <v>67</v>
      </c>
      <c r="B258" s="657" t="s">
        <v>112</v>
      </c>
      <c r="C258" s="657" t="s">
        <v>66</v>
      </c>
      <c r="D258" s="657" t="s">
        <v>65</v>
      </c>
      <c r="E258" s="657" t="s">
        <v>81</v>
      </c>
      <c r="F258" s="652" t="s">
        <v>80</v>
      </c>
      <c r="G258" s="652" t="s">
        <v>79</v>
      </c>
      <c r="H258" s="652" t="s">
        <v>78</v>
      </c>
      <c r="I258" s="652" t="s">
        <v>111</v>
      </c>
      <c r="J258" s="652" t="s">
        <v>110</v>
      </c>
      <c r="K258" s="652" t="s">
        <v>109</v>
      </c>
      <c r="L258" s="652" t="s">
        <v>108</v>
      </c>
      <c r="M258" s="652" t="s">
        <v>40</v>
      </c>
      <c r="N258" s="652" t="s">
        <v>58</v>
      </c>
      <c r="O258" s="93"/>
    </row>
    <row r="259" spans="1:15" ht="30" x14ac:dyDescent="0.25">
      <c r="A259" s="509">
        <v>10</v>
      </c>
      <c r="B259" s="673" t="s">
        <v>754</v>
      </c>
      <c r="C259" s="681" t="s">
        <v>1240</v>
      </c>
      <c r="D259" s="665">
        <v>4.2</v>
      </c>
      <c r="E259" s="509">
        <v>26</v>
      </c>
      <c r="F259" s="509" t="s">
        <v>68</v>
      </c>
      <c r="G259" s="509">
        <v>28</v>
      </c>
      <c r="H259" s="670" t="s">
        <v>68</v>
      </c>
      <c r="I259" s="671" t="s">
        <v>1302</v>
      </c>
      <c r="J259" s="683">
        <f>E259*G259*10^-6</f>
        <v>7.2799999999999991E-4</v>
      </c>
      <c r="K259" s="670">
        <v>5.0999999999999997E-2</v>
      </c>
      <c r="L259" s="670">
        <v>2710</v>
      </c>
      <c r="M259" s="669">
        <v>1</v>
      </c>
      <c r="N259" s="668">
        <f>IF(J259="",D259*M259,D259*J259*K259*L259*M259)</f>
        <v>0.42259089599999994</v>
      </c>
      <c r="O259" s="143"/>
    </row>
    <row r="260" spans="1:15" x14ac:dyDescent="0.25">
      <c r="A260" s="98"/>
      <c r="B260" s="95"/>
      <c r="C260" s="95"/>
      <c r="D260" s="95"/>
      <c r="E260" s="95"/>
      <c r="F260" s="95"/>
      <c r="G260" s="95"/>
      <c r="H260" s="95"/>
      <c r="I260" s="95"/>
      <c r="J260" s="95"/>
      <c r="K260" s="95"/>
      <c r="L260" s="95"/>
      <c r="M260" s="667" t="s">
        <v>58</v>
      </c>
      <c r="N260" s="648">
        <f>SUM(N259:N259)</f>
        <v>0.42259089599999994</v>
      </c>
      <c r="O260" s="93"/>
    </row>
    <row r="261" spans="1:15" x14ac:dyDescent="0.25">
      <c r="A261" s="107"/>
      <c r="B261" s="94"/>
      <c r="C261" s="94"/>
      <c r="D261" s="94"/>
      <c r="E261" s="94"/>
      <c r="F261" s="94"/>
      <c r="G261" s="94"/>
      <c r="H261" s="94"/>
      <c r="I261" s="94"/>
      <c r="J261" s="94"/>
      <c r="K261" s="94"/>
      <c r="L261" s="94"/>
      <c r="M261" s="94"/>
      <c r="N261" s="94"/>
      <c r="O261" s="93"/>
    </row>
    <row r="262" spans="1:15" x14ac:dyDescent="0.25">
      <c r="A262" s="653" t="s">
        <v>67</v>
      </c>
      <c r="B262" s="652" t="s">
        <v>106</v>
      </c>
      <c r="C262" s="652" t="s">
        <v>66</v>
      </c>
      <c r="D262" s="652" t="s">
        <v>65</v>
      </c>
      <c r="E262" s="652" t="s">
        <v>64</v>
      </c>
      <c r="F262" s="652" t="s">
        <v>40</v>
      </c>
      <c r="G262" s="652" t="s">
        <v>105</v>
      </c>
      <c r="H262" s="652" t="s">
        <v>104</v>
      </c>
      <c r="I262" s="652" t="s">
        <v>58</v>
      </c>
      <c r="J262" s="95"/>
      <c r="K262" s="95"/>
      <c r="L262" s="95"/>
      <c r="M262" s="95"/>
      <c r="N262" s="95"/>
      <c r="O262" s="93"/>
    </row>
    <row r="263" spans="1:15" ht="30" x14ac:dyDescent="0.25">
      <c r="A263" s="510">
        <v>10</v>
      </c>
      <c r="B263" s="651" t="s">
        <v>516</v>
      </c>
      <c r="C263" s="650" t="s">
        <v>1248</v>
      </c>
      <c r="D263" s="665">
        <v>1.3</v>
      </c>
      <c r="E263" s="651" t="s">
        <v>64</v>
      </c>
      <c r="F263" s="510">
        <v>1</v>
      </c>
      <c r="G263" s="510"/>
      <c r="H263" s="510"/>
      <c r="I263" s="662">
        <f t="shared" ref="I263:I270" si="3">IF(H263="",D263*F263,D263*F263*H263)</f>
        <v>1.3</v>
      </c>
      <c r="J263" s="142"/>
      <c r="K263" s="142"/>
      <c r="L263" s="142"/>
      <c r="M263" s="142"/>
      <c r="N263" s="142"/>
      <c r="O263" s="120"/>
    </row>
    <row r="264" spans="1:15" ht="30" x14ac:dyDescent="0.25">
      <c r="A264" s="509">
        <v>20</v>
      </c>
      <c r="B264" s="509" t="s">
        <v>514</v>
      </c>
      <c r="C264" s="666" t="s">
        <v>1266</v>
      </c>
      <c r="D264" s="665">
        <v>0.04</v>
      </c>
      <c r="E264" s="509" t="s">
        <v>512</v>
      </c>
      <c r="F264" s="687">
        <v>0.22</v>
      </c>
      <c r="G264" s="651" t="s">
        <v>1285</v>
      </c>
      <c r="H264" s="510">
        <v>1</v>
      </c>
      <c r="I264" s="662">
        <f t="shared" si="3"/>
        <v>8.8000000000000005E-3</v>
      </c>
      <c r="J264" s="94"/>
      <c r="K264" s="94"/>
      <c r="L264" s="94"/>
      <c r="M264" s="94"/>
      <c r="N264" s="94"/>
      <c r="O264" s="93"/>
    </row>
    <row r="265" spans="1:15" x14ac:dyDescent="0.25">
      <c r="A265" s="509">
        <v>30</v>
      </c>
      <c r="B265" s="509" t="s">
        <v>1301</v>
      </c>
      <c r="C265" s="509" t="s">
        <v>1244</v>
      </c>
      <c r="D265" s="665">
        <v>0.35</v>
      </c>
      <c r="E265" s="509" t="s">
        <v>294</v>
      </c>
      <c r="F265" s="664">
        <v>1</v>
      </c>
      <c r="G265" s="663"/>
      <c r="H265" s="510"/>
      <c r="I265" s="662">
        <f t="shared" si="3"/>
        <v>0.35</v>
      </c>
      <c r="J265" s="94"/>
      <c r="K265" s="94"/>
      <c r="L265" s="94"/>
      <c r="M265" s="94"/>
      <c r="N265" s="94"/>
      <c r="O265" s="93"/>
    </row>
    <row r="266" spans="1:15" x14ac:dyDescent="0.25">
      <c r="A266" s="509">
        <v>40</v>
      </c>
      <c r="B266" s="509" t="s">
        <v>1265</v>
      </c>
      <c r="C266" s="666" t="s">
        <v>1264</v>
      </c>
      <c r="D266" s="665">
        <v>0.65</v>
      </c>
      <c r="E266" s="509" t="s">
        <v>64</v>
      </c>
      <c r="F266" s="664">
        <v>1</v>
      </c>
      <c r="G266" s="663"/>
      <c r="H266" s="510"/>
      <c r="I266" s="662">
        <f t="shared" si="3"/>
        <v>0.65</v>
      </c>
      <c r="J266" s="94"/>
      <c r="K266" s="94"/>
      <c r="L266" s="94"/>
      <c r="M266" s="94"/>
      <c r="N266" s="94"/>
      <c r="O266" s="93"/>
    </row>
    <row r="267" spans="1:15" x14ac:dyDescent="0.25">
      <c r="A267" s="509">
        <v>50</v>
      </c>
      <c r="B267" s="509" t="s">
        <v>1301</v>
      </c>
      <c r="C267" s="509" t="s">
        <v>1244</v>
      </c>
      <c r="D267" s="665">
        <v>0.35</v>
      </c>
      <c r="E267" s="509" t="s">
        <v>294</v>
      </c>
      <c r="F267" s="664">
        <v>1</v>
      </c>
      <c r="G267" s="663"/>
      <c r="H267" s="510"/>
      <c r="I267" s="662">
        <f t="shared" si="3"/>
        <v>0.35</v>
      </c>
      <c r="J267" s="99"/>
      <c r="K267" s="99"/>
      <c r="L267" s="99"/>
      <c r="M267" s="99"/>
      <c r="N267" s="99"/>
      <c r="O267" s="130"/>
    </row>
    <row r="268" spans="1:15" ht="30" x14ac:dyDescent="0.25">
      <c r="A268" s="509">
        <v>60</v>
      </c>
      <c r="B268" s="509" t="s">
        <v>514</v>
      </c>
      <c r="C268" s="509" t="s">
        <v>1300</v>
      </c>
      <c r="D268" s="665">
        <v>0.04</v>
      </c>
      <c r="E268" s="509" t="s">
        <v>512</v>
      </c>
      <c r="F268" s="676">
        <v>1.5</v>
      </c>
      <c r="G268" s="651" t="s">
        <v>1285</v>
      </c>
      <c r="H268" s="510">
        <v>1</v>
      </c>
      <c r="I268" s="662">
        <f t="shared" si="3"/>
        <v>0.06</v>
      </c>
      <c r="J268" s="94"/>
      <c r="K268" s="94"/>
      <c r="L268" s="94"/>
      <c r="M268" s="94"/>
      <c r="N268" s="94"/>
      <c r="O268" s="93"/>
    </row>
    <row r="269" spans="1:15" ht="30" x14ac:dyDescent="0.25">
      <c r="A269" s="509">
        <v>70</v>
      </c>
      <c r="B269" s="509" t="s">
        <v>1265</v>
      </c>
      <c r="C269" s="666" t="s">
        <v>1299</v>
      </c>
      <c r="D269" s="665">
        <v>0.65</v>
      </c>
      <c r="E269" s="509" t="s">
        <v>64</v>
      </c>
      <c r="F269" s="664">
        <v>1</v>
      </c>
      <c r="G269" s="663"/>
      <c r="H269" s="510"/>
      <c r="I269" s="662">
        <f t="shared" si="3"/>
        <v>0.65</v>
      </c>
      <c r="J269" s="94"/>
      <c r="K269" s="94"/>
      <c r="L269" s="94"/>
      <c r="M269" s="94"/>
      <c r="N269" s="94"/>
      <c r="O269" s="93"/>
    </row>
    <row r="270" spans="1:15" x14ac:dyDescent="0.25">
      <c r="A270" s="509">
        <v>80</v>
      </c>
      <c r="B270" s="509" t="s">
        <v>1228</v>
      </c>
      <c r="C270" s="509" t="s">
        <v>1298</v>
      </c>
      <c r="D270" s="665">
        <v>0.04</v>
      </c>
      <c r="E270" s="509" t="s">
        <v>512</v>
      </c>
      <c r="F270" s="676">
        <v>8.6</v>
      </c>
      <c r="G270" s="663"/>
      <c r="H270" s="510"/>
      <c r="I270" s="662">
        <f t="shared" si="3"/>
        <v>0.34399999999999997</v>
      </c>
      <c r="J270" s="94"/>
      <c r="K270" s="94"/>
      <c r="L270" s="94"/>
      <c r="M270" s="94"/>
      <c r="N270" s="94"/>
      <c r="O270" s="93"/>
    </row>
    <row r="271" spans="1:15" x14ac:dyDescent="0.25">
      <c r="A271" s="98"/>
      <c r="B271" s="95"/>
      <c r="C271" s="95"/>
      <c r="D271" s="95"/>
      <c r="E271" s="95"/>
      <c r="F271" s="95"/>
      <c r="G271" s="95"/>
      <c r="H271" s="649" t="s">
        <v>58</v>
      </c>
      <c r="I271" s="648">
        <f>SUM(I263:I270)</f>
        <v>3.7127999999999997</v>
      </c>
      <c r="J271" s="95"/>
      <c r="K271" s="95"/>
      <c r="L271" s="95"/>
      <c r="M271" s="95"/>
      <c r="N271" s="95"/>
      <c r="O271" s="93"/>
    </row>
    <row r="272" spans="1:15" x14ac:dyDescent="0.25">
      <c r="A272" s="107"/>
      <c r="B272" s="94"/>
      <c r="C272" s="94"/>
      <c r="D272" s="94"/>
      <c r="E272" s="94"/>
      <c r="F272" s="94"/>
      <c r="G272" s="94"/>
      <c r="H272" s="94"/>
      <c r="I272" s="99"/>
      <c r="J272" s="94"/>
      <c r="K272" s="94"/>
      <c r="L272" s="94"/>
      <c r="M272" s="94"/>
      <c r="N272" s="94"/>
      <c r="O272" s="93"/>
    </row>
    <row r="273" spans="1:15" ht="15.75" thickBot="1" x14ac:dyDescent="0.3">
      <c r="A273" s="92"/>
      <c r="B273" s="91"/>
      <c r="C273" s="91"/>
      <c r="D273" s="91"/>
      <c r="E273" s="91"/>
      <c r="F273" s="91"/>
      <c r="G273" s="91"/>
      <c r="H273" s="91"/>
      <c r="I273" s="91"/>
      <c r="J273" s="91"/>
      <c r="K273" s="91"/>
      <c r="L273" s="91"/>
      <c r="M273" s="91"/>
      <c r="N273" s="91"/>
      <c r="O273" s="90"/>
    </row>
    <row r="276" spans="1:15" ht="15.75" thickBot="1" x14ac:dyDescent="0.3"/>
    <row r="277" spans="1:15" x14ac:dyDescent="0.25">
      <c r="A277" s="141"/>
      <c r="B277" s="140"/>
      <c r="C277" s="140"/>
      <c r="D277" s="140"/>
      <c r="E277" s="140"/>
      <c r="F277" s="140"/>
      <c r="G277" s="140"/>
      <c r="H277" s="140"/>
      <c r="I277" s="140"/>
      <c r="J277" s="140"/>
      <c r="K277" s="140"/>
      <c r="L277" s="140"/>
      <c r="M277" s="140"/>
      <c r="N277" s="140"/>
      <c r="O277" s="139"/>
    </row>
    <row r="278" spans="1:15" x14ac:dyDescent="0.25">
      <c r="A278" s="659" t="s">
        <v>57</v>
      </c>
      <c r="B278" s="133" t="s">
        <v>523</v>
      </c>
      <c r="C278" s="94"/>
      <c r="D278" s="94"/>
      <c r="E278" s="94"/>
      <c r="F278" s="94"/>
      <c r="G278" s="94"/>
      <c r="H278" s="94"/>
      <c r="I278" s="94"/>
      <c r="J278" s="661" t="s">
        <v>51</v>
      </c>
      <c r="K278" s="138">
        <v>81</v>
      </c>
      <c r="L278" s="94"/>
      <c r="M278" s="659" t="s">
        <v>113</v>
      </c>
      <c r="N278" s="100">
        <f>ST_03001_m+ST_03001_p</f>
        <v>5.9925924500000001</v>
      </c>
      <c r="O278" s="93"/>
    </row>
    <row r="279" spans="1:15" x14ac:dyDescent="0.25">
      <c r="A279" s="659" t="s">
        <v>125</v>
      </c>
      <c r="B279" s="133" t="s">
        <v>6</v>
      </c>
      <c r="C279" s="94"/>
      <c r="D279" s="659" t="s">
        <v>122</v>
      </c>
      <c r="E279" s="94"/>
      <c r="F279" s="94"/>
      <c r="G279" s="94"/>
      <c r="H279" s="94"/>
      <c r="I279" s="94"/>
      <c r="J279" s="94"/>
      <c r="K279" s="94"/>
      <c r="L279" s="94"/>
      <c r="M279" s="659" t="s">
        <v>124</v>
      </c>
      <c r="N279" s="136">
        <v>1</v>
      </c>
      <c r="O279" s="93"/>
    </row>
    <row r="280" spans="1:15" x14ac:dyDescent="0.25">
      <c r="A280" s="659" t="s">
        <v>123</v>
      </c>
      <c r="B280" s="270" t="str">
        <f>'ST Assemblies'!B94</f>
        <v>Quick Release</v>
      </c>
      <c r="C280" s="94"/>
      <c r="D280" s="659" t="s">
        <v>119</v>
      </c>
      <c r="E280" s="94"/>
      <c r="F280" s="94"/>
      <c r="G280" s="94"/>
      <c r="H280" s="94"/>
      <c r="I280" s="94"/>
      <c r="J280" s="660" t="s">
        <v>122</v>
      </c>
      <c r="K280" s="94"/>
      <c r="L280" s="94"/>
      <c r="M280" s="94"/>
      <c r="N280" s="94"/>
      <c r="O280" s="93"/>
    </row>
    <row r="281" spans="1:15" x14ac:dyDescent="0.25">
      <c r="A281" s="659" t="s">
        <v>114</v>
      </c>
      <c r="B281" s="682" t="s">
        <v>1297</v>
      </c>
      <c r="C281" s="94"/>
      <c r="D281" s="659" t="s">
        <v>116</v>
      </c>
      <c r="E281" s="94"/>
      <c r="F281" s="94"/>
      <c r="G281" s="94"/>
      <c r="H281" s="94"/>
      <c r="I281" s="94"/>
      <c r="J281" s="660" t="s">
        <v>119</v>
      </c>
      <c r="K281" s="94"/>
      <c r="L281" s="94"/>
      <c r="M281" s="659" t="s">
        <v>118</v>
      </c>
      <c r="N281" s="100">
        <f>N279*N278</f>
        <v>5.9925924500000001</v>
      </c>
      <c r="O281" s="93"/>
    </row>
    <row r="282" spans="1:15" x14ac:dyDescent="0.25">
      <c r="A282" s="659" t="s">
        <v>121</v>
      </c>
      <c r="B282" s="269" t="s">
        <v>1296</v>
      </c>
      <c r="C282" s="94"/>
      <c r="D282" s="94"/>
      <c r="E282" s="94"/>
      <c r="F282" s="94"/>
      <c r="G282" s="94"/>
      <c r="H282" s="94"/>
      <c r="I282" s="94"/>
      <c r="J282" s="660" t="s">
        <v>116</v>
      </c>
      <c r="K282" s="94"/>
      <c r="L282" s="94"/>
      <c r="M282" s="94"/>
      <c r="N282" s="94"/>
      <c r="O282" s="93"/>
    </row>
    <row r="283" spans="1:15" x14ac:dyDescent="0.25">
      <c r="A283" s="659" t="s">
        <v>117</v>
      </c>
      <c r="B283" s="133" t="s">
        <v>23</v>
      </c>
      <c r="C283" s="94"/>
      <c r="D283" s="94"/>
      <c r="E283" s="94"/>
      <c r="F283" s="94"/>
      <c r="G283" s="94"/>
      <c r="H283" s="94"/>
      <c r="I283" s="94"/>
      <c r="J283" s="94"/>
      <c r="K283" s="94"/>
      <c r="L283" s="94"/>
      <c r="M283" s="94"/>
      <c r="N283" s="94"/>
      <c r="O283" s="93"/>
    </row>
    <row r="284" spans="1:15" x14ac:dyDescent="0.25">
      <c r="A284" s="659" t="s">
        <v>115</v>
      </c>
      <c r="B284" s="133" t="s">
        <v>1287</v>
      </c>
      <c r="C284" s="94"/>
      <c r="D284" s="94"/>
      <c r="E284" s="94"/>
      <c r="F284" s="94"/>
      <c r="G284" s="94"/>
      <c r="H284" s="94"/>
      <c r="I284" s="94"/>
      <c r="J284" s="94"/>
      <c r="K284" s="94"/>
      <c r="L284" s="94"/>
      <c r="M284" s="94"/>
      <c r="N284" s="94"/>
      <c r="O284" s="93"/>
    </row>
    <row r="285" spans="1:15" x14ac:dyDescent="0.25">
      <c r="A285" s="266"/>
      <c r="B285" s="265"/>
      <c r="C285" s="265"/>
      <c r="D285" s="265"/>
      <c r="E285" s="265"/>
      <c r="F285" s="94"/>
      <c r="G285" s="94"/>
      <c r="H285" s="94"/>
      <c r="I285" s="94"/>
      <c r="J285" s="94"/>
      <c r="K285" s="94"/>
      <c r="L285" s="94"/>
      <c r="M285" s="94"/>
      <c r="N285" s="94"/>
      <c r="O285" s="93"/>
    </row>
    <row r="286" spans="1:15" x14ac:dyDescent="0.25">
      <c r="A286" s="658" t="s">
        <v>67</v>
      </c>
      <c r="B286" s="657" t="s">
        <v>112</v>
      </c>
      <c r="C286" s="657" t="s">
        <v>66</v>
      </c>
      <c r="D286" s="657" t="s">
        <v>65</v>
      </c>
      <c r="E286" s="657" t="s">
        <v>81</v>
      </c>
      <c r="F286" s="652" t="s">
        <v>80</v>
      </c>
      <c r="G286" s="652" t="s">
        <v>79</v>
      </c>
      <c r="H286" s="652" t="s">
        <v>78</v>
      </c>
      <c r="I286" s="652" t="s">
        <v>111</v>
      </c>
      <c r="J286" s="652" t="s">
        <v>110</v>
      </c>
      <c r="K286" s="652" t="s">
        <v>109</v>
      </c>
      <c r="L286" s="652" t="s">
        <v>108</v>
      </c>
      <c r="M286" s="652" t="s">
        <v>40</v>
      </c>
      <c r="N286" s="652" t="s">
        <v>58</v>
      </c>
      <c r="O286" s="93"/>
    </row>
    <row r="287" spans="1:15" x14ac:dyDescent="0.25">
      <c r="A287" s="509">
        <v>10</v>
      </c>
      <c r="B287" s="673" t="s">
        <v>729</v>
      </c>
      <c r="C287" s="672" t="s">
        <v>1268</v>
      </c>
      <c r="D287" s="665">
        <v>2.25</v>
      </c>
      <c r="E287" s="509">
        <v>12.5</v>
      </c>
      <c r="F287" s="509" t="s">
        <v>68</v>
      </c>
      <c r="G287" s="509"/>
      <c r="H287" s="670"/>
      <c r="I287" s="671" t="s">
        <v>1295</v>
      </c>
      <c r="J287" s="669">
        <f>4.9*10^-2</f>
        <v>4.9000000000000002E-2</v>
      </c>
      <c r="K287" s="679">
        <v>7.2999999999999995E-2</v>
      </c>
      <c r="L287" s="670">
        <v>7860</v>
      </c>
      <c r="M287" s="669">
        <v>1</v>
      </c>
      <c r="N287" s="668">
        <f>IF(J287="",D287*M287,D287*J287*K287*L287*M287)/100</f>
        <v>0.63259244999999997</v>
      </c>
      <c r="O287" s="143"/>
    </row>
    <row r="288" spans="1:15" x14ac:dyDescent="0.25">
      <c r="A288" s="98"/>
      <c r="B288" s="95"/>
      <c r="C288" s="95"/>
      <c r="D288" s="95"/>
      <c r="E288" s="95"/>
      <c r="F288" s="95"/>
      <c r="G288" s="95"/>
      <c r="H288" s="95"/>
      <c r="I288" s="95"/>
      <c r="J288" s="95"/>
      <c r="K288" s="95"/>
      <c r="L288" s="95"/>
      <c r="M288" s="667" t="s">
        <v>58</v>
      </c>
      <c r="N288" s="648">
        <f>SUM(N287:N287)</f>
        <v>0.63259244999999997</v>
      </c>
      <c r="O288" s="93"/>
    </row>
    <row r="289" spans="1:15" x14ac:dyDescent="0.25">
      <c r="A289" s="678"/>
      <c r="B289" s="549"/>
      <c r="C289" s="549"/>
      <c r="D289" s="549"/>
      <c r="E289" s="549"/>
      <c r="F289" s="549"/>
      <c r="G289" s="549"/>
      <c r="H289" s="549"/>
      <c r="I289" s="549"/>
      <c r="J289" s="94"/>
      <c r="K289" s="94"/>
      <c r="L289" s="94"/>
      <c r="M289" s="94"/>
      <c r="N289" s="94"/>
      <c r="O289" s="93"/>
    </row>
    <row r="290" spans="1:15" x14ac:dyDescent="0.25">
      <c r="A290" s="653" t="s">
        <v>67</v>
      </c>
      <c r="B290" s="652" t="s">
        <v>106</v>
      </c>
      <c r="C290" s="652" t="s">
        <v>66</v>
      </c>
      <c r="D290" s="652" t="s">
        <v>65</v>
      </c>
      <c r="E290" s="652" t="s">
        <v>64</v>
      </c>
      <c r="F290" s="652" t="s">
        <v>40</v>
      </c>
      <c r="G290" s="652" t="s">
        <v>105</v>
      </c>
      <c r="H290" s="652" t="s">
        <v>104</v>
      </c>
      <c r="I290" s="652" t="s">
        <v>58</v>
      </c>
      <c r="J290" s="95"/>
      <c r="K290" s="95"/>
      <c r="L290" s="95"/>
      <c r="M290" s="95"/>
      <c r="N290" s="95"/>
      <c r="O290" s="93"/>
    </row>
    <row r="291" spans="1:15" ht="30" x14ac:dyDescent="0.25">
      <c r="A291" s="510">
        <v>10</v>
      </c>
      <c r="B291" s="651" t="s">
        <v>516</v>
      </c>
      <c r="C291" s="650" t="s">
        <v>528</v>
      </c>
      <c r="D291" s="665">
        <v>1.3</v>
      </c>
      <c r="E291" s="651" t="s">
        <v>64</v>
      </c>
      <c r="F291" s="510">
        <v>1</v>
      </c>
      <c r="G291" s="510"/>
      <c r="H291" s="510"/>
      <c r="I291" s="662">
        <f>IF(H291="",D291*F291,D291*F291*H291)</f>
        <v>1.3</v>
      </c>
      <c r="J291" s="142"/>
      <c r="K291" s="142"/>
      <c r="L291" s="142"/>
      <c r="M291" s="142"/>
      <c r="N291" s="142"/>
      <c r="O291" s="120"/>
    </row>
    <row r="292" spans="1:15" x14ac:dyDescent="0.25">
      <c r="A292" s="510">
        <v>20</v>
      </c>
      <c r="B292" s="651" t="s">
        <v>514</v>
      </c>
      <c r="C292" s="650" t="s">
        <v>1263</v>
      </c>
      <c r="D292" s="665">
        <v>0.04</v>
      </c>
      <c r="E292" s="651" t="s">
        <v>512</v>
      </c>
      <c r="F292" s="510">
        <v>13</v>
      </c>
      <c r="G292" s="510" t="s">
        <v>743</v>
      </c>
      <c r="H292" s="510">
        <v>3</v>
      </c>
      <c r="I292" s="662">
        <f>IF(H292="",D292*F292,D292*F292*H292)</f>
        <v>1.56</v>
      </c>
      <c r="J292" s="142"/>
      <c r="K292" s="142"/>
      <c r="L292" s="142"/>
      <c r="M292" s="142"/>
      <c r="N292" s="142"/>
      <c r="O292" s="120"/>
    </row>
    <row r="293" spans="1:15" x14ac:dyDescent="0.25">
      <c r="A293" s="509">
        <v>30</v>
      </c>
      <c r="B293" s="509" t="s">
        <v>1292</v>
      </c>
      <c r="C293" s="666" t="s">
        <v>1291</v>
      </c>
      <c r="D293" s="665">
        <v>0.5</v>
      </c>
      <c r="E293" s="509" t="s">
        <v>101</v>
      </c>
      <c r="F293" s="664">
        <v>5</v>
      </c>
      <c r="G293" s="663"/>
      <c r="H293" s="510"/>
      <c r="I293" s="662">
        <f>IF(H293="",D293*F293,D293*F293*H293)</f>
        <v>2.5</v>
      </c>
      <c r="J293" s="94"/>
      <c r="K293" s="94"/>
      <c r="L293" s="94"/>
      <c r="M293" s="94"/>
      <c r="N293" s="94"/>
      <c r="O293" s="93"/>
    </row>
    <row r="294" spans="1:15" x14ac:dyDescent="0.25">
      <c r="A294" s="98"/>
      <c r="B294" s="95"/>
      <c r="C294" s="95"/>
      <c r="D294" s="95"/>
      <c r="E294" s="95"/>
      <c r="F294" s="95"/>
      <c r="G294" s="95"/>
      <c r="H294" s="649" t="s">
        <v>58</v>
      </c>
      <c r="I294" s="648">
        <f>SUM(I291:I293)</f>
        <v>5.36</v>
      </c>
      <c r="J294" s="95"/>
      <c r="K294" s="95"/>
      <c r="L294" s="95"/>
      <c r="M294" s="95"/>
      <c r="N294" s="95"/>
      <c r="O294" s="93"/>
    </row>
    <row r="295" spans="1:15" x14ac:dyDescent="0.25">
      <c r="A295" s="107"/>
      <c r="B295" s="94"/>
      <c r="C295" s="94"/>
      <c r="D295" s="94"/>
      <c r="E295" s="94"/>
      <c r="F295" s="94"/>
      <c r="G295" s="94"/>
      <c r="H295" s="675"/>
      <c r="I295" s="674"/>
      <c r="J295" s="94"/>
      <c r="K295" s="94"/>
      <c r="L295" s="94"/>
      <c r="M295" s="94"/>
      <c r="N295" s="94"/>
      <c r="O295" s="93"/>
    </row>
    <row r="296" spans="1:15" ht="15.75" thickBot="1" x14ac:dyDescent="0.3">
      <c r="A296" s="92"/>
      <c r="B296" s="91"/>
      <c r="C296" s="91"/>
      <c r="D296" s="91"/>
      <c r="E296" s="91"/>
      <c r="F296" s="91"/>
      <c r="G296" s="91"/>
      <c r="H296" s="91"/>
      <c r="I296" s="91"/>
      <c r="J296" s="91"/>
      <c r="K296" s="91"/>
      <c r="L296" s="91"/>
      <c r="M296" s="91"/>
      <c r="N296" s="91"/>
      <c r="O296" s="90"/>
    </row>
    <row r="297" spans="1:15" ht="15.75" thickBot="1" x14ac:dyDescent="0.3"/>
    <row r="298" spans="1:15" x14ac:dyDescent="0.25">
      <c r="A298" s="141"/>
      <c r="B298" s="140"/>
      <c r="C298" s="140"/>
      <c r="D298" s="140"/>
      <c r="E298" s="140"/>
      <c r="F298" s="140"/>
      <c r="G298" s="140"/>
      <c r="H298" s="140"/>
      <c r="I298" s="140"/>
      <c r="J298" s="272"/>
      <c r="K298" s="140"/>
      <c r="L298" s="140"/>
      <c r="M298" s="140"/>
      <c r="N298" s="140"/>
      <c r="O298" s="139"/>
    </row>
    <row r="299" spans="1:15" x14ac:dyDescent="0.25">
      <c r="A299" s="659" t="s">
        <v>57</v>
      </c>
      <c r="B299" s="133" t="s">
        <v>523</v>
      </c>
      <c r="C299" s="94"/>
      <c r="D299" s="94"/>
      <c r="E299" s="94"/>
      <c r="F299" s="94"/>
      <c r="G299" s="94"/>
      <c r="H299" s="94"/>
      <c r="I299" s="94"/>
      <c r="J299" s="661" t="s">
        <v>51</v>
      </c>
      <c r="K299" s="138">
        <v>81</v>
      </c>
      <c r="L299" s="94"/>
      <c r="M299" s="659" t="s">
        <v>113</v>
      </c>
      <c r="N299" s="100">
        <f>ST_03002_m+ST_03002_p</f>
        <v>11.077237381849999</v>
      </c>
      <c r="O299" s="93"/>
    </row>
    <row r="300" spans="1:15" x14ac:dyDescent="0.25">
      <c r="A300" s="659" t="s">
        <v>125</v>
      </c>
      <c r="B300" s="133" t="s">
        <v>6</v>
      </c>
      <c r="C300" s="94"/>
      <c r="D300" s="659" t="s">
        <v>122</v>
      </c>
      <c r="E300" s="94"/>
      <c r="F300" s="94"/>
      <c r="G300" s="94"/>
      <c r="H300" s="94"/>
      <c r="I300" s="94"/>
      <c r="J300" s="94"/>
      <c r="K300" s="94"/>
      <c r="L300" s="94"/>
      <c r="M300" s="659" t="s">
        <v>124</v>
      </c>
      <c r="N300" s="136">
        <v>1</v>
      </c>
      <c r="O300" s="93"/>
    </row>
    <row r="301" spans="1:15" x14ac:dyDescent="0.25">
      <c r="A301" s="659" t="s">
        <v>123</v>
      </c>
      <c r="B301" s="270" t="str">
        <f>'ST Assemblies'!B94</f>
        <v>Quick Release</v>
      </c>
      <c r="C301" s="94"/>
      <c r="D301" s="659" t="s">
        <v>119</v>
      </c>
      <c r="E301" s="94"/>
      <c r="F301" s="94"/>
      <c r="G301" s="94"/>
      <c r="H301" s="94"/>
      <c r="I301" s="94"/>
      <c r="J301" s="660" t="s">
        <v>122</v>
      </c>
      <c r="K301" s="94"/>
      <c r="L301" s="94"/>
      <c r="M301" s="94"/>
      <c r="N301" s="94"/>
      <c r="O301" s="93"/>
    </row>
    <row r="302" spans="1:15" x14ac:dyDescent="0.25">
      <c r="A302" s="659" t="s">
        <v>114</v>
      </c>
      <c r="B302" s="135" t="s">
        <v>1294</v>
      </c>
      <c r="C302" s="94"/>
      <c r="D302" s="659" t="s">
        <v>116</v>
      </c>
      <c r="E302" s="94"/>
      <c r="F302" s="94"/>
      <c r="G302" s="94"/>
      <c r="H302" s="94"/>
      <c r="I302" s="94"/>
      <c r="J302" s="660" t="s">
        <v>119</v>
      </c>
      <c r="K302" s="94"/>
      <c r="L302" s="94"/>
      <c r="M302" s="659" t="s">
        <v>118</v>
      </c>
      <c r="N302" s="100">
        <f>N300*N299</f>
        <v>11.077237381849999</v>
      </c>
      <c r="O302" s="93"/>
    </row>
    <row r="303" spans="1:15" x14ac:dyDescent="0.25">
      <c r="A303" s="659" t="s">
        <v>121</v>
      </c>
      <c r="B303" s="269" t="s">
        <v>1293</v>
      </c>
      <c r="C303" s="94"/>
      <c r="D303" s="94"/>
      <c r="E303" s="94"/>
      <c r="F303" s="94"/>
      <c r="G303" s="94"/>
      <c r="H303" s="94"/>
      <c r="I303" s="94"/>
      <c r="J303" s="660" t="s">
        <v>116</v>
      </c>
      <c r="K303" s="94"/>
      <c r="L303" s="94"/>
      <c r="M303" s="94"/>
      <c r="N303" s="94"/>
      <c r="O303" s="93"/>
    </row>
    <row r="304" spans="1:15" x14ac:dyDescent="0.25">
      <c r="A304" s="659" t="s">
        <v>117</v>
      </c>
      <c r="B304" s="133" t="s">
        <v>23</v>
      </c>
      <c r="C304" s="94"/>
      <c r="D304" s="94"/>
      <c r="E304" s="94"/>
      <c r="F304" s="94"/>
      <c r="G304" s="94"/>
      <c r="H304" s="94"/>
      <c r="I304" s="94"/>
      <c r="J304" s="94"/>
      <c r="K304" s="94"/>
      <c r="L304" s="94"/>
      <c r="M304" s="94"/>
      <c r="N304" s="94"/>
      <c r="O304" s="93"/>
    </row>
    <row r="305" spans="1:15" x14ac:dyDescent="0.25">
      <c r="A305" s="659" t="s">
        <v>115</v>
      </c>
      <c r="B305" s="133" t="s">
        <v>1287</v>
      </c>
      <c r="C305" s="94"/>
      <c r="D305" s="94"/>
      <c r="E305" s="94"/>
      <c r="F305" s="94"/>
      <c r="G305" s="94"/>
      <c r="H305" s="94"/>
      <c r="I305" s="94"/>
      <c r="J305" s="94"/>
      <c r="K305" s="94"/>
      <c r="L305" s="94"/>
      <c r="M305" s="94"/>
      <c r="N305" s="94"/>
      <c r="O305" s="93"/>
    </row>
    <row r="306" spans="1:15" x14ac:dyDescent="0.25">
      <c r="A306" s="266"/>
      <c r="B306" s="265"/>
      <c r="C306" s="265"/>
      <c r="D306" s="265"/>
      <c r="E306" s="265"/>
      <c r="F306" s="94"/>
      <c r="G306" s="94"/>
      <c r="H306" s="94"/>
      <c r="I306" s="94"/>
      <c r="J306" s="94"/>
      <c r="K306" s="94"/>
      <c r="L306" s="94"/>
      <c r="M306" s="94"/>
      <c r="N306" s="94"/>
      <c r="O306" s="93"/>
    </row>
    <row r="307" spans="1:15" x14ac:dyDescent="0.25">
      <c r="A307" s="658" t="s">
        <v>67</v>
      </c>
      <c r="B307" s="657" t="s">
        <v>112</v>
      </c>
      <c r="C307" s="657" t="s">
        <v>66</v>
      </c>
      <c r="D307" s="657" t="s">
        <v>65</v>
      </c>
      <c r="E307" s="657" t="s">
        <v>81</v>
      </c>
      <c r="F307" s="652" t="s">
        <v>80</v>
      </c>
      <c r="G307" s="652" t="s">
        <v>79</v>
      </c>
      <c r="H307" s="652" t="s">
        <v>78</v>
      </c>
      <c r="I307" s="652" t="s">
        <v>111</v>
      </c>
      <c r="J307" s="652" t="s">
        <v>110</v>
      </c>
      <c r="K307" s="652" t="s">
        <v>109</v>
      </c>
      <c r="L307" s="652" t="s">
        <v>108</v>
      </c>
      <c r="M307" s="652" t="s">
        <v>40</v>
      </c>
      <c r="N307" s="652" t="s">
        <v>58</v>
      </c>
      <c r="O307" s="93"/>
    </row>
    <row r="308" spans="1:15" ht="30" x14ac:dyDescent="0.25">
      <c r="A308" s="509">
        <v>10</v>
      </c>
      <c r="B308" s="673" t="s">
        <v>754</v>
      </c>
      <c r="C308" s="672" t="s">
        <v>1240</v>
      </c>
      <c r="D308" s="665">
        <v>4.2</v>
      </c>
      <c r="E308" s="509">
        <v>71</v>
      </c>
      <c r="F308" s="509" t="s">
        <v>68</v>
      </c>
      <c r="G308" s="509"/>
      <c r="H308" s="670"/>
      <c r="I308" s="671" t="s">
        <v>1286</v>
      </c>
      <c r="J308" s="686">
        <f>3.14*0.0355^2</f>
        <v>3.9571849999999993E-3</v>
      </c>
      <c r="K308" s="679">
        <v>5.5E-2</v>
      </c>
      <c r="L308" s="670">
        <v>2710</v>
      </c>
      <c r="M308" s="669">
        <v>1</v>
      </c>
      <c r="N308" s="668">
        <f>IF(J308="",D308*M308,D308*J308*K308*L308*M308)</f>
        <v>2.4772373818499998</v>
      </c>
      <c r="O308" s="143"/>
    </row>
    <row r="309" spans="1:15" x14ac:dyDescent="0.25">
      <c r="A309" s="98"/>
      <c r="B309" s="95"/>
      <c r="C309" s="95"/>
      <c r="D309" s="95"/>
      <c r="E309" s="95"/>
      <c r="F309" s="95"/>
      <c r="G309" s="95"/>
      <c r="H309" s="95"/>
      <c r="I309" s="95"/>
      <c r="J309" s="95"/>
      <c r="K309" s="95"/>
      <c r="L309" s="95"/>
      <c r="M309" s="667" t="s">
        <v>58</v>
      </c>
      <c r="N309" s="648">
        <f>SUM(N308:N308)</f>
        <v>2.4772373818499998</v>
      </c>
      <c r="O309" s="93"/>
    </row>
    <row r="310" spans="1:15" x14ac:dyDescent="0.25">
      <c r="A310" s="107"/>
      <c r="B310" s="94"/>
      <c r="C310" s="94"/>
      <c r="D310" s="94"/>
      <c r="E310" s="94"/>
      <c r="F310" s="94"/>
      <c r="G310" s="94"/>
      <c r="H310" s="94"/>
      <c r="I310" s="94"/>
      <c r="J310" s="94"/>
      <c r="K310" s="94"/>
      <c r="L310" s="94"/>
      <c r="M310" s="94"/>
      <c r="N310" s="94"/>
      <c r="O310" s="93"/>
    </row>
    <row r="311" spans="1:15" x14ac:dyDescent="0.25">
      <c r="A311" s="653" t="s">
        <v>67</v>
      </c>
      <c r="B311" s="652" t="s">
        <v>106</v>
      </c>
      <c r="C311" s="652" t="s">
        <v>66</v>
      </c>
      <c r="D311" s="652" t="s">
        <v>65</v>
      </c>
      <c r="E311" s="652" t="s">
        <v>64</v>
      </c>
      <c r="F311" s="652" t="s">
        <v>40</v>
      </c>
      <c r="G311" s="652" t="s">
        <v>105</v>
      </c>
      <c r="H311" s="652" t="s">
        <v>104</v>
      </c>
      <c r="I311" s="652" t="s">
        <v>58</v>
      </c>
      <c r="J311" s="95"/>
      <c r="K311" s="95"/>
      <c r="L311" s="95"/>
      <c r="M311" s="95"/>
      <c r="N311" s="95"/>
      <c r="O311" s="93"/>
    </row>
    <row r="312" spans="1:15" ht="30" x14ac:dyDescent="0.25">
      <c r="A312" s="510">
        <v>10</v>
      </c>
      <c r="B312" s="651" t="s">
        <v>516</v>
      </c>
      <c r="C312" s="650" t="s">
        <v>528</v>
      </c>
      <c r="D312" s="665">
        <v>1.3</v>
      </c>
      <c r="E312" s="651" t="s">
        <v>64</v>
      </c>
      <c r="F312" s="510">
        <v>1</v>
      </c>
      <c r="G312" s="510"/>
      <c r="H312" s="510"/>
      <c r="I312" s="662">
        <f>IF(H312="",D312*F312,D312*F312*H312)</f>
        <v>1.3</v>
      </c>
      <c r="J312" s="142"/>
      <c r="K312" s="142"/>
      <c r="L312" s="142"/>
      <c r="M312" s="142"/>
      <c r="N312" s="142"/>
      <c r="O312" s="120"/>
    </row>
    <row r="313" spans="1:15" ht="30" x14ac:dyDescent="0.25">
      <c r="A313" s="510">
        <v>20</v>
      </c>
      <c r="B313" s="651" t="s">
        <v>514</v>
      </c>
      <c r="C313" s="650" t="s">
        <v>1263</v>
      </c>
      <c r="D313" s="665">
        <v>0.04</v>
      </c>
      <c r="E313" s="651" t="s">
        <v>512</v>
      </c>
      <c r="F313" s="510">
        <v>120</v>
      </c>
      <c r="G313" s="650" t="s">
        <v>1285</v>
      </c>
      <c r="H313" s="510">
        <v>1</v>
      </c>
      <c r="I313" s="662">
        <f>IF(H313="",D313*F313,D313*F313*H313)</f>
        <v>4.8</v>
      </c>
      <c r="J313" s="94"/>
      <c r="K313" s="94"/>
      <c r="L313" s="94"/>
      <c r="M313" s="94"/>
      <c r="N313" s="94"/>
      <c r="O313" s="93"/>
    </row>
    <row r="314" spans="1:15" x14ac:dyDescent="0.25">
      <c r="A314" s="509">
        <v>30</v>
      </c>
      <c r="B314" s="666" t="s">
        <v>1292</v>
      </c>
      <c r="C314" s="666" t="s">
        <v>1291</v>
      </c>
      <c r="D314" s="665">
        <v>0.5</v>
      </c>
      <c r="E314" s="509" t="s">
        <v>101</v>
      </c>
      <c r="F314" s="664">
        <v>5</v>
      </c>
      <c r="G314" s="663"/>
      <c r="H314" s="510"/>
      <c r="I314" s="662">
        <f>IF(H314="",D314*F314,D314*F314*H314)</f>
        <v>2.5</v>
      </c>
      <c r="J314" s="94"/>
      <c r="K314" s="94"/>
      <c r="L314" s="94"/>
      <c r="M314" s="94"/>
      <c r="N314" s="94"/>
      <c r="O314" s="93"/>
    </row>
    <row r="315" spans="1:15" x14ac:dyDescent="0.25">
      <c r="A315" s="509">
        <v>40</v>
      </c>
      <c r="B315" s="666" t="s">
        <v>1284</v>
      </c>
      <c r="C315" s="666"/>
      <c r="D315" s="665" t="s">
        <v>1290</v>
      </c>
      <c r="E315" s="509"/>
      <c r="F315" s="664"/>
      <c r="G315" s="663"/>
      <c r="H315" s="510"/>
      <c r="I315" s="662"/>
      <c r="J315" s="99"/>
      <c r="K315" s="99"/>
      <c r="L315" s="99"/>
      <c r="M315" s="99"/>
      <c r="N315" s="99"/>
      <c r="O315" s="130"/>
    </row>
    <row r="316" spans="1:15" x14ac:dyDescent="0.25">
      <c r="A316" s="98"/>
      <c r="B316" s="95"/>
      <c r="C316" s="95"/>
      <c r="D316" s="95"/>
      <c r="E316" s="95"/>
      <c r="F316" s="95"/>
      <c r="G316" s="95"/>
      <c r="H316" s="649" t="s">
        <v>58</v>
      </c>
      <c r="I316" s="648">
        <f>SUM(I312:I315)</f>
        <v>8.6</v>
      </c>
      <c r="J316" s="95"/>
      <c r="K316" s="95"/>
      <c r="L316" s="95"/>
      <c r="M316" s="95"/>
      <c r="N316" s="95"/>
      <c r="O316" s="93"/>
    </row>
    <row r="317" spans="1:15" ht="15.75" thickBot="1" x14ac:dyDescent="0.3">
      <c r="A317" s="92"/>
      <c r="B317" s="91"/>
      <c r="C317" s="91"/>
      <c r="D317" s="91"/>
      <c r="E317" s="91"/>
      <c r="F317" s="91"/>
      <c r="G317" s="91"/>
      <c r="H317" s="91"/>
      <c r="I317" s="91"/>
      <c r="J317" s="91"/>
      <c r="K317" s="91"/>
      <c r="L317" s="91"/>
      <c r="M317" s="91"/>
      <c r="N317" s="91"/>
      <c r="O317" s="90"/>
    </row>
    <row r="318" spans="1:15" ht="15.75" thickBot="1" x14ac:dyDescent="0.3"/>
    <row r="319" spans="1:15" x14ac:dyDescent="0.25">
      <c r="A319" s="141"/>
      <c r="B319" s="140"/>
      <c r="C319" s="140"/>
      <c r="D319" s="140"/>
      <c r="E319" s="140"/>
      <c r="F319" s="140"/>
      <c r="G319" s="140"/>
      <c r="H319" s="140"/>
      <c r="I319" s="140"/>
      <c r="J319" s="272"/>
      <c r="K319" s="140"/>
      <c r="L319" s="140"/>
      <c r="M319" s="140"/>
      <c r="N319" s="140"/>
      <c r="O319" s="139"/>
    </row>
    <row r="320" spans="1:15" x14ac:dyDescent="0.25">
      <c r="A320" s="659" t="s">
        <v>57</v>
      </c>
      <c r="B320" s="133" t="s">
        <v>523</v>
      </c>
      <c r="C320" s="94"/>
      <c r="D320" s="94"/>
      <c r="E320" s="94"/>
      <c r="F320" s="94"/>
      <c r="G320" s="94"/>
      <c r="H320" s="94"/>
      <c r="I320" s="94"/>
      <c r="J320" s="661" t="s">
        <v>51</v>
      </c>
      <c r="K320" s="138">
        <v>81</v>
      </c>
      <c r="L320" s="94"/>
      <c r="M320" s="659" t="s">
        <v>113</v>
      </c>
      <c r="N320" s="100">
        <f>ST_03003_m+ST_03003_p</f>
        <v>9.77723738185</v>
      </c>
      <c r="O320" s="93"/>
    </row>
    <row r="321" spans="1:15" x14ac:dyDescent="0.25">
      <c r="A321" s="659" t="s">
        <v>125</v>
      </c>
      <c r="B321" s="133" t="s">
        <v>6</v>
      </c>
      <c r="C321" s="94"/>
      <c r="D321" s="659" t="s">
        <v>122</v>
      </c>
      <c r="E321" s="94"/>
      <c r="F321" s="94"/>
      <c r="G321" s="94"/>
      <c r="H321" s="94"/>
      <c r="I321" s="94"/>
      <c r="J321" s="94"/>
      <c r="K321" s="94"/>
      <c r="L321" s="94"/>
      <c r="M321" s="659" t="s">
        <v>124</v>
      </c>
      <c r="N321" s="136">
        <v>1</v>
      </c>
      <c r="O321" s="93"/>
    </row>
    <row r="322" spans="1:15" x14ac:dyDescent="0.25">
      <c r="A322" s="659" t="s">
        <v>123</v>
      </c>
      <c r="B322" s="270" t="str">
        <f>'ST Assemblies'!B94</f>
        <v>Quick Release</v>
      </c>
      <c r="C322" s="94"/>
      <c r="D322" s="659" t="s">
        <v>119</v>
      </c>
      <c r="E322" s="94"/>
      <c r="F322" s="94"/>
      <c r="G322" s="94"/>
      <c r="H322" s="94"/>
      <c r="I322" s="94"/>
      <c r="J322" s="660" t="s">
        <v>122</v>
      </c>
      <c r="K322" s="94"/>
      <c r="L322" s="94"/>
      <c r="M322" s="94"/>
      <c r="N322" s="94"/>
      <c r="O322" s="93"/>
    </row>
    <row r="323" spans="1:15" x14ac:dyDescent="0.25">
      <c r="A323" s="659" t="s">
        <v>114</v>
      </c>
      <c r="B323" s="135" t="s">
        <v>1289</v>
      </c>
      <c r="C323" s="94"/>
      <c r="D323" s="659" t="s">
        <v>116</v>
      </c>
      <c r="E323" s="94"/>
      <c r="F323" s="94"/>
      <c r="G323" s="94"/>
      <c r="H323" s="94"/>
      <c r="I323" s="94"/>
      <c r="J323" s="660" t="s">
        <v>119</v>
      </c>
      <c r="K323" s="94"/>
      <c r="L323" s="94"/>
      <c r="M323" s="659" t="s">
        <v>118</v>
      </c>
      <c r="N323" s="100">
        <f>N321*N320</f>
        <v>9.77723738185</v>
      </c>
      <c r="O323" s="93"/>
    </row>
    <row r="324" spans="1:15" x14ac:dyDescent="0.25">
      <c r="A324" s="659" t="s">
        <v>121</v>
      </c>
      <c r="B324" s="269" t="s">
        <v>1288</v>
      </c>
      <c r="C324" s="94"/>
      <c r="D324" s="94"/>
      <c r="E324" s="94"/>
      <c r="F324" s="94"/>
      <c r="G324" s="94"/>
      <c r="H324" s="94"/>
      <c r="I324" s="94"/>
      <c r="J324" s="660" t="s">
        <v>116</v>
      </c>
      <c r="K324" s="94"/>
      <c r="L324" s="94"/>
      <c r="M324" s="94"/>
      <c r="N324" s="94"/>
      <c r="O324" s="93"/>
    </row>
    <row r="325" spans="1:15" x14ac:dyDescent="0.25">
      <c r="A325" s="659" t="s">
        <v>117</v>
      </c>
      <c r="B325" s="133" t="s">
        <v>23</v>
      </c>
      <c r="C325" s="94"/>
      <c r="D325" s="94"/>
      <c r="E325" s="94"/>
      <c r="F325" s="94"/>
      <c r="G325" s="94"/>
      <c r="H325" s="94"/>
      <c r="I325" s="94"/>
      <c r="J325" s="94"/>
      <c r="K325" s="94"/>
      <c r="L325" s="94"/>
      <c r="M325" s="94"/>
      <c r="N325" s="94"/>
      <c r="O325" s="93"/>
    </row>
    <row r="326" spans="1:15" x14ac:dyDescent="0.25">
      <c r="A326" s="659" t="s">
        <v>115</v>
      </c>
      <c r="B326" s="133" t="s">
        <v>1287</v>
      </c>
      <c r="C326" s="94"/>
      <c r="D326" s="94"/>
      <c r="E326" s="94"/>
      <c r="F326" s="94"/>
      <c r="G326" s="94"/>
      <c r="H326" s="94"/>
      <c r="I326" s="94"/>
      <c r="J326" s="94"/>
      <c r="K326" s="94"/>
      <c r="L326" s="94"/>
      <c r="M326" s="94"/>
      <c r="N326" s="94"/>
      <c r="O326" s="93"/>
    </row>
    <row r="327" spans="1:15" x14ac:dyDescent="0.25">
      <c r="A327" s="266"/>
      <c r="B327" s="265"/>
      <c r="C327" s="265"/>
      <c r="D327" s="265"/>
      <c r="E327" s="265"/>
      <c r="F327" s="94"/>
      <c r="G327" s="94"/>
      <c r="H327" s="94"/>
      <c r="I327" s="94"/>
      <c r="J327" s="94"/>
      <c r="K327" s="94"/>
      <c r="L327" s="94"/>
      <c r="M327" s="94"/>
      <c r="N327" s="94"/>
      <c r="O327" s="93"/>
    </row>
    <row r="328" spans="1:15" x14ac:dyDescent="0.25">
      <c r="A328" s="658" t="s">
        <v>67</v>
      </c>
      <c r="B328" s="657" t="s">
        <v>112</v>
      </c>
      <c r="C328" s="657" t="s">
        <v>66</v>
      </c>
      <c r="D328" s="657" t="s">
        <v>65</v>
      </c>
      <c r="E328" s="657" t="s">
        <v>81</v>
      </c>
      <c r="F328" s="652" t="s">
        <v>80</v>
      </c>
      <c r="G328" s="652" t="s">
        <v>79</v>
      </c>
      <c r="H328" s="652" t="s">
        <v>78</v>
      </c>
      <c r="I328" s="652" t="s">
        <v>111</v>
      </c>
      <c r="J328" s="652" t="s">
        <v>110</v>
      </c>
      <c r="K328" s="652" t="s">
        <v>109</v>
      </c>
      <c r="L328" s="652" t="s">
        <v>108</v>
      </c>
      <c r="M328" s="652" t="s">
        <v>40</v>
      </c>
      <c r="N328" s="652" t="s">
        <v>58</v>
      </c>
      <c r="O328" s="93"/>
    </row>
    <row r="329" spans="1:15" ht="30" x14ac:dyDescent="0.25">
      <c r="A329" s="509">
        <v>10</v>
      </c>
      <c r="B329" s="673" t="s">
        <v>754</v>
      </c>
      <c r="C329" s="672" t="s">
        <v>1240</v>
      </c>
      <c r="D329" s="665">
        <v>4.2</v>
      </c>
      <c r="E329" s="509">
        <v>71</v>
      </c>
      <c r="F329" s="509" t="s">
        <v>68</v>
      </c>
      <c r="G329" s="509"/>
      <c r="H329" s="670"/>
      <c r="I329" s="671" t="s">
        <v>1286</v>
      </c>
      <c r="J329" s="686">
        <f>3.14*0.0355^2</f>
        <v>3.9571849999999993E-3</v>
      </c>
      <c r="K329" s="679">
        <v>5.5E-2</v>
      </c>
      <c r="L329" s="670">
        <v>2710</v>
      </c>
      <c r="M329" s="669">
        <v>1</v>
      </c>
      <c r="N329" s="668">
        <f>IF(J329="",D329*M329,D329*J329*K329*L329*M329)</f>
        <v>2.4772373818499998</v>
      </c>
      <c r="O329" s="143"/>
    </row>
    <row r="330" spans="1:15" x14ac:dyDescent="0.25">
      <c r="A330" s="98"/>
      <c r="B330" s="95"/>
      <c r="C330" s="95"/>
      <c r="D330" s="95"/>
      <c r="E330" s="95"/>
      <c r="F330" s="95"/>
      <c r="G330" s="95"/>
      <c r="H330" s="95"/>
      <c r="I330" s="95"/>
      <c r="J330" s="95"/>
      <c r="K330" s="95"/>
      <c r="L330" s="95"/>
      <c r="M330" s="667" t="s">
        <v>58</v>
      </c>
      <c r="N330" s="648">
        <f>SUM(N329:N329)</f>
        <v>2.4772373818499998</v>
      </c>
      <c r="O330" s="93"/>
    </row>
    <row r="331" spans="1:15" x14ac:dyDescent="0.25">
      <c r="A331" s="107"/>
      <c r="B331" s="94"/>
      <c r="C331" s="94"/>
      <c r="D331" s="94"/>
      <c r="E331" s="94"/>
      <c r="F331" s="94"/>
      <c r="G331" s="94"/>
      <c r="H331" s="94"/>
      <c r="I331" s="94"/>
      <c r="J331" s="94"/>
      <c r="K331" s="94"/>
      <c r="L331" s="94"/>
      <c r="M331" s="94"/>
      <c r="N331" s="94"/>
      <c r="O331" s="93"/>
    </row>
    <row r="332" spans="1:15" x14ac:dyDescent="0.25">
      <c r="A332" s="653" t="s">
        <v>67</v>
      </c>
      <c r="B332" s="652" t="s">
        <v>106</v>
      </c>
      <c r="C332" s="652" t="s">
        <v>66</v>
      </c>
      <c r="D332" s="652" t="s">
        <v>65</v>
      </c>
      <c r="E332" s="652" t="s">
        <v>64</v>
      </c>
      <c r="F332" s="652" t="s">
        <v>40</v>
      </c>
      <c r="G332" s="652" t="s">
        <v>105</v>
      </c>
      <c r="H332" s="652" t="s">
        <v>104</v>
      </c>
      <c r="I332" s="652" t="s">
        <v>58</v>
      </c>
      <c r="J332" s="95"/>
      <c r="K332" s="95"/>
      <c r="L332" s="95"/>
      <c r="M332" s="95"/>
      <c r="N332" s="95"/>
      <c r="O332" s="93"/>
    </row>
    <row r="333" spans="1:15" ht="30" x14ac:dyDescent="0.25">
      <c r="A333" s="510">
        <v>10</v>
      </c>
      <c r="B333" s="651" t="s">
        <v>516</v>
      </c>
      <c r="C333" s="650" t="s">
        <v>528</v>
      </c>
      <c r="D333" s="665">
        <v>1.3</v>
      </c>
      <c r="E333" s="651" t="s">
        <v>64</v>
      </c>
      <c r="F333" s="510">
        <v>1</v>
      </c>
      <c r="G333" s="510"/>
      <c r="H333" s="510"/>
      <c r="I333" s="662">
        <f>IF(H333="",D333*F333,D333*F333*H333)</f>
        <v>1.3</v>
      </c>
      <c r="J333" s="142"/>
      <c r="K333" s="142"/>
      <c r="L333" s="142"/>
      <c r="M333" s="142"/>
      <c r="N333" s="142"/>
      <c r="O333" s="120"/>
    </row>
    <row r="334" spans="1:15" ht="30" x14ac:dyDescent="0.25">
      <c r="A334" s="510">
        <v>20</v>
      </c>
      <c r="B334" s="651" t="s">
        <v>514</v>
      </c>
      <c r="C334" s="650" t="s">
        <v>1263</v>
      </c>
      <c r="D334" s="665">
        <v>0.04</v>
      </c>
      <c r="E334" s="651" t="s">
        <v>512</v>
      </c>
      <c r="F334" s="510">
        <v>150</v>
      </c>
      <c r="G334" s="650" t="s">
        <v>1285</v>
      </c>
      <c r="H334" s="510">
        <v>1</v>
      </c>
      <c r="I334" s="662">
        <f>IF(H334="",D334*F334,D334*F334*H334)</f>
        <v>6</v>
      </c>
      <c r="J334" s="94"/>
      <c r="K334" s="94"/>
      <c r="L334" s="94"/>
      <c r="M334" s="94"/>
      <c r="N334" s="94"/>
      <c r="O334" s="93"/>
    </row>
    <row r="335" spans="1:15" x14ac:dyDescent="0.25">
      <c r="A335" s="509">
        <v>30</v>
      </c>
      <c r="B335" s="666" t="s">
        <v>1284</v>
      </c>
      <c r="C335" s="666"/>
      <c r="D335" s="665">
        <v>0</v>
      </c>
      <c r="E335" s="509"/>
      <c r="F335" s="664"/>
      <c r="G335" s="663"/>
      <c r="H335" s="510"/>
      <c r="I335" s="662"/>
      <c r="J335" s="99"/>
      <c r="K335" s="99"/>
      <c r="L335" s="99"/>
      <c r="M335" s="99"/>
      <c r="N335" s="99"/>
      <c r="O335" s="130"/>
    </row>
    <row r="336" spans="1:15" x14ac:dyDescent="0.25">
      <c r="A336" s="98"/>
      <c r="B336" s="95"/>
      <c r="C336" s="95"/>
      <c r="D336" s="95"/>
      <c r="E336" s="95"/>
      <c r="F336" s="95"/>
      <c r="G336" s="95"/>
      <c r="H336" s="649" t="s">
        <v>58</v>
      </c>
      <c r="I336" s="648">
        <f>SUM(I333:I335)</f>
        <v>7.3</v>
      </c>
      <c r="J336" s="95"/>
      <c r="K336" s="95"/>
      <c r="L336" s="95"/>
      <c r="M336" s="95"/>
      <c r="N336" s="95"/>
      <c r="O336" s="93"/>
    </row>
    <row r="337" spans="1:15" ht="15.75" thickBot="1" x14ac:dyDescent="0.3">
      <c r="A337" s="92"/>
      <c r="B337" s="91"/>
      <c r="C337" s="91"/>
      <c r="D337" s="91"/>
      <c r="E337" s="91"/>
      <c r="F337" s="91"/>
      <c r="G337" s="91"/>
      <c r="H337" s="91"/>
      <c r="I337" s="91"/>
      <c r="J337" s="91"/>
      <c r="K337" s="91"/>
      <c r="L337" s="91"/>
      <c r="M337" s="91"/>
      <c r="N337" s="91"/>
      <c r="O337" s="90"/>
    </row>
    <row r="339" spans="1:15" ht="15.75" thickBot="1" x14ac:dyDescent="0.3"/>
    <row r="340" spans="1:15" x14ac:dyDescent="0.25">
      <c r="A340" s="141"/>
      <c r="B340" s="140"/>
      <c r="C340" s="140"/>
      <c r="D340" s="140"/>
      <c r="E340" s="140"/>
      <c r="F340" s="140"/>
      <c r="G340" s="140"/>
      <c r="H340" s="140"/>
      <c r="I340" s="140"/>
      <c r="J340" s="140"/>
      <c r="K340" s="140"/>
      <c r="L340" s="140"/>
      <c r="M340" s="140"/>
      <c r="N340" s="140"/>
      <c r="O340" s="139"/>
    </row>
    <row r="341" spans="1:15" x14ac:dyDescent="0.25">
      <c r="A341" s="659" t="s">
        <v>57</v>
      </c>
      <c r="B341" s="133" t="s">
        <v>523</v>
      </c>
      <c r="C341" s="94"/>
      <c r="D341" s="94"/>
      <c r="E341" s="94"/>
      <c r="F341" s="94"/>
      <c r="G341" s="94"/>
      <c r="H341" s="94"/>
      <c r="I341" s="94"/>
      <c r="J341" s="661" t="s">
        <v>51</v>
      </c>
      <c r="K341" s="138">
        <v>81</v>
      </c>
      <c r="L341" s="94"/>
      <c r="M341" s="659" t="s">
        <v>113</v>
      </c>
      <c r="N341" s="100">
        <f>ST_04001_m+ST_04001_p</f>
        <v>14.131512074377609</v>
      </c>
      <c r="O341" s="93"/>
    </row>
    <row r="342" spans="1:15" x14ac:dyDescent="0.25">
      <c r="A342" s="659" t="s">
        <v>125</v>
      </c>
      <c r="B342" s="133" t="s">
        <v>6</v>
      </c>
      <c r="C342" s="94"/>
      <c r="D342" s="659" t="s">
        <v>122</v>
      </c>
      <c r="E342" s="94"/>
      <c r="F342" s="94"/>
      <c r="G342" s="94"/>
      <c r="H342" s="94"/>
      <c r="I342" s="94"/>
      <c r="J342" s="94"/>
      <c r="K342" s="94"/>
      <c r="L342" s="94"/>
      <c r="M342" s="659" t="s">
        <v>124</v>
      </c>
      <c r="N342" s="136">
        <v>1</v>
      </c>
      <c r="O342" s="93"/>
    </row>
    <row r="343" spans="1:15" x14ac:dyDescent="0.25">
      <c r="A343" s="659" t="s">
        <v>123</v>
      </c>
      <c r="B343" s="270" t="str">
        <f>'ST Assemblies'!B128</f>
        <v>Tie Rod Assembly</v>
      </c>
      <c r="C343" s="94"/>
      <c r="D343" s="659" t="s">
        <v>119</v>
      </c>
      <c r="E343" s="94"/>
      <c r="F343" s="94"/>
      <c r="G343" s="94"/>
      <c r="H343" s="94"/>
      <c r="I343" s="94"/>
      <c r="J343" s="660" t="s">
        <v>122</v>
      </c>
      <c r="K343" s="94"/>
      <c r="L343" s="94"/>
      <c r="M343" s="94"/>
      <c r="N343" s="94"/>
      <c r="O343" s="93"/>
    </row>
    <row r="344" spans="1:15" x14ac:dyDescent="0.25">
      <c r="A344" s="659" t="s">
        <v>114</v>
      </c>
      <c r="B344" s="682" t="s">
        <v>1283</v>
      </c>
      <c r="C344" s="94"/>
      <c r="D344" s="659" t="s">
        <v>116</v>
      </c>
      <c r="E344" s="94"/>
      <c r="F344" s="94"/>
      <c r="G344" s="94"/>
      <c r="H344" s="94"/>
      <c r="I344" s="94"/>
      <c r="J344" s="660" t="s">
        <v>119</v>
      </c>
      <c r="K344" s="94"/>
      <c r="L344" s="94"/>
      <c r="M344" s="659" t="s">
        <v>118</v>
      </c>
      <c r="N344" s="100">
        <f>N342*N341</f>
        <v>14.131512074377609</v>
      </c>
      <c r="O344" s="93"/>
    </row>
    <row r="345" spans="1:15" x14ac:dyDescent="0.25">
      <c r="A345" s="659" t="s">
        <v>121</v>
      </c>
      <c r="B345" s="269" t="s">
        <v>1282</v>
      </c>
      <c r="C345" s="94"/>
      <c r="D345" s="94"/>
      <c r="E345" s="94"/>
      <c r="F345" s="94"/>
      <c r="G345" s="94"/>
      <c r="H345" s="94"/>
      <c r="I345" s="94"/>
      <c r="J345" s="660" t="s">
        <v>116</v>
      </c>
      <c r="K345" s="94"/>
      <c r="L345" s="94"/>
      <c r="M345" s="94"/>
      <c r="N345" s="94"/>
      <c r="O345" s="93"/>
    </row>
    <row r="346" spans="1:15" x14ac:dyDescent="0.25">
      <c r="A346" s="659" t="s">
        <v>117</v>
      </c>
      <c r="B346" s="133" t="s">
        <v>23</v>
      </c>
      <c r="C346" s="94"/>
      <c r="D346" s="94"/>
      <c r="E346" s="94"/>
      <c r="F346" s="94"/>
      <c r="G346" s="94"/>
      <c r="H346" s="94"/>
      <c r="I346" s="94"/>
      <c r="J346" s="94"/>
      <c r="K346" s="94"/>
      <c r="L346" s="94"/>
      <c r="M346" s="94"/>
      <c r="N346" s="94"/>
      <c r="O346" s="93"/>
    </row>
    <row r="347" spans="1:15" x14ac:dyDescent="0.25">
      <c r="A347" s="659" t="s">
        <v>115</v>
      </c>
      <c r="B347" s="194" t="s">
        <v>1281</v>
      </c>
      <c r="C347" s="94"/>
      <c r="D347" s="94"/>
      <c r="E347" s="94"/>
      <c r="F347" s="94"/>
      <c r="G347" s="94"/>
      <c r="H347" s="94"/>
      <c r="I347" s="94"/>
      <c r="J347" s="94"/>
      <c r="K347" s="94"/>
      <c r="L347" s="94"/>
      <c r="M347" s="94"/>
      <c r="N347" s="94"/>
      <c r="O347" s="93"/>
    </row>
    <row r="348" spans="1:15" x14ac:dyDescent="0.25">
      <c r="A348" s="266"/>
      <c r="B348" s="265"/>
      <c r="C348" s="265"/>
      <c r="D348" s="265"/>
      <c r="E348" s="265"/>
      <c r="F348" s="94"/>
      <c r="G348" s="94"/>
      <c r="H348" s="94"/>
      <c r="I348" s="94"/>
      <c r="J348" s="94"/>
      <c r="K348" s="94"/>
      <c r="L348" s="94"/>
      <c r="M348" s="94"/>
      <c r="N348" s="94"/>
      <c r="O348" s="93"/>
    </row>
    <row r="349" spans="1:15" x14ac:dyDescent="0.25">
      <c r="A349" s="658" t="s">
        <v>67</v>
      </c>
      <c r="B349" s="657" t="s">
        <v>112</v>
      </c>
      <c r="C349" s="657" t="s">
        <v>66</v>
      </c>
      <c r="D349" s="657" t="s">
        <v>65</v>
      </c>
      <c r="E349" s="657" t="s">
        <v>81</v>
      </c>
      <c r="F349" s="652" t="s">
        <v>80</v>
      </c>
      <c r="G349" s="652" t="s">
        <v>79</v>
      </c>
      <c r="H349" s="652" t="s">
        <v>78</v>
      </c>
      <c r="I349" s="652" t="s">
        <v>111</v>
      </c>
      <c r="J349" s="652" t="s">
        <v>110</v>
      </c>
      <c r="K349" s="652" t="s">
        <v>109</v>
      </c>
      <c r="L349" s="652" t="s">
        <v>108</v>
      </c>
      <c r="M349" s="652" t="s">
        <v>40</v>
      </c>
      <c r="N349" s="652" t="s">
        <v>58</v>
      </c>
      <c r="O349" s="93"/>
    </row>
    <row r="350" spans="1:15" x14ac:dyDescent="0.25">
      <c r="A350" s="509">
        <v>10</v>
      </c>
      <c r="B350" s="673" t="s">
        <v>1000</v>
      </c>
      <c r="C350" s="672" t="s">
        <v>1240</v>
      </c>
      <c r="D350" s="665">
        <v>200</v>
      </c>
      <c r="E350" s="509">
        <v>8</v>
      </c>
      <c r="F350" s="509" t="s">
        <v>68</v>
      </c>
      <c r="G350" s="509">
        <v>6</v>
      </c>
      <c r="H350" s="670" t="s">
        <v>68</v>
      </c>
      <c r="I350" s="671" t="s">
        <v>1092</v>
      </c>
      <c r="J350" s="685">
        <f>PI()*(E350^2-G350^2)/10^6</f>
        <v>8.796459430051421E-5</v>
      </c>
      <c r="K350" s="679">
        <v>0.35699999999999998</v>
      </c>
      <c r="L350" s="670">
        <v>2000</v>
      </c>
      <c r="M350" s="669">
        <v>1</v>
      </c>
      <c r="N350" s="668">
        <f>IF(J350="",D350*M350,D350*J350*K350*L350*M350)</f>
        <v>12.561344066113429</v>
      </c>
      <c r="O350" s="143"/>
    </row>
    <row r="351" spans="1:15" x14ac:dyDescent="0.25">
      <c r="A351" s="98"/>
      <c r="B351" s="95"/>
      <c r="C351" s="95"/>
      <c r="D351" s="95"/>
      <c r="E351" s="95"/>
      <c r="F351" s="95"/>
      <c r="G351" s="95"/>
      <c r="H351" s="95"/>
      <c r="I351" s="95"/>
      <c r="J351" s="95"/>
      <c r="K351" s="95"/>
      <c r="L351" s="95"/>
      <c r="M351" s="667" t="s">
        <v>58</v>
      </c>
      <c r="N351" s="648">
        <f>SUM(N350:N350)</f>
        <v>12.561344066113429</v>
      </c>
      <c r="O351" s="93"/>
    </row>
    <row r="352" spans="1:15" x14ac:dyDescent="0.25">
      <c r="A352" s="678"/>
      <c r="B352" s="549"/>
      <c r="C352" s="549"/>
      <c r="D352" s="549"/>
      <c r="E352" s="549"/>
      <c r="F352" s="549"/>
      <c r="G352" s="549"/>
      <c r="H352" s="549"/>
      <c r="I352" s="549"/>
      <c r="J352" s="94"/>
      <c r="K352" s="94"/>
      <c r="L352" s="94"/>
      <c r="M352" s="94"/>
      <c r="N352" s="94"/>
      <c r="O352" s="93"/>
    </row>
    <row r="353" spans="1:15" x14ac:dyDescent="0.25">
      <c r="A353" s="653" t="s">
        <v>67</v>
      </c>
      <c r="B353" s="652" t="s">
        <v>106</v>
      </c>
      <c r="C353" s="652" t="s">
        <v>66</v>
      </c>
      <c r="D353" s="652" t="s">
        <v>65</v>
      </c>
      <c r="E353" s="652" t="s">
        <v>64</v>
      </c>
      <c r="F353" s="652" t="s">
        <v>40</v>
      </c>
      <c r="G353" s="652" t="s">
        <v>105</v>
      </c>
      <c r="H353" s="652" t="s">
        <v>104</v>
      </c>
      <c r="I353" s="652" t="s">
        <v>58</v>
      </c>
      <c r="J353" s="95"/>
      <c r="K353" s="95"/>
      <c r="L353" s="95"/>
      <c r="M353" s="95"/>
      <c r="N353" s="95"/>
      <c r="O353" s="93"/>
    </row>
    <row r="354" spans="1:15" x14ac:dyDescent="0.25">
      <c r="A354" s="510">
        <v>10</v>
      </c>
      <c r="B354" s="651" t="s">
        <v>1280</v>
      </c>
      <c r="C354" s="650" t="s">
        <v>1279</v>
      </c>
      <c r="D354" s="665">
        <v>25</v>
      </c>
      <c r="E354" s="651" t="s">
        <v>794</v>
      </c>
      <c r="F354" s="510">
        <f>J350*K350*L350</f>
        <v>6.2806720330567153E-2</v>
      </c>
      <c r="G354" s="510"/>
      <c r="H354" s="510"/>
      <c r="I354" s="662">
        <f>IF(H354="",D354*F354,D354*F354*H354)</f>
        <v>1.5701680082641789</v>
      </c>
      <c r="J354" s="142"/>
      <c r="K354" s="142"/>
      <c r="L354" s="142"/>
      <c r="M354" s="142"/>
      <c r="N354" s="142"/>
      <c r="O354" s="120"/>
    </row>
    <row r="355" spans="1:15" x14ac:dyDescent="0.25">
      <c r="A355" s="98"/>
      <c r="B355" s="95"/>
      <c r="C355" s="95"/>
      <c r="D355" s="95"/>
      <c r="E355" s="95"/>
      <c r="F355" s="95"/>
      <c r="G355" s="95"/>
      <c r="H355" s="649" t="s">
        <v>58</v>
      </c>
      <c r="I355" s="648">
        <f>SUM(I354:I354)</f>
        <v>1.5701680082641789</v>
      </c>
      <c r="J355" s="95"/>
      <c r="K355" s="95"/>
      <c r="L355" s="95"/>
      <c r="M355" s="95"/>
      <c r="N355" s="95"/>
      <c r="O355" s="93"/>
    </row>
    <row r="356" spans="1:15" x14ac:dyDescent="0.25">
      <c r="A356" s="107"/>
      <c r="B356" s="94"/>
      <c r="C356" s="94"/>
      <c r="D356" s="94"/>
      <c r="E356" s="94"/>
      <c r="F356" s="94"/>
      <c r="G356" s="94"/>
      <c r="H356" s="675"/>
      <c r="I356" s="674"/>
      <c r="J356" s="94"/>
      <c r="K356" s="94"/>
      <c r="L356" s="94"/>
      <c r="M356" s="94"/>
      <c r="N356" s="94"/>
      <c r="O356" s="93"/>
    </row>
    <row r="357" spans="1:15" ht="15.75" thickBot="1" x14ac:dyDescent="0.3">
      <c r="A357" s="92"/>
      <c r="B357" s="91"/>
      <c r="C357" s="91"/>
      <c r="D357" s="91"/>
      <c r="E357" s="91"/>
      <c r="F357" s="91"/>
      <c r="G357" s="91"/>
      <c r="H357" s="91"/>
      <c r="I357" s="91"/>
      <c r="J357" s="91"/>
      <c r="K357" s="91"/>
      <c r="L357" s="91"/>
      <c r="M357" s="91"/>
      <c r="N357" s="91"/>
      <c r="O357" s="90"/>
    </row>
    <row r="358" spans="1:15" ht="15.75" thickBot="1" x14ac:dyDescent="0.3"/>
    <row r="359" spans="1:15" x14ac:dyDescent="0.25">
      <c r="A359" s="141"/>
      <c r="B359" s="140"/>
      <c r="C359" s="140"/>
      <c r="D359" s="140"/>
      <c r="E359" s="140"/>
      <c r="F359" s="140"/>
      <c r="G359" s="140"/>
      <c r="H359" s="140"/>
      <c r="I359" s="140"/>
      <c r="J359" s="272"/>
      <c r="K359" s="140"/>
      <c r="L359" s="140"/>
      <c r="M359" s="140"/>
      <c r="N359" s="140"/>
      <c r="O359" s="139"/>
    </row>
    <row r="360" spans="1:15" x14ac:dyDescent="0.25">
      <c r="A360" s="659" t="s">
        <v>57</v>
      </c>
      <c r="B360" s="133" t="s">
        <v>523</v>
      </c>
      <c r="C360" s="94"/>
      <c r="D360" s="94"/>
      <c r="E360" s="94"/>
      <c r="F360" s="94"/>
      <c r="G360" s="94"/>
      <c r="H360" s="94"/>
      <c r="I360" s="94"/>
      <c r="J360" s="661" t="s">
        <v>51</v>
      </c>
      <c r="K360" s="138">
        <v>81</v>
      </c>
      <c r="L360" s="94"/>
      <c r="M360" s="659" t="s">
        <v>113</v>
      </c>
      <c r="N360" s="100">
        <f>ST_04002_m+ST_04002_p</f>
        <v>1.6742769052800002</v>
      </c>
      <c r="O360" s="93"/>
    </row>
    <row r="361" spans="1:15" x14ac:dyDescent="0.25">
      <c r="A361" s="659" t="s">
        <v>125</v>
      </c>
      <c r="B361" s="133" t="s">
        <v>6</v>
      </c>
      <c r="C361" s="94"/>
      <c r="D361" s="659" t="s">
        <v>122</v>
      </c>
      <c r="E361" s="94"/>
      <c r="F361" s="94"/>
      <c r="G361" s="94"/>
      <c r="H361" s="94"/>
      <c r="I361" s="94"/>
      <c r="J361" s="94"/>
      <c r="K361" s="94"/>
      <c r="L361" s="94"/>
      <c r="M361" s="659" t="s">
        <v>124</v>
      </c>
      <c r="N361" s="136">
        <v>2</v>
      </c>
      <c r="O361" s="93"/>
    </row>
    <row r="362" spans="1:15" x14ac:dyDescent="0.25">
      <c r="A362" s="659" t="s">
        <v>123</v>
      </c>
      <c r="B362" s="270" t="str">
        <f>'ST Assemblies'!B128</f>
        <v>Tie Rod Assembly</v>
      </c>
      <c r="C362" s="94"/>
      <c r="D362" s="659" t="s">
        <v>119</v>
      </c>
      <c r="E362" s="94"/>
      <c r="F362" s="94"/>
      <c r="G362" s="94"/>
      <c r="H362" s="94"/>
      <c r="I362" s="94"/>
      <c r="J362" s="660" t="s">
        <v>122</v>
      </c>
      <c r="K362" s="94"/>
      <c r="L362" s="94"/>
      <c r="M362" s="94"/>
      <c r="N362" s="94"/>
      <c r="O362" s="93"/>
    </row>
    <row r="363" spans="1:15" x14ac:dyDescent="0.25">
      <c r="A363" s="659" t="s">
        <v>114</v>
      </c>
      <c r="B363" s="135" t="s">
        <v>1278</v>
      </c>
      <c r="C363" s="94"/>
      <c r="D363" s="659" t="s">
        <v>116</v>
      </c>
      <c r="E363" s="94"/>
      <c r="F363" s="94"/>
      <c r="G363" s="94"/>
      <c r="H363" s="94"/>
      <c r="I363" s="94"/>
      <c r="J363" s="660" t="s">
        <v>119</v>
      </c>
      <c r="K363" s="94"/>
      <c r="L363" s="94"/>
      <c r="M363" s="659" t="s">
        <v>118</v>
      </c>
      <c r="N363" s="100">
        <f>N361*N360</f>
        <v>3.3485538105600003</v>
      </c>
      <c r="O363" s="93"/>
    </row>
    <row r="364" spans="1:15" x14ac:dyDescent="0.25">
      <c r="A364" s="659" t="s">
        <v>121</v>
      </c>
      <c r="B364" s="269" t="s">
        <v>1277</v>
      </c>
      <c r="C364" s="94"/>
      <c r="D364" s="94"/>
      <c r="E364" s="94"/>
      <c r="F364" s="94"/>
      <c r="G364" s="94"/>
      <c r="H364" s="94"/>
      <c r="I364" s="94"/>
      <c r="J364" s="660" t="s">
        <v>116</v>
      </c>
      <c r="K364" s="94"/>
      <c r="L364" s="94"/>
      <c r="M364" s="94"/>
      <c r="N364" s="94"/>
      <c r="O364" s="93"/>
    </row>
    <row r="365" spans="1:15" x14ac:dyDescent="0.25">
      <c r="A365" s="659" t="s">
        <v>117</v>
      </c>
      <c r="B365" s="133" t="s">
        <v>23</v>
      </c>
      <c r="C365" s="94"/>
      <c r="D365" s="94"/>
      <c r="E365" s="94"/>
      <c r="F365" s="94"/>
      <c r="G365" s="94"/>
      <c r="H365" s="94"/>
      <c r="I365" s="94"/>
      <c r="J365" s="94"/>
      <c r="K365" s="94"/>
      <c r="L365" s="94"/>
      <c r="M365" s="94"/>
      <c r="N365" s="94"/>
      <c r="O365" s="93"/>
    </row>
    <row r="366" spans="1:15" x14ac:dyDescent="0.25">
      <c r="A366" s="659" t="s">
        <v>115</v>
      </c>
      <c r="B366" s="133" t="s">
        <v>1276</v>
      </c>
      <c r="C366" s="94"/>
      <c r="D366" s="94"/>
      <c r="E366" s="94"/>
      <c r="F366" s="94"/>
      <c r="G366" s="94"/>
      <c r="H366" s="94"/>
      <c r="I366" s="94"/>
      <c r="J366" s="94"/>
      <c r="K366" s="94"/>
      <c r="L366" s="94"/>
      <c r="M366" s="94"/>
      <c r="N366" s="94"/>
      <c r="O366" s="93"/>
    </row>
    <row r="367" spans="1:15" x14ac:dyDescent="0.25">
      <c r="A367" s="266"/>
      <c r="B367" s="265"/>
      <c r="C367" s="265"/>
      <c r="D367" s="265"/>
      <c r="E367" s="265"/>
      <c r="F367" s="94"/>
      <c r="G367" s="94"/>
      <c r="H367" s="94"/>
      <c r="I367" s="94"/>
      <c r="J367" s="94"/>
      <c r="K367" s="94"/>
      <c r="L367" s="94"/>
      <c r="M367" s="94"/>
      <c r="N367" s="94"/>
      <c r="O367" s="93"/>
    </row>
    <row r="368" spans="1:15" x14ac:dyDescent="0.25">
      <c r="A368" s="658" t="s">
        <v>67</v>
      </c>
      <c r="B368" s="657" t="s">
        <v>112</v>
      </c>
      <c r="C368" s="657" t="s">
        <v>66</v>
      </c>
      <c r="D368" s="657" t="s">
        <v>65</v>
      </c>
      <c r="E368" s="657" t="s">
        <v>81</v>
      </c>
      <c r="F368" s="652" t="s">
        <v>80</v>
      </c>
      <c r="G368" s="652" t="s">
        <v>79</v>
      </c>
      <c r="H368" s="652" t="s">
        <v>78</v>
      </c>
      <c r="I368" s="652" t="s">
        <v>111</v>
      </c>
      <c r="J368" s="652" t="s">
        <v>110</v>
      </c>
      <c r="K368" s="652" t="s">
        <v>109</v>
      </c>
      <c r="L368" s="652" t="s">
        <v>108</v>
      </c>
      <c r="M368" s="652" t="s">
        <v>40</v>
      </c>
      <c r="N368" s="652" t="s">
        <v>58</v>
      </c>
      <c r="O368" s="93"/>
    </row>
    <row r="369" spans="1:15" ht="30" x14ac:dyDescent="0.25">
      <c r="A369" s="509">
        <v>10</v>
      </c>
      <c r="B369" s="673" t="s">
        <v>729</v>
      </c>
      <c r="C369" s="672" t="s">
        <v>1240</v>
      </c>
      <c r="D369" s="665">
        <v>4.2</v>
      </c>
      <c r="E369" s="509">
        <v>14</v>
      </c>
      <c r="F369" s="509" t="s">
        <v>68</v>
      </c>
      <c r="G369" s="509"/>
      <c r="H369" s="670"/>
      <c r="I369" s="671" t="s">
        <v>1272</v>
      </c>
      <c r="J369" s="669">
        <f>3.14*0.007^2</f>
        <v>1.5386000000000002E-4</v>
      </c>
      <c r="K369" s="679">
        <v>4.0000000000000001E-3</v>
      </c>
      <c r="L369" s="684">
        <v>7860</v>
      </c>
      <c r="M369" s="669">
        <v>1</v>
      </c>
      <c r="N369" s="668">
        <f>IF(J369="",D369*M369,D369*J369*K369*L369*M369)</f>
        <v>2.0316905280000002E-2</v>
      </c>
      <c r="O369" s="143"/>
    </row>
    <row r="370" spans="1:15" x14ac:dyDescent="0.25">
      <c r="A370" s="98"/>
      <c r="B370" s="95"/>
      <c r="C370" s="95"/>
      <c r="D370" s="95"/>
      <c r="E370" s="95"/>
      <c r="F370" s="95"/>
      <c r="G370" s="95"/>
      <c r="H370" s="95"/>
      <c r="I370" s="95"/>
      <c r="J370" s="95"/>
      <c r="K370" s="95"/>
      <c r="L370" s="95"/>
      <c r="M370" s="667" t="s">
        <v>58</v>
      </c>
      <c r="N370" s="648">
        <f>SUM(N369:N369)</f>
        <v>2.0316905280000002E-2</v>
      </c>
      <c r="O370" s="93"/>
    </row>
    <row r="371" spans="1:15" x14ac:dyDescent="0.25">
      <c r="A371" s="107"/>
      <c r="B371" s="94"/>
      <c r="C371" s="94"/>
      <c r="D371" s="94"/>
      <c r="E371" s="94"/>
      <c r="F371" s="94"/>
      <c r="G371" s="94"/>
      <c r="H371" s="94"/>
      <c r="I371" s="94"/>
      <c r="J371" s="94"/>
      <c r="K371" s="94"/>
      <c r="L371" s="94"/>
      <c r="M371" s="94"/>
      <c r="N371" s="94"/>
      <c r="O371" s="93"/>
    </row>
    <row r="372" spans="1:15" x14ac:dyDescent="0.25">
      <c r="A372" s="653" t="s">
        <v>67</v>
      </c>
      <c r="B372" s="652" t="s">
        <v>106</v>
      </c>
      <c r="C372" s="652" t="s">
        <v>66</v>
      </c>
      <c r="D372" s="652" t="s">
        <v>65</v>
      </c>
      <c r="E372" s="652" t="s">
        <v>64</v>
      </c>
      <c r="F372" s="652" t="s">
        <v>40</v>
      </c>
      <c r="G372" s="652" t="s">
        <v>105</v>
      </c>
      <c r="H372" s="652" t="s">
        <v>104</v>
      </c>
      <c r="I372" s="652" t="s">
        <v>58</v>
      </c>
      <c r="J372" s="95"/>
      <c r="K372" s="95"/>
      <c r="L372" s="95"/>
      <c r="M372" s="95"/>
      <c r="N372" s="95"/>
      <c r="O372" s="93"/>
    </row>
    <row r="373" spans="1:15" ht="30" x14ac:dyDescent="0.25">
      <c r="A373" s="510">
        <v>10</v>
      </c>
      <c r="B373" s="651" t="s">
        <v>516</v>
      </c>
      <c r="C373" s="650" t="s">
        <v>1248</v>
      </c>
      <c r="D373" s="665">
        <v>1.3</v>
      </c>
      <c r="E373" s="651" t="s">
        <v>64</v>
      </c>
      <c r="F373" s="510">
        <v>1</v>
      </c>
      <c r="G373" s="510"/>
      <c r="H373" s="510"/>
      <c r="I373" s="662">
        <f>IF(H373="",D373*F373,D373*F373*H373)</f>
        <v>1.3</v>
      </c>
      <c r="J373" s="142"/>
      <c r="K373" s="142"/>
      <c r="L373" s="142"/>
      <c r="M373" s="142"/>
      <c r="N373" s="142"/>
      <c r="O373" s="120"/>
    </row>
    <row r="374" spans="1:15" ht="30" x14ac:dyDescent="0.25">
      <c r="A374" s="510">
        <v>20</v>
      </c>
      <c r="B374" s="651" t="s">
        <v>514</v>
      </c>
      <c r="C374" s="650" t="s">
        <v>1266</v>
      </c>
      <c r="D374" s="665">
        <v>0.04</v>
      </c>
      <c r="E374" s="651" t="s">
        <v>512</v>
      </c>
      <c r="F374" s="510">
        <v>3.3000000000000002E-2</v>
      </c>
      <c r="G374" s="510" t="s">
        <v>1275</v>
      </c>
      <c r="H374" s="510">
        <v>3</v>
      </c>
      <c r="I374" s="662">
        <f>IF(H374="",D374*F374,D374*F374*H374)</f>
        <v>3.96E-3</v>
      </c>
      <c r="J374" s="94"/>
      <c r="K374" s="94"/>
      <c r="L374" s="94"/>
      <c r="M374" s="94"/>
      <c r="N374" s="94"/>
      <c r="O374" s="93"/>
    </row>
    <row r="375" spans="1:15" x14ac:dyDescent="0.25">
      <c r="A375" s="509">
        <v>30</v>
      </c>
      <c r="B375" s="666" t="s">
        <v>1245</v>
      </c>
      <c r="C375" s="666" t="s">
        <v>1244</v>
      </c>
      <c r="D375" s="665">
        <v>0.35</v>
      </c>
      <c r="E375" s="509"/>
      <c r="F375" s="664">
        <v>1</v>
      </c>
      <c r="G375" s="663"/>
      <c r="H375" s="510"/>
      <c r="I375" s="662">
        <f>IF(H375="",D375*F375,D375*F375*H375)</f>
        <v>0.35</v>
      </c>
      <c r="J375" s="94"/>
      <c r="K375" s="94"/>
      <c r="L375" s="94"/>
      <c r="M375" s="94"/>
      <c r="N375" s="94"/>
      <c r="O375" s="93"/>
    </row>
    <row r="376" spans="1:15" x14ac:dyDescent="0.25">
      <c r="A376" s="98"/>
      <c r="B376" s="95"/>
      <c r="C376" s="95"/>
      <c r="D376" s="95"/>
      <c r="E376" s="95"/>
      <c r="F376" s="95"/>
      <c r="G376" s="95"/>
      <c r="H376" s="649" t="s">
        <v>58</v>
      </c>
      <c r="I376" s="648">
        <f>SUM(I373:I375)</f>
        <v>1.6539600000000001</v>
      </c>
      <c r="J376" s="95"/>
      <c r="K376" s="95"/>
      <c r="L376" s="95"/>
      <c r="M376" s="95"/>
      <c r="N376" s="95"/>
      <c r="O376" s="93"/>
    </row>
    <row r="377" spans="1:15" ht="15.75" thickBot="1" x14ac:dyDescent="0.3">
      <c r="A377" s="92"/>
      <c r="B377" s="91"/>
      <c r="C377" s="91"/>
      <c r="D377" s="91"/>
      <c r="E377" s="91"/>
      <c r="F377" s="91"/>
      <c r="G377" s="91"/>
      <c r="H377" s="91"/>
      <c r="I377" s="91"/>
      <c r="J377" s="91"/>
      <c r="K377" s="91"/>
      <c r="L377" s="91"/>
      <c r="M377" s="91"/>
      <c r="N377" s="91"/>
      <c r="O377" s="90"/>
    </row>
    <row r="378" spans="1:15" ht="15.75" thickBot="1" x14ac:dyDescent="0.3"/>
    <row r="379" spans="1:15" x14ac:dyDescent="0.25">
      <c r="A379" s="141"/>
      <c r="B379" s="140"/>
      <c r="C379" s="140"/>
      <c r="D379" s="140"/>
      <c r="E379" s="140"/>
      <c r="F379" s="140"/>
      <c r="G379" s="140"/>
      <c r="H379" s="140"/>
      <c r="I379" s="140"/>
      <c r="J379" s="272"/>
      <c r="K379" s="140"/>
      <c r="L379" s="140"/>
      <c r="M379" s="140"/>
      <c r="N379" s="140"/>
      <c r="O379" s="139"/>
    </row>
    <row r="380" spans="1:15" x14ac:dyDescent="0.25">
      <c r="A380" s="659" t="s">
        <v>57</v>
      </c>
      <c r="B380" s="133" t="s">
        <v>523</v>
      </c>
      <c r="C380" s="94"/>
      <c r="D380" s="94"/>
      <c r="E380" s="94"/>
      <c r="F380" s="94"/>
      <c r="G380" s="94"/>
      <c r="H380" s="94"/>
      <c r="I380" s="94"/>
      <c r="J380" s="661" t="s">
        <v>51</v>
      </c>
      <c r="K380" s="138">
        <v>81</v>
      </c>
      <c r="L380" s="94"/>
      <c r="M380" s="659" t="s">
        <v>113</v>
      </c>
      <c r="N380" s="100">
        <f>ST_04003_m+ST_04003_p</f>
        <v>1.6730769052800003</v>
      </c>
      <c r="O380" s="93"/>
    </row>
    <row r="381" spans="1:15" x14ac:dyDescent="0.25">
      <c r="A381" s="659" t="s">
        <v>125</v>
      </c>
      <c r="B381" s="133" t="s">
        <v>6</v>
      </c>
      <c r="C381" s="94"/>
      <c r="D381" s="659" t="s">
        <v>122</v>
      </c>
      <c r="E381" s="94"/>
      <c r="F381" s="94"/>
      <c r="G381" s="94"/>
      <c r="H381" s="94"/>
      <c r="I381" s="94"/>
      <c r="J381" s="94"/>
      <c r="K381" s="94"/>
      <c r="L381" s="94"/>
      <c r="M381" s="659" t="s">
        <v>124</v>
      </c>
      <c r="N381" s="136">
        <v>2</v>
      </c>
      <c r="O381" s="93"/>
    </row>
    <row r="382" spans="1:15" x14ac:dyDescent="0.25">
      <c r="A382" s="659" t="s">
        <v>123</v>
      </c>
      <c r="B382" s="270" t="str">
        <f>'ST Assemblies'!B128</f>
        <v>Tie Rod Assembly</v>
      </c>
      <c r="C382" s="94"/>
      <c r="D382" s="659" t="s">
        <v>119</v>
      </c>
      <c r="E382" s="94"/>
      <c r="F382" s="94"/>
      <c r="G382" s="94"/>
      <c r="H382" s="94"/>
      <c r="I382" s="94"/>
      <c r="J382" s="660" t="s">
        <v>122</v>
      </c>
      <c r="K382" s="94"/>
      <c r="L382" s="94"/>
      <c r="M382" s="94"/>
      <c r="N382" s="94"/>
      <c r="O382" s="93"/>
    </row>
    <row r="383" spans="1:15" x14ac:dyDescent="0.25">
      <c r="A383" s="659" t="s">
        <v>114</v>
      </c>
      <c r="B383" s="372" t="s">
        <v>1274</v>
      </c>
      <c r="C383" s="94"/>
      <c r="D383" s="659" t="s">
        <v>116</v>
      </c>
      <c r="E383" s="94"/>
      <c r="F383" s="94"/>
      <c r="G383" s="94"/>
      <c r="H383" s="94"/>
      <c r="I383" s="94"/>
      <c r="J383" s="660" t="s">
        <v>119</v>
      </c>
      <c r="K383" s="94"/>
      <c r="L383" s="94"/>
      <c r="M383" s="659" t="s">
        <v>118</v>
      </c>
      <c r="N383" s="100">
        <f>N381*N380</f>
        <v>3.3461538105600006</v>
      </c>
      <c r="O383" s="93"/>
    </row>
    <row r="384" spans="1:15" x14ac:dyDescent="0.25">
      <c r="A384" s="659" t="s">
        <v>121</v>
      </c>
      <c r="B384" s="269" t="s">
        <v>1273</v>
      </c>
      <c r="C384" s="94"/>
      <c r="D384" s="94"/>
      <c r="E384" s="94"/>
      <c r="F384" s="94"/>
      <c r="G384" s="94"/>
      <c r="H384" s="94"/>
      <c r="I384" s="94"/>
      <c r="J384" s="660" t="s">
        <v>116</v>
      </c>
      <c r="K384" s="94"/>
      <c r="L384" s="94"/>
      <c r="M384" s="94"/>
      <c r="N384" s="94"/>
      <c r="O384" s="93"/>
    </row>
    <row r="385" spans="1:15" x14ac:dyDescent="0.25">
      <c r="A385" s="659" t="s">
        <v>117</v>
      </c>
      <c r="B385" s="133" t="s">
        <v>23</v>
      </c>
      <c r="C385" s="94"/>
      <c r="D385" s="94"/>
      <c r="E385" s="94"/>
      <c r="F385" s="94"/>
      <c r="G385" s="94"/>
      <c r="H385" s="94"/>
      <c r="I385" s="94"/>
      <c r="J385" s="94"/>
      <c r="K385" s="94"/>
      <c r="L385" s="94"/>
      <c r="M385" s="94"/>
      <c r="N385" s="94"/>
      <c r="O385" s="93"/>
    </row>
    <row r="386" spans="1:15" x14ac:dyDescent="0.25">
      <c r="A386" s="659" t="s">
        <v>115</v>
      </c>
      <c r="B386" s="133"/>
      <c r="C386" s="94"/>
      <c r="D386" s="94"/>
      <c r="E386" s="94"/>
      <c r="F386" s="94"/>
      <c r="G386" s="94"/>
      <c r="H386" s="94"/>
      <c r="I386" s="94"/>
      <c r="J386" s="94"/>
      <c r="K386" s="94"/>
      <c r="L386" s="94"/>
      <c r="M386" s="94"/>
      <c r="N386" s="94"/>
      <c r="O386" s="93"/>
    </row>
    <row r="387" spans="1:15" x14ac:dyDescent="0.25">
      <c r="A387" s="266"/>
      <c r="B387" s="265"/>
      <c r="C387" s="265"/>
      <c r="D387" s="265"/>
      <c r="E387" s="265"/>
      <c r="F387" s="94"/>
      <c r="G387" s="94"/>
      <c r="H387" s="94"/>
      <c r="I387" s="94"/>
      <c r="J387" s="94"/>
      <c r="K387" s="94"/>
      <c r="L387" s="94"/>
      <c r="M387" s="94"/>
      <c r="N387" s="94"/>
      <c r="O387" s="93"/>
    </row>
    <row r="388" spans="1:15" x14ac:dyDescent="0.25">
      <c r="A388" s="658" t="s">
        <v>67</v>
      </c>
      <c r="B388" s="657" t="s">
        <v>112</v>
      </c>
      <c r="C388" s="657" t="s">
        <v>66</v>
      </c>
      <c r="D388" s="657" t="s">
        <v>65</v>
      </c>
      <c r="E388" s="657" t="s">
        <v>81</v>
      </c>
      <c r="F388" s="652" t="s">
        <v>80</v>
      </c>
      <c r="G388" s="652" t="s">
        <v>79</v>
      </c>
      <c r="H388" s="652" t="s">
        <v>78</v>
      </c>
      <c r="I388" s="652" t="s">
        <v>111</v>
      </c>
      <c r="J388" s="652" t="s">
        <v>110</v>
      </c>
      <c r="K388" s="652" t="s">
        <v>109</v>
      </c>
      <c r="L388" s="652" t="s">
        <v>108</v>
      </c>
      <c r="M388" s="652" t="s">
        <v>40</v>
      </c>
      <c r="N388" s="652" t="s">
        <v>58</v>
      </c>
      <c r="O388" s="93"/>
    </row>
    <row r="389" spans="1:15" ht="30" x14ac:dyDescent="0.25">
      <c r="A389" s="509">
        <v>10</v>
      </c>
      <c r="B389" s="673" t="s">
        <v>729</v>
      </c>
      <c r="C389" s="672" t="s">
        <v>1240</v>
      </c>
      <c r="D389" s="665">
        <v>4.2</v>
      </c>
      <c r="E389" s="509">
        <v>14</v>
      </c>
      <c r="F389" s="509" t="s">
        <v>68</v>
      </c>
      <c r="G389" s="509"/>
      <c r="H389" s="670"/>
      <c r="I389" s="671" t="s">
        <v>1272</v>
      </c>
      <c r="J389" s="669">
        <f>3.14*0.007^2</f>
        <v>1.5386000000000002E-4</v>
      </c>
      <c r="K389" s="679">
        <v>4.0000000000000001E-3</v>
      </c>
      <c r="L389" s="684">
        <v>7860</v>
      </c>
      <c r="M389" s="669">
        <v>1</v>
      </c>
      <c r="N389" s="668">
        <f>IF(J389="",D389*M389,D389*J389*K389*L389*M389)</f>
        <v>2.0316905280000002E-2</v>
      </c>
      <c r="O389" s="143"/>
    </row>
    <row r="390" spans="1:15" x14ac:dyDescent="0.25">
      <c r="A390" s="98"/>
      <c r="B390" s="95"/>
      <c r="C390" s="95"/>
      <c r="D390" s="95"/>
      <c r="E390" s="95"/>
      <c r="F390" s="95"/>
      <c r="G390" s="95"/>
      <c r="H390" s="95"/>
      <c r="I390" s="95"/>
      <c r="J390" s="95"/>
      <c r="K390" s="95"/>
      <c r="L390" s="95"/>
      <c r="M390" s="667" t="s">
        <v>58</v>
      </c>
      <c r="N390" s="648">
        <f>SUM(N389:N389)</f>
        <v>2.0316905280000002E-2</v>
      </c>
      <c r="O390" s="93"/>
    </row>
    <row r="391" spans="1:15" x14ac:dyDescent="0.25">
      <c r="A391" s="107"/>
      <c r="B391" s="94"/>
      <c r="C391" s="94"/>
      <c r="D391" s="94"/>
      <c r="E391" s="94"/>
      <c r="F391" s="94"/>
      <c r="G391" s="94"/>
      <c r="H391" s="94"/>
      <c r="I391" s="94"/>
      <c r="J391" s="94"/>
      <c r="K391" s="94"/>
      <c r="L391" s="94"/>
      <c r="M391" s="94"/>
      <c r="N391" s="94"/>
      <c r="O391" s="93"/>
    </row>
    <row r="392" spans="1:15" x14ac:dyDescent="0.25">
      <c r="A392" s="653" t="s">
        <v>67</v>
      </c>
      <c r="B392" s="652" t="s">
        <v>106</v>
      </c>
      <c r="C392" s="652" t="s">
        <v>66</v>
      </c>
      <c r="D392" s="652" t="s">
        <v>65</v>
      </c>
      <c r="E392" s="652" t="s">
        <v>64</v>
      </c>
      <c r="F392" s="652" t="s">
        <v>40</v>
      </c>
      <c r="G392" s="652" t="s">
        <v>105</v>
      </c>
      <c r="H392" s="652" t="s">
        <v>104</v>
      </c>
      <c r="I392" s="652" t="s">
        <v>58</v>
      </c>
      <c r="J392" s="95"/>
      <c r="K392" s="95"/>
      <c r="L392" s="95"/>
      <c r="M392" s="95"/>
      <c r="N392" s="95"/>
      <c r="O392" s="93"/>
    </row>
    <row r="393" spans="1:15" ht="30" x14ac:dyDescent="0.25">
      <c r="A393" s="510">
        <v>10</v>
      </c>
      <c r="B393" s="651" t="s">
        <v>516</v>
      </c>
      <c r="C393" s="650" t="s">
        <v>1248</v>
      </c>
      <c r="D393" s="665">
        <v>1.3</v>
      </c>
      <c r="E393" s="651" t="s">
        <v>64</v>
      </c>
      <c r="F393" s="510">
        <v>1</v>
      </c>
      <c r="G393" s="510"/>
      <c r="H393" s="510"/>
      <c r="I393" s="662">
        <f>IF(H393="",D393*F393,D393*F393*H393)</f>
        <v>1.3</v>
      </c>
      <c r="J393" s="142"/>
      <c r="K393" s="142"/>
      <c r="L393" s="142"/>
      <c r="M393" s="142"/>
      <c r="N393" s="142"/>
      <c r="O393" s="120"/>
    </row>
    <row r="394" spans="1:15" ht="30" x14ac:dyDescent="0.25">
      <c r="A394" s="510">
        <v>20</v>
      </c>
      <c r="B394" s="651" t="s">
        <v>514</v>
      </c>
      <c r="C394" s="650" t="s">
        <v>1266</v>
      </c>
      <c r="D394" s="665">
        <v>0.04</v>
      </c>
      <c r="E394" s="651" t="s">
        <v>512</v>
      </c>
      <c r="F394" s="510">
        <v>2.3E-2</v>
      </c>
      <c r="G394" s="510" t="s">
        <v>1271</v>
      </c>
      <c r="H394" s="510">
        <v>3</v>
      </c>
      <c r="I394" s="662">
        <f>IF(H394="",D394*F394,D394*F394*H394)</f>
        <v>2.7600000000000003E-3</v>
      </c>
      <c r="J394" s="94"/>
      <c r="K394" s="94"/>
      <c r="L394" s="94"/>
      <c r="M394" s="94"/>
      <c r="N394" s="94"/>
      <c r="O394" s="93"/>
    </row>
    <row r="395" spans="1:15" x14ac:dyDescent="0.25">
      <c r="A395" s="509">
        <v>30</v>
      </c>
      <c r="B395" s="666" t="s">
        <v>1245</v>
      </c>
      <c r="C395" s="666" t="s">
        <v>1244</v>
      </c>
      <c r="D395" s="665">
        <v>0.35</v>
      </c>
      <c r="E395" s="509"/>
      <c r="F395" s="664">
        <v>1</v>
      </c>
      <c r="G395" s="663"/>
      <c r="H395" s="510"/>
      <c r="I395" s="662">
        <f>IF(H395="",D395*F395,D395*F395*H395)</f>
        <v>0.35</v>
      </c>
      <c r="J395" s="99"/>
      <c r="K395" s="99"/>
      <c r="L395" s="99"/>
      <c r="M395" s="99"/>
      <c r="N395" s="99"/>
      <c r="O395" s="130"/>
    </row>
    <row r="396" spans="1:15" x14ac:dyDescent="0.25">
      <c r="A396" s="98"/>
      <c r="B396" s="95"/>
      <c r="C396" s="95"/>
      <c r="D396" s="95"/>
      <c r="E396" s="95"/>
      <c r="F396" s="95"/>
      <c r="G396" s="95"/>
      <c r="H396" s="649" t="s">
        <v>58</v>
      </c>
      <c r="I396" s="648">
        <f>SUM(I393:I395)</f>
        <v>1.6527600000000002</v>
      </c>
      <c r="J396" s="95"/>
      <c r="K396" s="95"/>
      <c r="L396" s="95"/>
      <c r="M396" s="95"/>
      <c r="N396" s="95"/>
      <c r="O396" s="93"/>
    </row>
    <row r="397" spans="1:15" ht="15.75" thickBot="1" x14ac:dyDescent="0.3">
      <c r="A397" s="92"/>
      <c r="B397" s="91"/>
      <c r="C397" s="91"/>
      <c r="D397" s="91"/>
      <c r="E397" s="91"/>
      <c r="F397" s="91"/>
      <c r="G397" s="91"/>
      <c r="H397" s="91"/>
      <c r="I397" s="91"/>
      <c r="J397" s="91"/>
      <c r="K397" s="91"/>
      <c r="L397" s="91"/>
      <c r="M397" s="91"/>
      <c r="N397" s="91"/>
      <c r="O397" s="90"/>
    </row>
    <row r="398" spans="1:15" ht="15.75" thickBot="1" x14ac:dyDescent="0.3"/>
    <row r="399" spans="1:15" x14ac:dyDescent="0.25">
      <c r="A399" s="141"/>
      <c r="B399" s="140"/>
      <c r="C399" s="140"/>
      <c r="D399" s="140"/>
      <c r="E399" s="140"/>
      <c r="F399" s="140"/>
      <c r="G399" s="140"/>
      <c r="H399" s="140"/>
      <c r="I399" s="140"/>
      <c r="J399" s="272"/>
      <c r="K399" s="140"/>
      <c r="L399" s="140"/>
      <c r="M399" s="140"/>
      <c r="N399" s="140"/>
      <c r="O399" s="139"/>
    </row>
    <row r="400" spans="1:15" x14ac:dyDescent="0.25">
      <c r="A400" s="659" t="s">
        <v>57</v>
      </c>
      <c r="B400" s="133" t="s">
        <v>523</v>
      </c>
      <c r="C400" s="94"/>
      <c r="D400" s="94"/>
      <c r="E400" s="94"/>
      <c r="F400" s="94"/>
      <c r="G400" s="94"/>
      <c r="H400" s="94"/>
      <c r="I400" s="94"/>
      <c r="J400" s="661" t="s">
        <v>51</v>
      </c>
      <c r="K400" s="138">
        <v>81</v>
      </c>
      <c r="L400" s="94"/>
      <c r="M400" s="659" t="s">
        <v>113</v>
      </c>
      <c r="N400" s="100">
        <f>ST_04004_m+ST_04004_p</f>
        <v>2.9527811127747987</v>
      </c>
      <c r="O400" s="93"/>
    </row>
    <row r="401" spans="1:15" x14ac:dyDescent="0.25">
      <c r="A401" s="659" t="s">
        <v>125</v>
      </c>
      <c r="B401" s="133" t="s">
        <v>6</v>
      </c>
      <c r="C401" s="94"/>
      <c r="D401" s="659" t="s">
        <v>122</v>
      </c>
      <c r="E401" s="94"/>
      <c r="F401" s="94"/>
      <c r="G401" s="94"/>
      <c r="H401" s="94"/>
      <c r="I401" s="94"/>
      <c r="J401" s="94"/>
      <c r="K401" s="94"/>
      <c r="L401" s="94"/>
      <c r="M401" s="659" t="s">
        <v>124</v>
      </c>
      <c r="N401" s="136">
        <v>2</v>
      </c>
      <c r="O401" s="93"/>
    </row>
    <row r="402" spans="1:15" x14ac:dyDescent="0.25">
      <c r="A402" s="659" t="s">
        <v>123</v>
      </c>
      <c r="B402" s="270" t="str">
        <f>'ST Assemblies'!B128</f>
        <v>Tie Rod Assembly</v>
      </c>
      <c r="C402" s="94"/>
      <c r="D402" s="659" t="s">
        <v>119</v>
      </c>
      <c r="E402" s="94"/>
      <c r="F402" s="94"/>
      <c r="G402" s="94"/>
      <c r="H402" s="94"/>
      <c r="I402" s="94"/>
      <c r="J402" s="660" t="s">
        <v>122</v>
      </c>
      <c r="K402" s="270" t="s">
        <v>522</v>
      </c>
      <c r="L402" s="94"/>
      <c r="M402" s="94"/>
      <c r="N402" s="94"/>
      <c r="O402" s="93"/>
    </row>
    <row r="403" spans="1:15" x14ac:dyDescent="0.25">
      <c r="A403" s="659" t="s">
        <v>114</v>
      </c>
      <c r="B403" s="135" t="s">
        <v>1270</v>
      </c>
      <c r="C403" s="94"/>
      <c r="D403" s="659" t="s">
        <v>116</v>
      </c>
      <c r="E403" s="94"/>
      <c r="F403" s="94"/>
      <c r="G403" s="94"/>
      <c r="H403" s="94"/>
      <c r="I403" s="94"/>
      <c r="J403" s="660" t="s">
        <v>119</v>
      </c>
      <c r="K403" s="94"/>
      <c r="L403" s="94"/>
      <c r="M403" s="659" t="s">
        <v>118</v>
      </c>
      <c r="N403" s="100">
        <f>N401*N400</f>
        <v>5.9055622255495974</v>
      </c>
      <c r="O403" s="93"/>
    </row>
    <row r="404" spans="1:15" x14ac:dyDescent="0.25">
      <c r="A404" s="659" t="s">
        <v>121</v>
      </c>
      <c r="B404" s="269" t="s">
        <v>1269</v>
      </c>
      <c r="C404" s="94"/>
      <c r="D404" s="94"/>
      <c r="E404" s="94"/>
      <c r="F404" s="94"/>
      <c r="G404" s="94"/>
      <c r="H404" s="94"/>
      <c r="I404" s="94"/>
      <c r="J404" s="660" t="s">
        <v>116</v>
      </c>
      <c r="K404" s="94"/>
      <c r="L404" s="94"/>
      <c r="M404" s="94"/>
      <c r="N404" s="94"/>
      <c r="O404" s="93"/>
    </row>
    <row r="405" spans="1:15" x14ac:dyDescent="0.25">
      <c r="A405" s="659" t="s">
        <v>117</v>
      </c>
      <c r="B405" s="133" t="s">
        <v>23</v>
      </c>
      <c r="C405" s="94"/>
      <c r="D405" s="94"/>
      <c r="E405" s="94"/>
      <c r="F405" s="94"/>
      <c r="G405" s="94"/>
      <c r="H405" s="94"/>
      <c r="I405" s="94"/>
      <c r="J405" s="94"/>
      <c r="K405" s="94"/>
      <c r="L405" s="94"/>
      <c r="M405" s="94"/>
      <c r="N405" s="94"/>
      <c r="O405" s="93"/>
    </row>
    <row r="406" spans="1:15" x14ac:dyDescent="0.25">
      <c r="A406" s="659" t="s">
        <v>115</v>
      </c>
      <c r="B406" s="133"/>
      <c r="C406" s="94"/>
      <c r="D406" s="94"/>
      <c r="E406" s="94"/>
      <c r="F406" s="94"/>
      <c r="G406" s="94"/>
      <c r="H406" s="94"/>
      <c r="I406" s="94"/>
      <c r="J406" s="94"/>
      <c r="K406" s="94"/>
      <c r="L406" s="94"/>
      <c r="M406" s="94"/>
      <c r="N406" s="94"/>
      <c r="O406" s="93"/>
    </row>
    <row r="407" spans="1:15" x14ac:dyDescent="0.25">
      <c r="A407" s="266"/>
      <c r="B407" s="265"/>
      <c r="C407" s="265"/>
      <c r="D407" s="265"/>
      <c r="E407" s="265"/>
      <c r="F407" s="94"/>
      <c r="G407" s="94"/>
      <c r="H407" s="94"/>
      <c r="I407" s="94"/>
      <c r="J407" s="94"/>
      <c r="K407" s="94"/>
      <c r="L407" s="94"/>
      <c r="M407" s="94"/>
      <c r="N407" s="94"/>
      <c r="O407" s="93"/>
    </row>
    <row r="408" spans="1:15" x14ac:dyDescent="0.25">
      <c r="A408" s="658" t="s">
        <v>67</v>
      </c>
      <c r="B408" s="657" t="s">
        <v>112</v>
      </c>
      <c r="C408" s="657" t="s">
        <v>66</v>
      </c>
      <c r="D408" s="657" t="s">
        <v>65</v>
      </c>
      <c r="E408" s="657" t="s">
        <v>81</v>
      </c>
      <c r="F408" s="652" t="s">
        <v>80</v>
      </c>
      <c r="G408" s="652" t="s">
        <v>79</v>
      </c>
      <c r="H408" s="652" t="s">
        <v>78</v>
      </c>
      <c r="I408" s="652" t="s">
        <v>111</v>
      </c>
      <c r="J408" s="652" t="s">
        <v>110</v>
      </c>
      <c r="K408" s="652" t="s">
        <v>109</v>
      </c>
      <c r="L408" s="652" t="s">
        <v>108</v>
      </c>
      <c r="M408" s="652" t="s">
        <v>40</v>
      </c>
      <c r="N408" s="652" t="s">
        <v>58</v>
      </c>
      <c r="O408" s="93"/>
    </row>
    <row r="409" spans="1:15" ht="30" x14ac:dyDescent="0.25">
      <c r="A409" s="509">
        <v>10</v>
      </c>
      <c r="B409" s="673" t="s">
        <v>729</v>
      </c>
      <c r="C409" s="672" t="s">
        <v>1268</v>
      </c>
      <c r="D409" s="665">
        <v>2.25</v>
      </c>
      <c r="E409" s="509">
        <v>19</v>
      </c>
      <c r="F409" s="509" t="s">
        <v>68</v>
      </c>
      <c r="G409" s="509"/>
      <c r="H409" s="670"/>
      <c r="I409" s="671" t="s">
        <v>1267</v>
      </c>
      <c r="J409" s="683">
        <f>PI()*E409/2^2/10^6</f>
        <v>1.4922565104551517E-5</v>
      </c>
      <c r="K409" s="679">
        <v>20</v>
      </c>
      <c r="L409" s="670">
        <v>7860</v>
      </c>
      <c r="M409" s="669">
        <v>1</v>
      </c>
      <c r="N409" s="668">
        <f>IF(J409="",D409*M409,D409*J409*K409*L409*M409)/100</f>
        <v>5.2781112774798716E-2</v>
      </c>
      <c r="O409" s="143"/>
    </row>
    <row r="410" spans="1:15" x14ac:dyDescent="0.25">
      <c r="A410" s="98"/>
      <c r="B410" s="95"/>
      <c r="C410" s="95"/>
      <c r="D410" s="95"/>
      <c r="E410" s="95"/>
      <c r="F410" s="95"/>
      <c r="G410" s="95"/>
      <c r="H410" s="95"/>
      <c r="I410" s="95"/>
      <c r="J410" s="95"/>
      <c r="K410" s="95"/>
      <c r="L410" s="95"/>
      <c r="M410" s="667" t="s">
        <v>58</v>
      </c>
      <c r="N410" s="648">
        <f>SUM(N409:N409)</f>
        <v>5.2781112774798716E-2</v>
      </c>
      <c r="O410" s="93"/>
    </row>
    <row r="411" spans="1:15" x14ac:dyDescent="0.25">
      <c r="A411" s="107"/>
      <c r="B411" s="94"/>
      <c r="C411" s="94"/>
      <c r="D411" s="94"/>
      <c r="E411" s="94"/>
      <c r="F411" s="94"/>
      <c r="G411" s="94"/>
      <c r="H411" s="94"/>
      <c r="I411" s="94"/>
      <c r="J411" s="94"/>
      <c r="K411" s="94"/>
      <c r="L411" s="94"/>
      <c r="M411" s="94"/>
      <c r="N411" s="94"/>
      <c r="O411" s="93"/>
    </row>
    <row r="412" spans="1:15" x14ac:dyDescent="0.25">
      <c r="A412" s="653" t="s">
        <v>67</v>
      </c>
      <c r="B412" s="652" t="s">
        <v>106</v>
      </c>
      <c r="C412" s="652" t="s">
        <v>66</v>
      </c>
      <c r="D412" s="652" t="s">
        <v>65</v>
      </c>
      <c r="E412" s="652" t="s">
        <v>64</v>
      </c>
      <c r="F412" s="652" t="s">
        <v>40</v>
      </c>
      <c r="G412" s="652" t="s">
        <v>105</v>
      </c>
      <c r="H412" s="652" t="s">
        <v>104</v>
      </c>
      <c r="I412" s="652" t="s">
        <v>58</v>
      </c>
      <c r="J412" s="95"/>
      <c r="K412" s="95"/>
      <c r="L412" s="95"/>
      <c r="M412" s="95"/>
      <c r="N412" s="95"/>
      <c r="O412" s="93"/>
    </row>
    <row r="413" spans="1:15" ht="30" x14ac:dyDescent="0.25">
      <c r="A413" s="510">
        <v>10</v>
      </c>
      <c r="B413" s="651" t="s">
        <v>516</v>
      </c>
      <c r="C413" s="650" t="s">
        <v>1248</v>
      </c>
      <c r="D413" s="665">
        <v>1.3</v>
      </c>
      <c r="E413" s="651" t="s">
        <v>64</v>
      </c>
      <c r="F413" s="510">
        <v>1</v>
      </c>
      <c r="G413" s="510"/>
      <c r="H413" s="510"/>
      <c r="I413" s="662">
        <f>IF(H413="",D413*F413,D413*F413*H413)</f>
        <v>1.3</v>
      </c>
      <c r="J413" s="142"/>
      <c r="K413" s="142"/>
      <c r="L413" s="142"/>
      <c r="M413" s="142"/>
      <c r="N413" s="142"/>
      <c r="O413" s="120"/>
    </row>
    <row r="414" spans="1:15" ht="30" x14ac:dyDescent="0.25">
      <c r="A414" s="510">
        <v>20</v>
      </c>
      <c r="B414" s="651" t="s">
        <v>514</v>
      </c>
      <c r="C414" s="650" t="s">
        <v>1266</v>
      </c>
      <c r="D414" s="665">
        <v>0.04</v>
      </c>
      <c r="E414" s="651" t="s">
        <v>512</v>
      </c>
      <c r="F414" s="510">
        <v>2.5</v>
      </c>
      <c r="G414" s="510" t="s">
        <v>724</v>
      </c>
      <c r="H414" s="510">
        <v>3</v>
      </c>
      <c r="I414" s="662">
        <f>IF(H414="",D414*F414,D414*F414*H414)</f>
        <v>0.30000000000000004</v>
      </c>
      <c r="J414" s="94"/>
      <c r="K414" s="94"/>
      <c r="L414" s="94"/>
      <c r="M414" s="94"/>
      <c r="N414" s="94"/>
      <c r="O414" s="93"/>
    </row>
    <row r="415" spans="1:15" x14ac:dyDescent="0.25">
      <c r="A415" s="509">
        <v>30</v>
      </c>
      <c r="B415" s="509" t="s">
        <v>1265</v>
      </c>
      <c r="C415" s="666" t="s">
        <v>1264</v>
      </c>
      <c r="D415" s="665">
        <v>0.65</v>
      </c>
      <c r="E415" s="509" t="s">
        <v>64</v>
      </c>
      <c r="F415" s="664">
        <v>1</v>
      </c>
      <c r="G415" s="663"/>
      <c r="H415" s="510"/>
      <c r="I415" s="662">
        <f>IF(H415="",D415*F415,D415*F415*H415)</f>
        <v>0.65</v>
      </c>
      <c r="J415" s="94"/>
      <c r="K415" s="94"/>
      <c r="L415" s="94"/>
      <c r="M415" s="94"/>
      <c r="N415" s="94"/>
      <c r="O415" s="93"/>
    </row>
    <row r="416" spans="1:15" x14ac:dyDescent="0.25">
      <c r="A416" s="510">
        <v>40</v>
      </c>
      <c r="B416" s="651" t="s">
        <v>514</v>
      </c>
      <c r="C416" s="650" t="s">
        <v>1263</v>
      </c>
      <c r="D416" s="665">
        <v>0.04</v>
      </c>
      <c r="E416" s="651" t="s">
        <v>512</v>
      </c>
      <c r="F416" s="510">
        <v>2.5</v>
      </c>
      <c r="G416" s="510" t="s">
        <v>724</v>
      </c>
      <c r="H416" s="510">
        <v>3</v>
      </c>
      <c r="I416" s="662">
        <f>IF(H416="",D416*F416,D416*F416*H416)</f>
        <v>0.30000000000000004</v>
      </c>
      <c r="J416" s="94"/>
      <c r="K416" s="94"/>
      <c r="L416" s="94"/>
      <c r="M416" s="94"/>
      <c r="N416" s="94"/>
      <c r="O416" s="93"/>
    </row>
    <row r="417" spans="1:15" x14ac:dyDescent="0.25">
      <c r="A417" s="509">
        <v>50</v>
      </c>
      <c r="B417" s="666" t="s">
        <v>1262</v>
      </c>
      <c r="C417" s="666" t="s">
        <v>1261</v>
      </c>
      <c r="D417" s="665">
        <v>0.35</v>
      </c>
      <c r="E417" s="509"/>
      <c r="F417" s="664">
        <v>1</v>
      </c>
      <c r="G417" s="663"/>
      <c r="H417" s="510"/>
      <c r="I417" s="662">
        <f>IF(H417="",D417*F417,D417*F417*H417)</f>
        <v>0.35</v>
      </c>
      <c r="J417" s="99"/>
      <c r="K417" s="99"/>
      <c r="L417" s="99"/>
      <c r="M417" s="99"/>
      <c r="N417" s="99"/>
      <c r="O417" s="130"/>
    </row>
    <row r="418" spans="1:15" x14ac:dyDescent="0.25">
      <c r="A418" s="98"/>
      <c r="B418" s="95"/>
      <c r="C418" s="95"/>
      <c r="D418" s="95"/>
      <c r="E418" s="95"/>
      <c r="F418" s="95"/>
      <c r="G418" s="95"/>
      <c r="H418" s="649" t="s">
        <v>58</v>
      </c>
      <c r="I418" s="648">
        <f>SUM(I413:I417)</f>
        <v>2.9</v>
      </c>
      <c r="J418" s="95"/>
      <c r="K418" s="95"/>
      <c r="L418" s="95"/>
      <c r="M418" s="95"/>
      <c r="N418" s="95"/>
      <c r="O418" s="93"/>
    </row>
    <row r="419" spans="1:15" ht="15.75" thickBot="1" x14ac:dyDescent="0.3">
      <c r="A419" s="92"/>
      <c r="B419" s="91"/>
      <c r="C419" s="91"/>
      <c r="D419" s="91"/>
      <c r="E419" s="91"/>
      <c r="F419" s="91"/>
      <c r="G419" s="91"/>
      <c r="H419" s="91"/>
      <c r="I419" s="91"/>
      <c r="J419" s="91"/>
      <c r="K419" s="91"/>
      <c r="L419" s="91"/>
      <c r="M419" s="91"/>
      <c r="N419" s="91"/>
      <c r="O419" s="90"/>
    </row>
    <row r="421" spans="1:15" ht="15.75" thickBot="1" x14ac:dyDescent="0.3"/>
    <row r="422" spans="1:15" x14ac:dyDescent="0.25">
      <c r="A422" s="141"/>
      <c r="B422" s="140"/>
      <c r="C422" s="140"/>
      <c r="D422" s="140"/>
      <c r="E422" s="140"/>
      <c r="F422" s="140"/>
      <c r="G422" s="140"/>
      <c r="H422" s="140"/>
      <c r="I422" s="140"/>
      <c r="J422" s="140"/>
      <c r="K422" s="140"/>
      <c r="L422" s="140"/>
      <c r="M422" s="140"/>
      <c r="N422" s="140"/>
      <c r="O422" s="139"/>
    </row>
    <row r="423" spans="1:15" x14ac:dyDescent="0.25">
      <c r="A423" s="659" t="s">
        <v>57</v>
      </c>
      <c r="B423" s="133" t="s">
        <v>523</v>
      </c>
      <c r="C423" s="94"/>
      <c r="D423" s="94"/>
      <c r="E423" s="94"/>
      <c r="F423" s="94"/>
      <c r="G423" s="94"/>
      <c r="H423" s="94"/>
      <c r="I423" s="94"/>
      <c r="J423" s="661" t="s">
        <v>51</v>
      </c>
      <c r="K423" s="138">
        <v>81</v>
      </c>
      <c r="L423" s="94"/>
      <c r="M423" s="659" t="s">
        <v>113</v>
      </c>
      <c r="N423" s="100">
        <f>ST_05001_m+ST_05001_p</f>
        <v>5.9576949999999993</v>
      </c>
      <c r="O423" s="93"/>
    </row>
    <row r="424" spans="1:15" x14ac:dyDescent="0.25">
      <c r="A424" s="659" t="s">
        <v>125</v>
      </c>
      <c r="B424" s="133" t="s">
        <v>6</v>
      </c>
      <c r="C424" s="94"/>
      <c r="D424" s="659" t="s">
        <v>122</v>
      </c>
      <c r="E424" s="94"/>
      <c r="F424" s="94"/>
      <c r="G424" s="94"/>
      <c r="H424" s="94"/>
      <c r="I424" s="94"/>
      <c r="J424" s="94"/>
      <c r="K424" s="94"/>
      <c r="L424" s="94"/>
      <c r="M424" s="659" t="s">
        <v>124</v>
      </c>
      <c r="N424" s="136">
        <v>1</v>
      </c>
      <c r="O424" s="93"/>
    </row>
    <row r="425" spans="1:15" x14ac:dyDescent="0.25">
      <c r="A425" s="659" t="s">
        <v>123</v>
      </c>
      <c r="B425" s="270" t="str">
        <f>'ST Assemblies'!B162</f>
        <v>Steering Wheel</v>
      </c>
      <c r="C425" s="94"/>
      <c r="D425" s="659" t="s">
        <v>119</v>
      </c>
      <c r="E425" s="94"/>
      <c r="F425" s="94"/>
      <c r="G425" s="94"/>
      <c r="H425" s="94"/>
      <c r="I425" s="94"/>
      <c r="J425" s="660" t="s">
        <v>122</v>
      </c>
      <c r="K425" s="270" t="s">
        <v>522</v>
      </c>
      <c r="L425" s="94"/>
      <c r="M425" s="94"/>
      <c r="N425" s="94"/>
      <c r="O425" s="93"/>
    </row>
    <row r="426" spans="1:15" x14ac:dyDescent="0.25">
      <c r="A426" s="659" t="s">
        <v>114</v>
      </c>
      <c r="B426" s="682" t="s">
        <v>1260</v>
      </c>
      <c r="C426" s="94"/>
      <c r="D426" s="659" t="s">
        <v>116</v>
      </c>
      <c r="E426" s="94"/>
      <c r="F426" s="94"/>
      <c r="G426" s="94"/>
      <c r="H426" s="94"/>
      <c r="I426" s="94"/>
      <c r="J426" s="660" t="s">
        <v>119</v>
      </c>
      <c r="K426" s="94"/>
      <c r="L426" s="94"/>
      <c r="M426" s="659" t="s">
        <v>118</v>
      </c>
      <c r="N426" s="100">
        <f>N424*N423</f>
        <v>5.9576949999999993</v>
      </c>
      <c r="O426" s="93"/>
    </row>
    <row r="427" spans="1:15" x14ac:dyDescent="0.25">
      <c r="A427" s="659" t="s">
        <v>121</v>
      </c>
      <c r="B427" s="269" t="s">
        <v>1259</v>
      </c>
      <c r="C427" s="94"/>
      <c r="D427" s="94"/>
      <c r="E427" s="94"/>
      <c r="F427" s="94"/>
      <c r="G427" s="94"/>
      <c r="H427" s="94"/>
      <c r="I427" s="94"/>
      <c r="J427" s="660" t="s">
        <v>116</v>
      </c>
      <c r="K427" s="94"/>
      <c r="L427" s="94"/>
      <c r="M427" s="94"/>
      <c r="N427" s="94"/>
      <c r="O427" s="93"/>
    </row>
    <row r="428" spans="1:15" x14ac:dyDescent="0.25">
      <c r="A428" s="659" t="s">
        <v>117</v>
      </c>
      <c r="B428" s="133" t="s">
        <v>23</v>
      </c>
      <c r="C428" s="94"/>
      <c r="D428" s="94"/>
      <c r="E428" s="94"/>
      <c r="F428" s="94"/>
      <c r="G428" s="94"/>
      <c r="H428" s="94"/>
      <c r="I428" s="94"/>
      <c r="J428" s="94"/>
      <c r="K428" s="94"/>
      <c r="L428" s="94"/>
      <c r="M428" s="94"/>
      <c r="N428" s="94"/>
      <c r="O428" s="93"/>
    </row>
    <row r="429" spans="1:15" x14ac:dyDescent="0.25">
      <c r="A429" s="659" t="s">
        <v>115</v>
      </c>
      <c r="B429" s="194"/>
      <c r="C429" s="94"/>
      <c r="D429" s="94"/>
      <c r="E429" s="94"/>
      <c r="F429" s="94"/>
      <c r="G429" s="94"/>
      <c r="H429" s="94"/>
      <c r="I429" s="94"/>
      <c r="J429" s="94"/>
      <c r="K429" s="94"/>
      <c r="L429" s="94"/>
      <c r="M429" s="94"/>
      <c r="N429" s="94"/>
      <c r="O429" s="93"/>
    </row>
    <row r="430" spans="1:15" x14ac:dyDescent="0.25">
      <c r="A430" s="266"/>
      <c r="B430" s="265"/>
      <c r="C430" s="265"/>
      <c r="D430" s="265"/>
      <c r="E430" s="265"/>
      <c r="F430" s="94"/>
      <c r="G430" s="94"/>
      <c r="H430" s="94"/>
      <c r="I430" s="94"/>
      <c r="J430" s="94"/>
      <c r="K430" s="94"/>
      <c r="L430" s="94"/>
      <c r="M430" s="94"/>
      <c r="N430" s="94"/>
      <c r="O430" s="93"/>
    </row>
    <row r="431" spans="1:15" x14ac:dyDescent="0.25">
      <c r="A431" s="658" t="s">
        <v>67</v>
      </c>
      <c r="B431" s="657" t="s">
        <v>112</v>
      </c>
      <c r="C431" s="657" t="s">
        <v>66</v>
      </c>
      <c r="D431" s="657" t="s">
        <v>65</v>
      </c>
      <c r="E431" s="657" t="s">
        <v>81</v>
      </c>
      <c r="F431" s="652" t="s">
        <v>80</v>
      </c>
      <c r="G431" s="652" t="s">
        <v>79</v>
      </c>
      <c r="H431" s="652" t="s">
        <v>78</v>
      </c>
      <c r="I431" s="652" t="s">
        <v>111</v>
      </c>
      <c r="J431" s="652" t="s">
        <v>110</v>
      </c>
      <c r="K431" s="652" t="s">
        <v>109</v>
      </c>
      <c r="L431" s="652" t="s">
        <v>108</v>
      </c>
      <c r="M431" s="652" t="s">
        <v>40</v>
      </c>
      <c r="N431" s="652" t="s">
        <v>58</v>
      </c>
      <c r="O431" s="93"/>
    </row>
    <row r="432" spans="1:15" ht="30" x14ac:dyDescent="0.25">
      <c r="A432" s="509">
        <v>10</v>
      </c>
      <c r="B432" s="673" t="s">
        <v>729</v>
      </c>
      <c r="C432" s="681" t="s">
        <v>1240</v>
      </c>
      <c r="D432" s="665">
        <v>2.25</v>
      </c>
      <c r="E432" s="509">
        <v>210</v>
      </c>
      <c r="F432" s="509" t="s">
        <v>68</v>
      </c>
      <c r="G432" s="509">
        <v>140</v>
      </c>
      <c r="H432" s="670" t="s">
        <v>68</v>
      </c>
      <c r="I432" s="671" t="s">
        <v>1258</v>
      </c>
      <c r="J432" s="680">
        <f>E432*G432*10^-6</f>
        <v>2.9399999999999999E-2</v>
      </c>
      <c r="K432" s="679">
        <v>5.0000000000000001E-3</v>
      </c>
      <c r="L432" s="670">
        <v>7860</v>
      </c>
      <c r="M432" s="669">
        <v>1</v>
      </c>
      <c r="N432" s="668">
        <f>IF(J432="",D432*M432,D432*J432*K432*L432*M432)</f>
        <v>2.5996950000000001</v>
      </c>
      <c r="O432" s="143"/>
    </row>
    <row r="433" spans="1:15" x14ac:dyDescent="0.25">
      <c r="A433" s="98"/>
      <c r="B433" s="95"/>
      <c r="C433" s="95"/>
      <c r="D433" s="95"/>
      <c r="E433" s="95"/>
      <c r="F433" s="95"/>
      <c r="G433" s="95"/>
      <c r="H433" s="95"/>
      <c r="I433" s="95"/>
      <c r="J433" s="95"/>
      <c r="K433" s="95"/>
      <c r="L433" s="95"/>
      <c r="M433" s="667" t="s">
        <v>58</v>
      </c>
      <c r="N433" s="648">
        <f>SUM(N432:N432)</f>
        <v>2.5996950000000001</v>
      </c>
      <c r="O433" s="93"/>
    </row>
    <row r="434" spans="1:15" x14ac:dyDescent="0.25">
      <c r="A434" s="678"/>
      <c r="B434" s="549"/>
      <c r="C434" s="549"/>
      <c r="D434" s="549"/>
      <c r="E434" s="549"/>
      <c r="F434" s="549"/>
      <c r="G434" s="549"/>
      <c r="H434" s="549"/>
      <c r="I434" s="549"/>
      <c r="J434" s="94"/>
      <c r="K434" s="94"/>
      <c r="L434" s="94"/>
      <c r="M434" s="94"/>
      <c r="N434" s="94"/>
      <c r="O434" s="93"/>
    </row>
    <row r="435" spans="1:15" x14ac:dyDescent="0.25">
      <c r="A435" s="653" t="s">
        <v>67</v>
      </c>
      <c r="B435" s="652" t="s">
        <v>106</v>
      </c>
      <c r="C435" s="652" t="s">
        <v>66</v>
      </c>
      <c r="D435" s="652" t="s">
        <v>65</v>
      </c>
      <c r="E435" s="652" t="s">
        <v>64</v>
      </c>
      <c r="F435" s="652" t="s">
        <v>40</v>
      </c>
      <c r="G435" s="652" t="s">
        <v>105</v>
      </c>
      <c r="H435" s="652" t="s">
        <v>104</v>
      </c>
      <c r="I435" s="652" t="s">
        <v>58</v>
      </c>
      <c r="J435" s="95"/>
      <c r="K435" s="95"/>
      <c r="L435" s="95"/>
      <c r="M435" s="95"/>
      <c r="N435" s="95"/>
      <c r="O435" s="93"/>
    </row>
    <row r="436" spans="1:15" ht="30" x14ac:dyDescent="0.25">
      <c r="A436" s="510">
        <v>10</v>
      </c>
      <c r="B436" s="651" t="s">
        <v>516</v>
      </c>
      <c r="C436" s="677" t="s">
        <v>686</v>
      </c>
      <c r="D436" s="665">
        <v>1.3</v>
      </c>
      <c r="E436" s="651" t="s">
        <v>64</v>
      </c>
      <c r="F436" s="677">
        <v>1</v>
      </c>
      <c r="G436" s="677"/>
      <c r="H436" s="510"/>
      <c r="I436" s="662">
        <f>IF(H436="",D436*F436,D436*F436*H436)</f>
        <v>1.3</v>
      </c>
      <c r="J436" s="142"/>
      <c r="K436" s="142"/>
      <c r="L436" s="142"/>
      <c r="M436" s="142"/>
      <c r="N436" s="142"/>
      <c r="O436" s="120"/>
    </row>
    <row r="437" spans="1:15" x14ac:dyDescent="0.25">
      <c r="A437" s="509">
        <v>20</v>
      </c>
      <c r="B437" s="509" t="s">
        <v>527</v>
      </c>
      <c r="C437" s="509" t="s">
        <v>1257</v>
      </c>
      <c r="D437" s="665">
        <v>0.01</v>
      </c>
      <c r="E437" s="509" t="s">
        <v>101</v>
      </c>
      <c r="F437" s="664">
        <v>33.6</v>
      </c>
      <c r="G437" s="651" t="s">
        <v>1271</v>
      </c>
      <c r="H437" s="510">
        <v>3</v>
      </c>
      <c r="I437" s="662">
        <f>IF(H437="",D437*F437,D437*F437*H437)</f>
        <v>1.008</v>
      </c>
      <c r="J437" s="142"/>
      <c r="K437" s="142"/>
      <c r="L437" s="142"/>
      <c r="M437" s="142"/>
      <c r="N437" s="142"/>
      <c r="O437" s="120"/>
    </row>
    <row r="438" spans="1:15" x14ac:dyDescent="0.25">
      <c r="A438" s="509">
        <v>30</v>
      </c>
      <c r="B438" s="509" t="s">
        <v>1228</v>
      </c>
      <c r="C438" s="509" t="s">
        <v>1255</v>
      </c>
      <c r="D438" s="665">
        <v>0.35</v>
      </c>
      <c r="E438" s="509" t="s">
        <v>294</v>
      </c>
      <c r="F438" s="676">
        <v>3</v>
      </c>
      <c r="G438" s="651"/>
      <c r="H438" s="510"/>
      <c r="I438" s="662">
        <f>IF(H438="",D438*F438,D438*F438*H438)</f>
        <v>1.0499999999999998</v>
      </c>
      <c r="J438" s="142"/>
      <c r="K438" s="142"/>
      <c r="L438" s="142"/>
      <c r="M438" s="142"/>
      <c r="N438" s="142"/>
      <c r="O438" s="120"/>
    </row>
    <row r="439" spans="1:15" x14ac:dyDescent="0.25">
      <c r="A439" s="98"/>
      <c r="B439" s="95"/>
      <c r="C439" s="95"/>
      <c r="D439" s="95"/>
      <c r="E439" s="95"/>
      <c r="F439" s="95"/>
      <c r="G439" s="95"/>
      <c r="H439" s="649" t="s">
        <v>58</v>
      </c>
      <c r="I439" s="648">
        <f>SUM(I436:I438)</f>
        <v>3.3579999999999997</v>
      </c>
      <c r="J439" s="95"/>
      <c r="K439" s="95"/>
      <c r="L439" s="95"/>
      <c r="M439" s="95"/>
      <c r="N439" s="95"/>
      <c r="O439" s="93"/>
    </row>
    <row r="440" spans="1:15" x14ac:dyDescent="0.25">
      <c r="A440" s="107"/>
      <c r="B440" s="94"/>
      <c r="C440" s="94"/>
      <c r="D440" s="94"/>
      <c r="E440" s="94"/>
      <c r="F440" s="94"/>
      <c r="G440" s="94"/>
      <c r="H440" s="675"/>
      <c r="I440" s="674"/>
      <c r="J440" s="94"/>
      <c r="K440" s="94"/>
      <c r="L440" s="94"/>
      <c r="M440" s="94"/>
      <c r="N440" s="94"/>
      <c r="O440" s="93"/>
    </row>
    <row r="441" spans="1:15" ht="15.75" thickBot="1" x14ac:dyDescent="0.3">
      <c r="A441" s="92"/>
      <c r="B441" s="91"/>
      <c r="C441" s="91"/>
      <c r="D441" s="91"/>
      <c r="E441" s="91"/>
      <c r="F441" s="91"/>
      <c r="G441" s="91"/>
      <c r="H441" s="91"/>
      <c r="I441" s="91"/>
      <c r="J441" s="91"/>
      <c r="K441" s="91"/>
      <c r="L441" s="91"/>
      <c r="M441" s="91"/>
      <c r="N441" s="91"/>
      <c r="O441" s="90"/>
    </row>
    <row r="442" spans="1:15" ht="15.75" thickBot="1" x14ac:dyDescent="0.3"/>
    <row r="443" spans="1:15" x14ac:dyDescent="0.25">
      <c r="A443" s="141"/>
      <c r="B443" s="140"/>
      <c r="C443" s="140"/>
      <c r="D443" s="140"/>
      <c r="E443" s="140"/>
      <c r="F443" s="140"/>
      <c r="G443" s="140"/>
      <c r="H443" s="140"/>
      <c r="I443" s="140"/>
      <c r="J443" s="272"/>
      <c r="K443" s="140"/>
      <c r="L443" s="140"/>
      <c r="M443" s="140"/>
      <c r="N443" s="140"/>
      <c r="O443" s="139"/>
    </row>
    <row r="444" spans="1:15" x14ac:dyDescent="0.25">
      <c r="A444" s="659" t="s">
        <v>57</v>
      </c>
      <c r="B444" s="133" t="s">
        <v>523</v>
      </c>
      <c r="C444" s="94"/>
      <c r="D444" s="94"/>
      <c r="E444" s="94"/>
      <c r="F444" s="94"/>
      <c r="G444" s="94"/>
      <c r="H444" s="94"/>
      <c r="I444" s="94"/>
      <c r="J444" s="661" t="s">
        <v>51</v>
      </c>
      <c r="K444" s="138">
        <v>81</v>
      </c>
      <c r="L444" s="94"/>
      <c r="M444" s="659" t="s">
        <v>113</v>
      </c>
      <c r="N444" s="100">
        <f>ST_05002_m+ST_05002_p</f>
        <v>5.2738223039999994</v>
      </c>
      <c r="O444" s="93"/>
    </row>
    <row r="445" spans="1:15" x14ac:dyDescent="0.25">
      <c r="A445" s="659" t="s">
        <v>125</v>
      </c>
      <c r="B445" s="133" t="s">
        <v>6</v>
      </c>
      <c r="C445" s="94"/>
      <c r="D445" s="659" t="s">
        <v>122</v>
      </c>
      <c r="E445" s="94"/>
      <c r="F445" s="94"/>
      <c r="G445" s="94"/>
      <c r="H445" s="94"/>
      <c r="I445" s="94"/>
      <c r="J445" s="94"/>
      <c r="K445" s="94"/>
      <c r="L445" s="94"/>
      <c r="M445" s="659" t="s">
        <v>124</v>
      </c>
      <c r="N445" s="136">
        <v>1</v>
      </c>
      <c r="O445" s="93"/>
    </row>
    <row r="446" spans="1:15" x14ac:dyDescent="0.25">
      <c r="A446" s="659" t="s">
        <v>123</v>
      </c>
      <c r="B446" s="270" t="str">
        <f>'ST Assemblies'!B162</f>
        <v>Steering Wheel</v>
      </c>
      <c r="C446" s="94"/>
      <c r="D446" s="659" t="s">
        <v>119</v>
      </c>
      <c r="E446" s="94"/>
      <c r="F446" s="94"/>
      <c r="G446" s="94"/>
      <c r="H446" s="94"/>
      <c r="I446" s="94"/>
      <c r="J446" s="660" t="s">
        <v>122</v>
      </c>
      <c r="K446" s="94"/>
      <c r="L446" s="94"/>
      <c r="M446" s="94"/>
      <c r="N446" s="94"/>
      <c r="O446" s="93"/>
    </row>
    <row r="447" spans="1:15" x14ac:dyDescent="0.25">
      <c r="A447" s="659" t="s">
        <v>114</v>
      </c>
      <c r="B447" s="135" t="s">
        <v>1104</v>
      </c>
      <c r="C447" s="94"/>
      <c r="D447" s="659" t="s">
        <v>116</v>
      </c>
      <c r="E447" s="94"/>
      <c r="F447" s="94"/>
      <c r="G447" s="94"/>
      <c r="H447" s="94"/>
      <c r="I447" s="94"/>
      <c r="J447" s="660" t="s">
        <v>119</v>
      </c>
      <c r="K447" s="94"/>
      <c r="L447" s="94"/>
      <c r="M447" s="659" t="s">
        <v>118</v>
      </c>
      <c r="N447" s="100">
        <f>N445*N444</f>
        <v>5.2738223039999994</v>
      </c>
      <c r="O447" s="93"/>
    </row>
    <row r="448" spans="1:15" x14ac:dyDescent="0.25">
      <c r="A448" s="659" t="s">
        <v>121</v>
      </c>
      <c r="B448" s="269" t="s">
        <v>1254</v>
      </c>
      <c r="C448" s="94"/>
      <c r="D448" s="94"/>
      <c r="E448" s="94"/>
      <c r="F448" s="94"/>
      <c r="G448" s="94"/>
      <c r="H448" s="94"/>
      <c r="I448" s="94"/>
      <c r="J448" s="660" t="s">
        <v>116</v>
      </c>
      <c r="K448" s="94"/>
      <c r="L448" s="94"/>
      <c r="M448" s="94"/>
      <c r="N448" s="94"/>
      <c r="O448" s="93"/>
    </row>
    <row r="449" spans="1:15" x14ac:dyDescent="0.25">
      <c r="A449" s="659" t="s">
        <v>117</v>
      </c>
      <c r="B449" s="133" t="s">
        <v>23</v>
      </c>
      <c r="C449" s="94"/>
      <c r="D449" s="94"/>
      <c r="E449" s="94"/>
      <c r="F449" s="94"/>
      <c r="G449" s="94"/>
      <c r="H449" s="94"/>
      <c r="I449" s="94"/>
      <c r="J449" s="94"/>
      <c r="K449" s="94"/>
      <c r="L449" s="94"/>
      <c r="M449" s="94"/>
      <c r="N449" s="94"/>
      <c r="O449" s="93"/>
    </row>
    <row r="450" spans="1:15" x14ac:dyDescent="0.25">
      <c r="A450" s="659" t="s">
        <v>115</v>
      </c>
      <c r="B450" s="133" t="s">
        <v>1253</v>
      </c>
      <c r="C450" s="94"/>
      <c r="D450" s="94"/>
      <c r="E450" s="94"/>
      <c r="F450" s="94"/>
      <c r="G450" s="94"/>
      <c r="H450" s="94"/>
      <c r="I450" s="94"/>
      <c r="J450" s="94"/>
      <c r="K450" s="94"/>
      <c r="L450" s="94"/>
      <c r="M450" s="94"/>
      <c r="N450" s="94"/>
      <c r="O450" s="93"/>
    </row>
    <row r="451" spans="1:15" x14ac:dyDescent="0.25">
      <c r="A451" s="266"/>
      <c r="B451" s="265"/>
      <c r="C451" s="265"/>
      <c r="D451" s="265"/>
      <c r="E451" s="265"/>
      <c r="F451" s="94"/>
      <c r="G451" s="94"/>
      <c r="H451" s="94"/>
      <c r="I451" s="94"/>
      <c r="J451" s="94"/>
      <c r="K451" s="94"/>
      <c r="L451" s="94"/>
      <c r="M451" s="94"/>
      <c r="N451" s="94"/>
      <c r="O451" s="93"/>
    </row>
    <row r="452" spans="1:15" x14ac:dyDescent="0.25">
      <c r="A452" s="658" t="s">
        <v>67</v>
      </c>
      <c r="B452" s="657" t="s">
        <v>112</v>
      </c>
      <c r="C452" s="657" t="s">
        <v>66</v>
      </c>
      <c r="D452" s="657" t="s">
        <v>65</v>
      </c>
      <c r="E452" s="657" t="s">
        <v>81</v>
      </c>
      <c r="F452" s="652" t="s">
        <v>80</v>
      </c>
      <c r="G452" s="652" t="s">
        <v>79</v>
      </c>
      <c r="H452" s="652" t="s">
        <v>78</v>
      </c>
      <c r="I452" s="652" t="s">
        <v>111</v>
      </c>
      <c r="J452" s="652" t="s">
        <v>110</v>
      </c>
      <c r="K452" s="652" t="s">
        <v>109</v>
      </c>
      <c r="L452" s="652" t="s">
        <v>108</v>
      </c>
      <c r="M452" s="652" t="s">
        <v>40</v>
      </c>
      <c r="N452" s="652" t="s">
        <v>58</v>
      </c>
      <c r="O452" s="93"/>
    </row>
    <row r="453" spans="1:15" ht="30" x14ac:dyDescent="0.25">
      <c r="A453" s="509">
        <v>10</v>
      </c>
      <c r="B453" s="673" t="s">
        <v>754</v>
      </c>
      <c r="C453" s="672" t="s">
        <v>1240</v>
      </c>
      <c r="D453" s="665">
        <v>4.2</v>
      </c>
      <c r="E453" s="509">
        <v>120</v>
      </c>
      <c r="F453" s="509" t="s">
        <v>68</v>
      </c>
      <c r="G453" s="509"/>
      <c r="H453" s="670"/>
      <c r="I453" s="671" t="s">
        <v>1249</v>
      </c>
      <c r="J453" s="669">
        <f>((E453/2*10^-3)^2)*3.14</f>
        <v>1.1304E-2</v>
      </c>
      <c r="K453" s="679">
        <v>1.7999999999999999E-2</v>
      </c>
      <c r="L453" s="670">
        <v>2710</v>
      </c>
      <c r="M453" s="669">
        <v>1</v>
      </c>
      <c r="N453" s="668">
        <f>IF(J453="",D453*M453,D453*J453*K453*L453*M453)</f>
        <v>2.3159183039999998</v>
      </c>
      <c r="O453" s="143"/>
    </row>
    <row r="454" spans="1:15" x14ac:dyDescent="0.25">
      <c r="A454" s="98"/>
      <c r="B454" s="95"/>
      <c r="C454" s="95"/>
      <c r="D454" s="95"/>
      <c r="E454" s="95"/>
      <c r="F454" s="95"/>
      <c r="G454" s="95"/>
      <c r="H454" s="95"/>
      <c r="I454" s="95"/>
      <c r="J454" s="95"/>
      <c r="K454" s="95"/>
      <c r="L454" s="95"/>
      <c r="M454" s="667" t="s">
        <v>58</v>
      </c>
      <c r="N454" s="648">
        <f>SUM(N453:N453)</f>
        <v>2.3159183039999998</v>
      </c>
      <c r="O454" s="93"/>
    </row>
    <row r="455" spans="1:15" x14ac:dyDescent="0.25">
      <c r="A455" s="107"/>
      <c r="B455" s="94"/>
      <c r="C455" s="94"/>
      <c r="D455" s="94"/>
      <c r="E455" s="94"/>
      <c r="F455" s="94"/>
      <c r="G455" s="94"/>
      <c r="H455" s="94"/>
      <c r="I455" s="94"/>
      <c r="J455" s="94"/>
      <c r="K455" s="94"/>
      <c r="L455" s="94"/>
      <c r="M455" s="94"/>
      <c r="N455" s="94"/>
      <c r="O455" s="93"/>
    </row>
    <row r="456" spans="1:15" x14ac:dyDescent="0.25">
      <c r="A456" s="653" t="s">
        <v>67</v>
      </c>
      <c r="B456" s="652" t="s">
        <v>106</v>
      </c>
      <c r="C456" s="652" t="s">
        <v>66</v>
      </c>
      <c r="D456" s="652" t="s">
        <v>65</v>
      </c>
      <c r="E456" s="652" t="s">
        <v>64</v>
      </c>
      <c r="F456" s="652" t="s">
        <v>40</v>
      </c>
      <c r="G456" s="652" t="s">
        <v>105</v>
      </c>
      <c r="H456" s="652" t="s">
        <v>104</v>
      </c>
      <c r="I456" s="652" t="s">
        <v>58</v>
      </c>
      <c r="J456" s="95"/>
      <c r="K456" s="95"/>
      <c r="L456" s="95"/>
      <c r="M456" s="95"/>
      <c r="N456" s="95"/>
      <c r="O456" s="93"/>
    </row>
    <row r="457" spans="1:15" ht="30" x14ac:dyDescent="0.25">
      <c r="A457" s="510">
        <v>10</v>
      </c>
      <c r="B457" s="651" t="s">
        <v>516</v>
      </c>
      <c r="C457" s="650" t="s">
        <v>1248</v>
      </c>
      <c r="D457" s="665">
        <v>1.3</v>
      </c>
      <c r="E457" s="651" t="s">
        <v>64</v>
      </c>
      <c r="F457" s="510">
        <v>1</v>
      </c>
      <c r="G457" s="510"/>
      <c r="H457" s="510"/>
      <c r="I457" s="662">
        <f>IF(H457="",D457*F457,D457*F457*H457)</f>
        <v>1.3</v>
      </c>
      <c r="J457" s="142"/>
      <c r="K457" s="142"/>
      <c r="L457" s="142"/>
      <c r="M457" s="142"/>
      <c r="N457" s="142"/>
      <c r="O457" s="120"/>
    </row>
    <row r="458" spans="1:15" ht="30" x14ac:dyDescent="0.25">
      <c r="A458" s="510">
        <v>20</v>
      </c>
      <c r="B458" s="651" t="s">
        <v>514</v>
      </c>
      <c r="C458" s="650" t="s">
        <v>1247</v>
      </c>
      <c r="D458" s="665">
        <v>0.04</v>
      </c>
      <c r="E458" s="651" t="s">
        <v>512</v>
      </c>
      <c r="F458" s="510">
        <f>(2.2^2)*3.14</f>
        <v>15.197600000000003</v>
      </c>
      <c r="G458" s="650" t="s">
        <v>1246</v>
      </c>
      <c r="H458" s="510">
        <v>1</v>
      </c>
      <c r="I458" s="662">
        <f>IF(H458="",D458*F458,D458*F458*H458)</f>
        <v>0.60790400000000011</v>
      </c>
      <c r="J458" s="94"/>
      <c r="K458" s="94"/>
      <c r="L458" s="94"/>
      <c r="M458" s="94"/>
      <c r="N458" s="94"/>
      <c r="O458" s="93"/>
    </row>
    <row r="459" spans="1:15" x14ac:dyDescent="0.25">
      <c r="A459" s="509">
        <v>30</v>
      </c>
      <c r="B459" s="666" t="s">
        <v>1245</v>
      </c>
      <c r="C459" s="666" t="s">
        <v>1252</v>
      </c>
      <c r="D459" s="665">
        <v>0.35</v>
      </c>
      <c r="E459" s="509"/>
      <c r="F459" s="664">
        <v>3</v>
      </c>
      <c r="G459" s="663"/>
      <c r="H459" s="510"/>
      <c r="I459" s="662">
        <f>IF(H459="",D459*F459,D459*F459*H459)</f>
        <v>1.0499999999999998</v>
      </c>
      <c r="J459" s="94"/>
      <c r="K459" s="94"/>
      <c r="L459" s="94"/>
      <c r="M459" s="94"/>
      <c r="N459" s="94"/>
      <c r="O459" s="93"/>
    </row>
    <row r="460" spans="1:15" x14ac:dyDescent="0.25">
      <c r="A460" s="98"/>
      <c r="B460" s="95"/>
      <c r="C460" s="95"/>
      <c r="D460" s="95"/>
      <c r="E460" s="95"/>
      <c r="F460" s="95"/>
      <c r="G460" s="95"/>
      <c r="H460" s="649" t="s">
        <v>58</v>
      </c>
      <c r="I460" s="648">
        <f>SUM(I457:I459)</f>
        <v>2.9579040000000001</v>
      </c>
      <c r="J460" s="95"/>
      <c r="K460" s="95"/>
      <c r="L460" s="95"/>
      <c r="M460" s="95"/>
      <c r="N460" s="95"/>
      <c r="O460" s="93"/>
    </row>
    <row r="461" spans="1:15" ht="15.75" thickBot="1" x14ac:dyDescent="0.3">
      <c r="A461" s="92"/>
      <c r="B461" s="91"/>
      <c r="C461" s="91"/>
      <c r="D461" s="91"/>
      <c r="E461" s="91"/>
      <c r="F461" s="91"/>
      <c r="G461" s="91"/>
      <c r="H461" s="91"/>
      <c r="I461" s="91"/>
      <c r="J461" s="91"/>
      <c r="K461" s="91"/>
      <c r="L461" s="91"/>
      <c r="M461" s="91"/>
      <c r="N461" s="91"/>
      <c r="O461" s="90"/>
    </row>
    <row r="462" spans="1:15" ht="15.75" thickBot="1" x14ac:dyDescent="0.3"/>
    <row r="463" spans="1:15" x14ac:dyDescent="0.25">
      <c r="A463" s="141"/>
      <c r="B463" s="140"/>
      <c r="C463" s="140"/>
      <c r="D463" s="140"/>
      <c r="E463" s="140"/>
      <c r="F463" s="140"/>
      <c r="G463" s="140"/>
      <c r="H463" s="140"/>
      <c r="I463" s="140"/>
      <c r="J463" s="272"/>
      <c r="K463" s="140"/>
      <c r="L463" s="140"/>
      <c r="M463" s="140"/>
      <c r="N463" s="140"/>
      <c r="O463" s="139"/>
    </row>
    <row r="464" spans="1:15" x14ac:dyDescent="0.25">
      <c r="A464" s="659" t="s">
        <v>57</v>
      </c>
      <c r="B464" s="133" t="s">
        <v>523</v>
      </c>
      <c r="C464" s="94"/>
      <c r="D464" s="94"/>
      <c r="E464" s="94"/>
      <c r="F464" s="94"/>
      <c r="G464" s="94"/>
      <c r="H464" s="94"/>
      <c r="I464" s="94"/>
      <c r="J464" s="661" t="s">
        <v>51</v>
      </c>
      <c r="K464" s="138">
        <v>81</v>
      </c>
      <c r="L464" s="94"/>
      <c r="M464" s="659" t="s">
        <v>113</v>
      </c>
      <c r="N464" s="100">
        <f>ST_05003_m+ST_05003_p</f>
        <v>3.987201024</v>
      </c>
      <c r="O464" s="93"/>
    </row>
    <row r="465" spans="1:15" x14ac:dyDescent="0.25">
      <c r="A465" s="659" t="s">
        <v>125</v>
      </c>
      <c r="B465" s="133" t="s">
        <v>6</v>
      </c>
      <c r="C465" s="94"/>
      <c r="D465" s="659" t="s">
        <v>122</v>
      </c>
      <c r="E465" s="94"/>
      <c r="F465" s="94"/>
      <c r="G465" s="94"/>
      <c r="H465" s="94"/>
      <c r="I465" s="94"/>
      <c r="J465" s="94"/>
      <c r="K465" s="94"/>
      <c r="L465" s="94"/>
      <c r="M465" s="659" t="s">
        <v>124</v>
      </c>
      <c r="N465" s="136">
        <v>1</v>
      </c>
      <c r="O465" s="93"/>
    </row>
    <row r="466" spans="1:15" x14ac:dyDescent="0.25">
      <c r="A466" s="659" t="s">
        <v>123</v>
      </c>
      <c r="B466" s="270" t="str">
        <f>'ST Assemblies'!B162</f>
        <v>Steering Wheel</v>
      </c>
      <c r="C466" s="94"/>
      <c r="D466" s="659" t="s">
        <v>119</v>
      </c>
      <c r="E466" s="94"/>
      <c r="F466" s="94"/>
      <c r="G466" s="94"/>
      <c r="H466" s="94"/>
      <c r="I466" s="94"/>
      <c r="J466" s="660" t="s">
        <v>122</v>
      </c>
      <c r="K466" s="94"/>
      <c r="L466" s="94"/>
      <c r="M466" s="94"/>
      <c r="N466" s="94"/>
      <c r="O466" s="93"/>
    </row>
    <row r="467" spans="1:15" x14ac:dyDescent="0.25">
      <c r="A467" s="659" t="s">
        <v>114</v>
      </c>
      <c r="B467" s="372" t="s">
        <v>1104</v>
      </c>
      <c r="C467" s="94"/>
      <c r="D467" s="659" t="s">
        <v>116</v>
      </c>
      <c r="E467" s="94"/>
      <c r="F467" s="94"/>
      <c r="G467" s="94"/>
      <c r="H467" s="94"/>
      <c r="I467" s="94"/>
      <c r="J467" s="660" t="s">
        <v>119</v>
      </c>
      <c r="K467" s="94"/>
      <c r="L467" s="94"/>
      <c r="M467" s="659" t="s">
        <v>118</v>
      </c>
      <c r="N467" s="100">
        <f>N465*N464</f>
        <v>3.987201024</v>
      </c>
      <c r="O467" s="93"/>
    </row>
    <row r="468" spans="1:15" x14ac:dyDescent="0.25">
      <c r="A468" s="659" t="s">
        <v>121</v>
      </c>
      <c r="B468" s="269" t="s">
        <v>1251</v>
      </c>
      <c r="C468" s="94"/>
      <c r="D468" s="94"/>
      <c r="E468" s="94"/>
      <c r="F468" s="94"/>
      <c r="G468" s="94"/>
      <c r="H468" s="94"/>
      <c r="I468" s="94"/>
      <c r="J468" s="660" t="s">
        <v>116</v>
      </c>
      <c r="K468" s="94"/>
      <c r="L468" s="94"/>
      <c r="M468" s="94"/>
      <c r="N468" s="94"/>
      <c r="O468" s="93"/>
    </row>
    <row r="469" spans="1:15" x14ac:dyDescent="0.25">
      <c r="A469" s="659" t="s">
        <v>117</v>
      </c>
      <c r="B469" s="133" t="s">
        <v>23</v>
      </c>
      <c r="C469" s="94"/>
      <c r="D469" s="94"/>
      <c r="E469" s="94"/>
      <c r="F469" s="94"/>
      <c r="G469" s="94"/>
      <c r="H469" s="94"/>
      <c r="I469" s="94"/>
      <c r="J469" s="94"/>
      <c r="K469" s="94"/>
      <c r="L469" s="94"/>
      <c r="M469" s="94"/>
      <c r="N469" s="94"/>
      <c r="O469" s="93"/>
    </row>
    <row r="470" spans="1:15" x14ac:dyDescent="0.25">
      <c r="A470" s="659" t="s">
        <v>115</v>
      </c>
      <c r="B470" s="133" t="s">
        <v>1250</v>
      </c>
      <c r="C470" s="94"/>
      <c r="D470" s="94"/>
      <c r="E470" s="94"/>
      <c r="F470" s="94"/>
      <c r="G470" s="94"/>
      <c r="H470" s="94"/>
      <c r="I470" s="94"/>
      <c r="J470" s="94"/>
      <c r="K470" s="94"/>
      <c r="L470" s="94"/>
      <c r="M470" s="94"/>
      <c r="N470" s="94"/>
      <c r="O470" s="93"/>
    </row>
    <row r="471" spans="1:15" x14ac:dyDescent="0.25">
      <c r="A471" s="266"/>
      <c r="B471" s="265"/>
      <c r="C471" s="265"/>
      <c r="D471" s="265"/>
      <c r="E471" s="265"/>
      <c r="F471" s="94"/>
      <c r="G471" s="94"/>
      <c r="H471" s="94"/>
      <c r="I471" s="94"/>
      <c r="J471" s="94"/>
      <c r="K471" s="94"/>
      <c r="L471" s="94"/>
      <c r="M471" s="94"/>
      <c r="N471" s="94"/>
      <c r="O471" s="93"/>
    </row>
    <row r="472" spans="1:15" x14ac:dyDescent="0.25">
      <c r="A472" s="658" t="s">
        <v>67</v>
      </c>
      <c r="B472" s="657" t="s">
        <v>112</v>
      </c>
      <c r="C472" s="657" t="s">
        <v>66</v>
      </c>
      <c r="D472" s="657" t="s">
        <v>65</v>
      </c>
      <c r="E472" s="657" t="s">
        <v>81</v>
      </c>
      <c r="F472" s="652" t="s">
        <v>80</v>
      </c>
      <c r="G472" s="652" t="s">
        <v>79</v>
      </c>
      <c r="H472" s="652" t="s">
        <v>78</v>
      </c>
      <c r="I472" s="652" t="s">
        <v>111</v>
      </c>
      <c r="J472" s="652" t="s">
        <v>110</v>
      </c>
      <c r="K472" s="652" t="s">
        <v>109</v>
      </c>
      <c r="L472" s="652" t="s">
        <v>108</v>
      </c>
      <c r="M472" s="652" t="s">
        <v>40</v>
      </c>
      <c r="N472" s="652" t="s">
        <v>58</v>
      </c>
      <c r="O472" s="93"/>
    </row>
    <row r="473" spans="1:15" ht="30" x14ac:dyDescent="0.25">
      <c r="A473" s="509">
        <v>10</v>
      </c>
      <c r="B473" s="673" t="s">
        <v>754</v>
      </c>
      <c r="C473" s="672" t="s">
        <v>1240</v>
      </c>
      <c r="D473" s="665">
        <v>4.2</v>
      </c>
      <c r="E473" s="509">
        <v>120</v>
      </c>
      <c r="F473" s="509" t="s">
        <v>68</v>
      </c>
      <c r="G473" s="509"/>
      <c r="H473" s="670"/>
      <c r="I473" s="671" t="s">
        <v>1249</v>
      </c>
      <c r="J473" s="669">
        <f>((E473/2*10^-3)^2)*3.14</f>
        <v>1.1304E-2</v>
      </c>
      <c r="K473" s="679">
        <v>8.0000000000000002E-3</v>
      </c>
      <c r="L473" s="670">
        <v>2710</v>
      </c>
      <c r="M473" s="669">
        <v>1</v>
      </c>
      <c r="N473" s="668">
        <f>IF(J473="",D473*M473,D473*J473*K473*L473*M473)</f>
        <v>1.0292970239999999</v>
      </c>
      <c r="O473" s="143"/>
    </row>
    <row r="474" spans="1:15" x14ac:dyDescent="0.25">
      <c r="A474" s="98"/>
      <c r="B474" s="95"/>
      <c r="C474" s="95"/>
      <c r="D474" s="95"/>
      <c r="E474" s="95"/>
      <c r="F474" s="95"/>
      <c r="G474" s="95"/>
      <c r="H474" s="95"/>
      <c r="I474" s="95"/>
      <c r="J474" s="95"/>
      <c r="K474" s="95"/>
      <c r="L474" s="95"/>
      <c r="M474" s="667" t="s">
        <v>58</v>
      </c>
      <c r="N474" s="648">
        <f>SUM(N473:N473)</f>
        <v>1.0292970239999999</v>
      </c>
      <c r="O474" s="93"/>
    </row>
    <row r="475" spans="1:15" x14ac:dyDescent="0.25">
      <c r="A475" s="107"/>
      <c r="B475" s="94"/>
      <c r="C475" s="94"/>
      <c r="D475" s="94"/>
      <c r="E475" s="94"/>
      <c r="F475" s="94"/>
      <c r="G475" s="94"/>
      <c r="H475" s="94"/>
      <c r="I475" s="94"/>
      <c r="J475" s="94"/>
      <c r="K475" s="94"/>
      <c r="L475" s="94"/>
      <c r="M475" s="94"/>
      <c r="N475" s="94"/>
      <c r="O475" s="93"/>
    </row>
    <row r="476" spans="1:15" x14ac:dyDescent="0.25">
      <c r="A476" s="653" t="s">
        <v>67</v>
      </c>
      <c r="B476" s="652" t="s">
        <v>106</v>
      </c>
      <c r="C476" s="652" t="s">
        <v>66</v>
      </c>
      <c r="D476" s="652" t="s">
        <v>65</v>
      </c>
      <c r="E476" s="652" t="s">
        <v>64</v>
      </c>
      <c r="F476" s="652" t="s">
        <v>40</v>
      </c>
      <c r="G476" s="652" t="s">
        <v>105</v>
      </c>
      <c r="H476" s="652" t="s">
        <v>104</v>
      </c>
      <c r="I476" s="652" t="s">
        <v>58</v>
      </c>
      <c r="J476" s="95"/>
      <c r="K476" s="95"/>
      <c r="L476" s="95"/>
      <c r="M476" s="95"/>
      <c r="N476" s="95"/>
      <c r="O476" s="93"/>
    </row>
    <row r="477" spans="1:15" ht="30" x14ac:dyDescent="0.25">
      <c r="A477" s="510">
        <v>10</v>
      </c>
      <c r="B477" s="651" t="s">
        <v>516</v>
      </c>
      <c r="C477" s="650" t="s">
        <v>1248</v>
      </c>
      <c r="D477" s="665">
        <v>1.3</v>
      </c>
      <c r="E477" s="651" t="s">
        <v>64</v>
      </c>
      <c r="F477" s="510">
        <v>1</v>
      </c>
      <c r="G477" s="510"/>
      <c r="H477" s="510"/>
      <c r="I477" s="662">
        <f>IF(H477="",D477*F477,D477*F477*H477)</f>
        <v>1.3</v>
      </c>
      <c r="J477" s="142"/>
      <c r="K477"/>
      <c r="L477" s="142"/>
      <c r="M477" s="142"/>
      <c r="N477" s="142"/>
      <c r="O477" s="120"/>
    </row>
    <row r="478" spans="1:15" ht="30" x14ac:dyDescent="0.25">
      <c r="A478" s="510">
        <v>20</v>
      </c>
      <c r="B478" s="651" t="s">
        <v>514</v>
      </c>
      <c r="C478" s="650" t="s">
        <v>1247</v>
      </c>
      <c r="D478" s="665">
        <v>0.04</v>
      </c>
      <c r="E478" s="651" t="s">
        <v>512</v>
      </c>
      <c r="F478" s="510">
        <f>(2.2^2)*3.14</f>
        <v>15.197600000000003</v>
      </c>
      <c r="G478" s="650" t="s">
        <v>1246</v>
      </c>
      <c r="H478" s="510">
        <v>1</v>
      </c>
      <c r="I478" s="662">
        <f>IF(H478="",D478*F478,D478*F478*H478)</f>
        <v>0.60790400000000011</v>
      </c>
      <c r="J478" s="94"/>
      <c r="K478" s="94"/>
      <c r="L478" s="94"/>
      <c r="M478" s="94"/>
      <c r="N478" s="94"/>
      <c r="O478" s="93"/>
    </row>
    <row r="479" spans="1:15" x14ac:dyDescent="0.25">
      <c r="A479" s="509">
        <v>30</v>
      </c>
      <c r="B479" s="666" t="s">
        <v>1245</v>
      </c>
      <c r="C479" s="666" t="s">
        <v>1244</v>
      </c>
      <c r="D479" s="665">
        <v>0.35</v>
      </c>
      <c r="E479" s="509"/>
      <c r="F479" s="664">
        <v>3</v>
      </c>
      <c r="G479" s="663"/>
      <c r="H479" s="510"/>
      <c r="I479" s="662">
        <f>IF(H479="",D479*F479,D479*F479*H479)</f>
        <v>1.0499999999999998</v>
      </c>
      <c r="J479" s="99"/>
      <c r="K479" s="99"/>
      <c r="L479" s="99"/>
      <c r="M479" s="99"/>
      <c r="N479" s="99"/>
      <c r="O479" s="130"/>
    </row>
    <row r="480" spans="1:15" x14ac:dyDescent="0.25">
      <c r="A480" s="98"/>
      <c r="B480" s="95"/>
      <c r="C480" s="95"/>
      <c r="D480" s="95"/>
      <c r="E480" s="95"/>
      <c r="F480" s="95"/>
      <c r="G480" s="95"/>
      <c r="H480" s="649" t="s">
        <v>58</v>
      </c>
      <c r="I480" s="648">
        <f>SUM(I477:I479)</f>
        <v>2.9579040000000001</v>
      </c>
      <c r="J480" s="95"/>
      <c r="K480" s="95"/>
      <c r="L480" s="95"/>
      <c r="M480" s="95"/>
      <c r="N480" s="95"/>
      <c r="O480" s="93"/>
    </row>
    <row r="481" spans="1:15" ht="15.75" thickBot="1" x14ac:dyDescent="0.3">
      <c r="A481" s="92"/>
      <c r="B481" s="91"/>
      <c r="C481" s="91"/>
      <c r="D481" s="91"/>
      <c r="E481" s="91"/>
      <c r="F481" s="91"/>
      <c r="G481" s="91"/>
      <c r="H481" s="91"/>
      <c r="I481" s="91"/>
      <c r="J481" s="91"/>
      <c r="K481" s="91"/>
      <c r="L481" s="91"/>
      <c r="M481" s="91"/>
      <c r="N481" s="91"/>
      <c r="O481" s="90"/>
    </row>
    <row r="482" spans="1:15" ht="15.75" thickBot="1" x14ac:dyDescent="0.3"/>
    <row r="483" spans="1:15" x14ac:dyDescent="0.25">
      <c r="A483" s="141"/>
      <c r="B483" s="140"/>
      <c r="C483" s="140"/>
      <c r="D483" s="140"/>
      <c r="E483" s="140"/>
      <c r="F483" s="140"/>
      <c r="G483" s="140"/>
      <c r="H483" s="140"/>
      <c r="I483" s="140"/>
      <c r="J483" s="272"/>
      <c r="K483" s="140"/>
      <c r="L483" s="140"/>
      <c r="M483" s="140"/>
      <c r="N483" s="140"/>
      <c r="O483" s="139"/>
    </row>
    <row r="484" spans="1:15" x14ac:dyDescent="0.25">
      <c r="A484" s="659" t="s">
        <v>57</v>
      </c>
      <c r="B484" s="133" t="s">
        <v>523</v>
      </c>
      <c r="C484" s="94"/>
      <c r="D484" s="94"/>
      <c r="E484" s="94"/>
      <c r="F484" s="94"/>
      <c r="G484" s="94"/>
      <c r="H484" s="94"/>
      <c r="I484" s="94"/>
      <c r="J484" s="661" t="s">
        <v>51</v>
      </c>
      <c r="K484" s="138">
        <v>81</v>
      </c>
      <c r="L484" s="94"/>
      <c r="M484" s="659" t="s">
        <v>113</v>
      </c>
      <c r="N484" s="100">
        <f>ST_05004_m+ST_05004_p</f>
        <v>0.35299999999999998</v>
      </c>
      <c r="O484" s="93"/>
    </row>
    <row r="485" spans="1:15" x14ac:dyDescent="0.25">
      <c r="A485" s="659" t="s">
        <v>125</v>
      </c>
      <c r="B485" s="133" t="s">
        <v>6</v>
      </c>
      <c r="C485" s="94"/>
      <c r="D485" s="659" t="s">
        <v>122</v>
      </c>
      <c r="E485" s="94"/>
      <c r="F485" s="94"/>
      <c r="G485" s="94"/>
      <c r="H485" s="94"/>
      <c r="I485" s="94"/>
      <c r="J485" s="94"/>
      <c r="K485" s="94"/>
      <c r="L485" s="94"/>
      <c r="M485" s="659" t="s">
        <v>124</v>
      </c>
      <c r="N485" s="136">
        <v>4</v>
      </c>
      <c r="O485" s="93"/>
    </row>
    <row r="486" spans="1:15" x14ac:dyDescent="0.25">
      <c r="A486" s="659" t="s">
        <v>123</v>
      </c>
      <c r="B486" s="270" t="str">
        <f>'ST Assemblies'!B162</f>
        <v>Steering Wheel</v>
      </c>
      <c r="C486" s="94"/>
      <c r="D486" s="659" t="s">
        <v>119</v>
      </c>
      <c r="E486" s="94"/>
      <c r="F486" s="94"/>
      <c r="G486" s="94"/>
      <c r="H486" s="94"/>
      <c r="I486" s="94"/>
      <c r="J486" s="660" t="s">
        <v>122</v>
      </c>
      <c r="K486" s="270"/>
      <c r="L486" s="94"/>
      <c r="M486" s="94"/>
      <c r="N486" s="94"/>
      <c r="O486" s="93"/>
    </row>
    <row r="487" spans="1:15" x14ac:dyDescent="0.25">
      <c r="A487" s="659" t="s">
        <v>114</v>
      </c>
      <c r="B487" s="372" t="s">
        <v>1243</v>
      </c>
      <c r="C487" s="94"/>
      <c r="D487" s="659" t="s">
        <v>116</v>
      </c>
      <c r="E487" s="94"/>
      <c r="F487" s="94"/>
      <c r="G487" s="94"/>
      <c r="H487" s="94"/>
      <c r="I487" s="94"/>
      <c r="J487" s="660" t="s">
        <v>119</v>
      </c>
      <c r="K487" s="94"/>
      <c r="L487" s="94"/>
      <c r="M487" s="659" t="s">
        <v>118</v>
      </c>
      <c r="N487" s="100">
        <f>N485*N484</f>
        <v>1.4119999999999999</v>
      </c>
      <c r="O487" s="93"/>
    </row>
    <row r="488" spans="1:15" x14ac:dyDescent="0.25">
      <c r="A488" s="659" t="s">
        <v>121</v>
      </c>
      <c r="B488" s="269" t="s">
        <v>1242</v>
      </c>
      <c r="C488" s="94"/>
      <c r="D488" s="94"/>
      <c r="E488" s="94"/>
      <c r="F488" s="94"/>
      <c r="G488" s="94"/>
      <c r="H488" s="94"/>
      <c r="I488" s="94"/>
      <c r="J488" s="660" t="s">
        <v>116</v>
      </c>
      <c r="K488" s="94"/>
      <c r="L488" s="94"/>
      <c r="M488" s="94"/>
      <c r="N488" s="94"/>
      <c r="O488" s="93"/>
    </row>
    <row r="489" spans="1:15" x14ac:dyDescent="0.25">
      <c r="A489" s="659" t="s">
        <v>117</v>
      </c>
      <c r="B489" s="133" t="s">
        <v>23</v>
      </c>
      <c r="C489" s="94"/>
      <c r="D489" s="94"/>
      <c r="E489" s="94"/>
      <c r="F489" s="94"/>
      <c r="G489" s="94"/>
      <c r="H489" s="94"/>
      <c r="I489" s="94"/>
      <c r="J489" s="94"/>
      <c r="K489" s="94"/>
      <c r="L489" s="94"/>
      <c r="M489" s="94"/>
      <c r="N489" s="94"/>
      <c r="O489" s="93"/>
    </row>
    <row r="490" spans="1:15" x14ac:dyDescent="0.25">
      <c r="A490" s="659" t="s">
        <v>115</v>
      </c>
      <c r="B490" s="133" t="s">
        <v>1241</v>
      </c>
      <c r="C490" s="94"/>
      <c r="D490" s="94"/>
      <c r="E490" s="94"/>
      <c r="F490" s="94"/>
      <c r="G490" s="94"/>
      <c r="H490" s="94"/>
      <c r="I490" s="94"/>
      <c r="J490" s="94"/>
      <c r="K490" s="94"/>
      <c r="L490" s="94"/>
      <c r="M490" s="94"/>
      <c r="N490" s="94"/>
      <c r="O490" s="93"/>
    </row>
    <row r="491" spans="1:15" x14ac:dyDescent="0.25">
      <c r="A491" s="266"/>
      <c r="B491" s="265"/>
      <c r="C491" s="265"/>
      <c r="D491" s="265"/>
      <c r="E491" s="265"/>
      <c r="F491" s="94"/>
      <c r="G491" s="94"/>
      <c r="H491" s="94"/>
      <c r="I491" s="94"/>
      <c r="J491" s="94"/>
      <c r="K491" s="94"/>
      <c r="L491" s="94"/>
      <c r="M491" s="94"/>
      <c r="N491" s="94"/>
      <c r="O491" s="93"/>
    </row>
    <row r="492" spans="1:15" x14ac:dyDescent="0.25">
      <c r="A492" s="658" t="s">
        <v>67</v>
      </c>
      <c r="B492" s="657" t="s">
        <v>112</v>
      </c>
      <c r="C492" s="657" t="s">
        <v>66</v>
      </c>
      <c r="D492" s="657" t="s">
        <v>65</v>
      </c>
      <c r="E492" s="657" t="s">
        <v>81</v>
      </c>
      <c r="F492" s="656" t="s">
        <v>80</v>
      </c>
      <c r="G492" s="656" t="s">
        <v>79</v>
      </c>
      <c r="H492" s="656" t="s">
        <v>78</v>
      </c>
      <c r="I492" s="656" t="s">
        <v>111</v>
      </c>
      <c r="J492" s="656" t="s">
        <v>110</v>
      </c>
      <c r="K492" s="656" t="s">
        <v>109</v>
      </c>
      <c r="L492" s="656" t="s">
        <v>108</v>
      </c>
      <c r="M492" s="656" t="s">
        <v>40</v>
      </c>
      <c r="N492" s="656" t="s">
        <v>58</v>
      </c>
      <c r="O492" s="93"/>
    </row>
    <row r="493" spans="1:15" x14ac:dyDescent="0.25">
      <c r="A493" s="282">
        <v>10</v>
      </c>
      <c r="B493" s="354" t="s">
        <v>863</v>
      </c>
      <c r="C493" s="297" t="s">
        <v>1240</v>
      </c>
      <c r="D493" s="337">
        <v>3.3</v>
      </c>
      <c r="E493" s="282">
        <v>0.01</v>
      </c>
      <c r="F493" s="282" t="s">
        <v>794</v>
      </c>
      <c r="G493" s="282"/>
      <c r="H493" s="278"/>
      <c r="I493" s="281"/>
      <c r="J493" s="655"/>
      <c r="K493" s="279"/>
      <c r="L493" s="278"/>
      <c r="M493" s="302">
        <v>0.01</v>
      </c>
      <c r="N493" s="387">
        <f>IF(J493="",D493*M493,D493*J493*K493*L493*M493)</f>
        <v>3.3000000000000002E-2</v>
      </c>
      <c r="O493" s="143"/>
    </row>
    <row r="494" spans="1:15" x14ac:dyDescent="0.25">
      <c r="A494" s="98"/>
      <c r="B494" s="95"/>
      <c r="C494" s="95"/>
      <c r="D494" s="95"/>
      <c r="E494" s="95"/>
      <c r="F494" s="95"/>
      <c r="G494" s="95"/>
      <c r="H494" s="95"/>
      <c r="I494" s="95"/>
      <c r="J494" s="95"/>
      <c r="K494" s="95"/>
      <c r="L494" s="95"/>
      <c r="M494" s="654" t="s">
        <v>58</v>
      </c>
      <c r="N494" s="648">
        <f>SUM(N493:N493)</f>
        <v>3.3000000000000002E-2</v>
      </c>
      <c r="O494" s="93"/>
    </row>
    <row r="495" spans="1:15" x14ac:dyDescent="0.25">
      <c r="A495" s="107"/>
      <c r="B495" s="94"/>
      <c r="C495" s="94"/>
      <c r="D495" s="94"/>
      <c r="E495" s="94"/>
      <c r="F495" s="94"/>
      <c r="G495" s="94"/>
      <c r="H495" s="94"/>
      <c r="I495" s="94"/>
      <c r="J495" s="94"/>
      <c r="K495" s="94"/>
      <c r="L495" s="94"/>
      <c r="M495" s="94"/>
      <c r="N495" s="94"/>
      <c r="O495" s="93"/>
    </row>
    <row r="496" spans="1:15" x14ac:dyDescent="0.25">
      <c r="A496" s="653" t="s">
        <v>67</v>
      </c>
      <c r="B496" s="652" t="s">
        <v>106</v>
      </c>
      <c r="C496" s="652" t="s">
        <v>66</v>
      </c>
      <c r="D496" s="652" t="s">
        <v>65</v>
      </c>
      <c r="E496" s="652" t="s">
        <v>64</v>
      </c>
      <c r="F496" s="652" t="s">
        <v>40</v>
      </c>
      <c r="G496" s="652" t="s">
        <v>105</v>
      </c>
      <c r="H496" s="652" t="s">
        <v>104</v>
      </c>
      <c r="I496" s="652" t="s">
        <v>58</v>
      </c>
      <c r="J496" s="95"/>
      <c r="K496" s="95"/>
      <c r="L496" s="95"/>
      <c r="M496" s="95"/>
      <c r="N496" s="95"/>
      <c r="O496" s="93"/>
    </row>
    <row r="497" spans="1:15" x14ac:dyDescent="0.25">
      <c r="A497" s="650">
        <v>10</v>
      </c>
      <c r="B497" s="651" t="s">
        <v>862</v>
      </c>
      <c r="C497" s="650"/>
      <c r="D497" s="1647">
        <v>32</v>
      </c>
      <c r="E497" s="309" t="s">
        <v>794</v>
      </c>
      <c r="F497" s="299">
        <v>0.01</v>
      </c>
      <c r="G497" s="299"/>
      <c r="H497" s="299"/>
      <c r="I497" s="431">
        <f>IF(H497="",D497*F497,D497*F497*H497)</f>
        <v>0.32</v>
      </c>
      <c r="J497" s="142"/>
      <c r="K497" s="142"/>
      <c r="L497" s="142"/>
      <c r="M497" s="142"/>
      <c r="N497" s="142"/>
      <c r="O497" s="120"/>
    </row>
    <row r="498" spans="1:15" x14ac:dyDescent="0.25">
      <c r="A498" s="98"/>
      <c r="B498" s="95"/>
      <c r="C498" s="95"/>
      <c r="D498" s="95"/>
      <c r="E498" s="95"/>
      <c r="F498" s="95"/>
      <c r="G498" s="95"/>
      <c r="H498" s="649" t="s">
        <v>58</v>
      </c>
      <c r="I498" s="648">
        <f>SUM(I497:I497)</f>
        <v>0.32</v>
      </c>
      <c r="J498" s="95"/>
      <c r="K498" s="95"/>
      <c r="L498" s="95"/>
      <c r="M498" s="95"/>
      <c r="N498" s="95"/>
      <c r="O498" s="93"/>
    </row>
    <row r="499" spans="1:15" ht="15.75" thickBot="1" x14ac:dyDescent="0.3">
      <c r="A499" s="92"/>
      <c r="B499" s="91"/>
      <c r="C499" s="91"/>
      <c r="D499" s="91"/>
      <c r="E499" s="91"/>
      <c r="F499" s="91"/>
      <c r="G499" s="91"/>
      <c r="H499" s="91"/>
      <c r="I499" s="91"/>
      <c r="J499" s="91"/>
      <c r="K499" s="91"/>
      <c r="L499" s="91"/>
      <c r="M499" s="91"/>
      <c r="N499" s="91"/>
      <c r="O499" s="90"/>
    </row>
  </sheetData>
  <hyperlinks>
    <hyperlink ref="B4" location="ST_A0001" display="ST_A0001"/>
    <hyperlink ref="B145" location="ST_A0002" display="ST_A0002"/>
    <hyperlink ref="B125" location="ST_A0002" display="ST_A0002"/>
    <hyperlink ref="B36" location="ST_A0001" display="ST_A0001"/>
    <hyperlink ref="B60" location="ST_A0001" display="ST_A0001"/>
    <hyperlink ref="B80" location="ST_A0001" display="ST_A0001"/>
    <hyperlink ref="B101" location="ST_A0001" display="ST_A0001"/>
    <hyperlink ref="E100" location="dEL_01001" display="Drawing"/>
    <hyperlink ref="B165" location="ST_A0002" display="ST_A0002"/>
    <hyperlink ref="B190" location="ST_A0002" display="ST_A0002"/>
    <hyperlink ref="B211" location="ST_A0002" display="ST_A0002"/>
    <hyperlink ref="B231" location="ST_A0002" display="ST_A0002"/>
    <hyperlink ref="B252" location="ST_A0002" display="ST_A0002"/>
    <hyperlink ref="B301" location="ST_A0003" display="ST_A0003"/>
    <hyperlink ref="B280" location="ST_A0003" display="ST_A0003"/>
    <hyperlink ref="B322" location="ST_A0003" display="ST_A0003"/>
    <hyperlink ref="B362" location="ST_A0004" display="ST_A0004"/>
    <hyperlink ref="B343" location="ST_A0004" display="ST_A0004"/>
    <hyperlink ref="B382" location="ST_A0004" display="ST_A0004"/>
    <hyperlink ref="B402" location="ST_A0004" display="ST_A0004"/>
    <hyperlink ref="B425" location="ST_A0005" display="ST_A0005"/>
    <hyperlink ref="B446" location="ST_A0005" display="ST_A0005"/>
    <hyperlink ref="B466" location="ST_A0005" display="ST_A0005"/>
    <hyperlink ref="B486" location="ST_A0005" display="ST_A0005"/>
    <hyperlink ref="E35" location="dST_01002" display="Drawing"/>
    <hyperlink ref="E79" location="dST_01004" display="Drawing"/>
    <hyperlink ref="K101" location="dST_01005" display="Drawing"/>
    <hyperlink ref="E189" location="dST_02004" display="Drawing"/>
    <hyperlink ref="E210" location="dST_02005" display="Drawing"/>
    <hyperlink ref="E230" location="dST_02006" display="Drawing"/>
    <hyperlink ref="E251" location="dST_02007" display="Drawing"/>
    <hyperlink ref="K402" location="dST_04004" display="Drawing"/>
    <hyperlink ref="K425" location="dST_05001" display="Drawing"/>
    <hyperlink ref="E3" location="dST_01001" display="Drawing"/>
  </hyperlinks>
  <pageMargins left="0.78749999999999998" right="0.78749999999999998" top="1.05277777777778" bottom="1.05277777777778" header="0.78749999999999998" footer="0.78749999999999998"/>
  <pageSetup paperSize="9" scale="59" firstPageNumber="0" fitToHeight="0" orientation="landscape" r:id="rId1"/>
  <headerFooter>
    <oddHeader>&amp;C&amp;"Times New Roman,Normal"&amp;12&amp;A</oddHeader>
    <oddFooter>&amp;C&amp;"Times New Roman,Normal"&amp;12Page &amp;P</oddFooter>
  </headerFooter>
  <rowBreaks count="23" manualBreakCount="23">
    <brk id="31" max="16383" man="1"/>
    <brk id="55" max="16383" man="1"/>
    <brk id="75" max="16383" man="1"/>
    <brk id="96" max="16383" man="1"/>
    <brk id="119" max="16383" man="1"/>
    <brk id="140" max="16383" man="1"/>
    <brk id="160" max="16383" man="1"/>
    <brk id="185" max="16383" man="1"/>
    <brk id="206" max="16383" man="1"/>
    <brk id="226" max="16383" man="1"/>
    <brk id="247" max="16383" man="1"/>
    <brk id="274" max="16383" man="1"/>
    <brk id="296" max="16383" man="1"/>
    <brk id="317" max="16383" man="1"/>
    <brk id="337" max="16383" man="1"/>
    <brk id="357" max="16383" man="1"/>
    <brk id="377" max="16383" man="1"/>
    <brk id="397" max="16383" man="1"/>
    <brk id="419" max="16383" man="1"/>
    <brk id="441" max="16383" man="1"/>
    <brk id="461" max="16383" man="1"/>
    <brk id="481" max="16383" man="1"/>
    <brk id="500" max="16383" man="1"/>
  </row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00"/>
  </sheetPr>
  <dimension ref="A1:G83"/>
  <sheetViews>
    <sheetView zoomScale="80" zoomScaleNormal="80" zoomScaleSheetLayoutView="85" workbookViewId="0"/>
  </sheetViews>
  <sheetFormatPr baseColWidth="10" defaultColWidth="11.42578125" defaultRowHeight="15" x14ac:dyDescent="0.25"/>
  <cols>
    <col min="1" max="1" width="13" style="89" customWidth="1"/>
    <col min="2" max="2" width="22.85546875" style="89" customWidth="1"/>
    <col min="3" max="5" width="11.42578125" style="89"/>
    <col min="6" max="6" width="13.5703125" style="89" customWidth="1"/>
    <col min="7" max="7" width="22.85546875" style="89" customWidth="1"/>
    <col min="8" max="16384" width="11.42578125" style="89"/>
  </cols>
  <sheetData>
    <row r="1" spans="1:7" x14ac:dyDescent="0.25">
      <c r="A1" s="547" t="s">
        <v>1087</v>
      </c>
      <c r="B1" s="547" t="str">
        <f>ST_01001_n</f>
        <v>Steering Wheel Mount</v>
      </c>
      <c r="F1" s="547" t="s">
        <v>1087</v>
      </c>
      <c r="G1" s="547" t="str">
        <f>ST_01002_n</f>
        <v>First Column Tube</v>
      </c>
    </row>
    <row r="18" spans="1:7" x14ac:dyDescent="0.25">
      <c r="A18" s="547" t="s">
        <v>1087</v>
      </c>
      <c r="B18" s="547" t="str">
        <f>ST_01004_n</f>
        <v>Sleeve</v>
      </c>
      <c r="F18" s="547" t="s">
        <v>1087</v>
      </c>
      <c r="G18" s="547" t="str">
        <f>ST_01005_n</f>
        <v>Rack Sleeve</v>
      </c>
    </row>
    <row r="34" spans="1:7" x14ac:dyDescent="0.25">
      <c r="A34" s="547" t="s">
        <v>1087</v>
      </c>
      <c r="B34" s="547" t="str">
        <f>ST_02004_n</f>
        <v>Lower Rack Mount</v>
      </c>
      <c r="F34" s="547" t="s">
        <v>1087</v>
      </c>
      <c r="G34" s="547" t="str">
        <f>ST_02005_n</f>
        <v>Mount Spacer</v>
      </c>
    </row>
    <row r="50" spans="1:7" x14ac:dyDescent="0.25">
      <c r="A50" s="547" t="s">
        <v>1087</v>
      </c>
      <c r="B50" s="547" t="str">
        <f>ST_02006_n</f>
        <v>Upper Rack Mount</v>
      </c>
      <c r="F50" s="547" t="s">
        <v>1087</v>
      </c>
      <c r="G50" s="547" t="str">
        <f>ST_02007_n</f>
        <v>Rack Stop</v>
      </c>
    </row>
    <row r="67" spans="1:7" x14ac:dyDescent="0.25">
      <c r="A67" s="547" t="s">
        <v>1087</v>
      </c>
      <c r="B67" s="547" t="str">
        <f>ST_04004_n</f>
        <v>Tie Rod Insert</v>
      </c>
      <c r="F67" s="547" t="s">
        <v>1087</v>
      </c>
      <c r="G67" s="547" t="str">
        <f>ST_05001_n</f>
        <v>Steering Wheel Body</v>
      </c>
    </row>
    <row r="83" spans="1:7" x14ac:dyDescent="0.25">
      <c r="A83" s="547"/>
      <c r="B83" s="547"/>
      <c r="F83" s="547"/>
      <c r="G83" s="547"/>
    </row>
  </sheetData>
  <hyperlinks>
    <hyperlink ref="B1" location="ST_01001" display="ST_01001"/>
    <hyperlink ref="A1" location="ST_01001" display="Drawing part :"/>
    <hyperlink ref="G1" location="ST_01002" display="ST_01002"/>
    <hyperlink ref="F1" location="ST_01002" display="Drawing part :"/>
    <hyperlink ref="B18" location="ST_01004" display="ST_01004"/>
    <hyperlink ref="A18" location="ST_01004" display="Drawing part :"/>
    <hyperlink ref="G18" location="ST_01005" display="ST_01005"/>
    <hyperlink ref="F18" location="ST_01005" display="Drawing part :"/>
    <hyperlink ref="B34" location="ST_02004" display="ST_02004"/>
    <hyperlink ref="A34" location="ST_02004" display="Drawing part :"/>
    <hyperlink ref="G34" location="ST_02005" display="ST_02005"/>
    <hyperlink ref="F34" location="ST_02005" display="Drawing part :"/>
    <hyperlink ref="B50" location="ST_02006" display="ST_02006"/>
    <hyperlink ref="A50" location="ST_02006" display="Drawing part :"/>
    <hyperlink ref="G50" location="ST_02007" display="ST_02007"/>
    <hyperlink ref="F50" location="ST_02007" display="Drawing part :"/>
    <hyperlink ref="B67" location="ST_04004" display="ST_04004"/>
    <hyperlink ref="A67" location="ST_04004" display="Drawing part :"/>
    <hyperlink ref="G67" location="ST_05001" display="ST_05001"/>
    <hyperlink ref="F67" location="ST_05001" display="Drawing part :"/>
  </hyperlinks>
  <pageMargins left="0.7" right="0.7" top="0.75" bottom="0.75" header="0.3" footer="0.3"/>
  <pageSetup paperSize="9" orientation="landscape" r:id="rId1"/>
  <rowBreaks count="1" manualBreakCount="1">
    <brk id="33" max="8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456"/>
  <sheetViews>
    <sheetView zoomScale="80" zoomScaleNormal="80" zoomScaleSheetLayoutView="70" workbookViewId="0">
      <pane xSplit="3" ySplit="6" topLeftCell="G94" activePane="bottomRight" state="frozen"/>
      <selection activeCell="F30" sqref="F30"/>
      <selection pane="topRight" activeCell="F30" sqref="F30"/>
      <selection pane="bottomLeft" activeCell="F30" sqref="F30"/>
      <selection pane="bottomRight"/>
    </sheetView>
  </sheetViews>
  <sheetFormatPr baseColWidth="10" defaultColWidth="9.140625" defaultRowHeight="12.75" x14ac:dyDescent="0.2"/>
  <cols>
    <col min="1" max="1" width="17.42578125" style="26" bestFit="1" customWidth="1"/>
    <col min="2" max="2" width="28.7109375" style="25" bestFit="1" customWidth="1"/>
    <col min="3" max="3" width="13.5703125" style="26" customWidth="1"/>
    <col min="4" max="4" width="10" style="26" bestFit="1" customWidth="1"/>
    <col min="5" max="5" width="33.85546875" style="26" customWidth="1"/>
    <col min="6" max="6" width="39.140625" style="28" customWidth="1"/>
    <col min="7" max="7" width="14" style="26" customWidth="1"/>
    <col min="8" max="8" width="11" style="26" bestFit="1" customWidth="1"/>
    <col min="9" max="9" width="12" style="27" customWidth="1"/>
    <col min="10" max="11" width="10.42578125" style="27" customWidth="1"/>
    <col min="12" max="12" width="11.42578125" style="27" customWidth="1"/>
    <col min="13" max="13" width="10.42578125" style="27" customWidth="1"/>
    <col min="14" max="14" width="11.28515625" style="26" customWidth="1"/>
    <col min="15" max="15" width="11.140625" style="25" customWidth="1"/>
    <col min="16" max="16384" width="9.140625" style="25"/>
  </cols>
  <sheetData>
    <row r="1" spans="1:15" ht="15.75" thickBot="1" x14ac:dyDescent="0.3">
      <c r="A1" s="88" t="s">
        <v>57</v>
      </c>
      <c r="B1" s="87" t="s">
        <v>56</v>
      </c>
      <c r="D1" s="76"/>
      <c r="M1" s="86" t="s">
        <v>55</v>
      </c>
      <c r="N1" s="85"/>
      <c r="O1" s="84">
        <f>BOM_BR_tot+BOM_EN_tot+BOM_FR_tot+BOM_EL_tot+BOM_MS_tot+BOM_ST_tot+BOM_SU_tot+BOM_WT_tot</f>
        <v>17632.990344244205</v>
      </c>
    </row>
    <row r="2" spans="1:15" s="74" customFormat="1" ht="15.75" thickBot="1" x14ac:dyDescent="0.3">
      <c r="A2" s="83" t="s">
        <v>54</v>
      </c>
      <c r="B2" s="82" t="s">
        <v>53</v>
      </c>
      <c r="C2" s="77"/>
      <c r="F2" s="75"/>
    </row>
    <row r="3" spans="1:15" s="74" customFormat="1" ht="16.5" thickTop="1" thickBot="1" x14ac:dyDescent="0.3">
      <c r="A3" s="81" t="s">
        <v>52</v>
      </c>
      <c r="B3" s="80">
        <v>2016</v>
      </c>
      <c r="C3" s="77"/>
      <c r="F3" s="75"/>
    </row>
    <row r="4" spans="1:15" s="74" customFormat="1" ht="16.5" thickTop="1" thickBot="1" x14ac:dyDescent="0.3">
      <c r="A4" s="79" t="s">
        <v>51</v>
      </c>
      <c r="B4" s="78" t="s">
        <v>50</v>
      </c>
      <c r="C4" s="77"/>
      <c r="D4" s="76" t="s">
        <v>49</v>
      </c>
      <c r="F4" s="75"/>
    </row>
    <row r="5" spans="1:15" s="69" customFormat="1" ht="15.75" thickTop="1" x14ac:dyDescent="0.25">
      <c r="A5" s="73"/>
      <c r="B5" s="72"/>
      <c r="C5" s="71"/>
      <c r="F5" s="70"/>
    </row>
    <row r="6" spans="1:15" s="64" customFormat="1" ht="49.5" customHeight="1" x14ac:dyDescent="0.25">
      <c r="A6" s="68" t="s">
        <v>48</v>
      </c>
      <c r="B6" s="65" t="s">
        <v>47</v>
      </c>
      <c r="C6" s="65" t="s">
        <v>46</v>
      </c>
      <c r="D6" s="65" t="s">
        <v>45</v>
      </c>
      <c r="E6" s="65" t="s">
        <v>44</v>
      </c>
      <c r="F6" s="65" t="s">
        <v>43</v>
      </c>
      <c r="G6" s="65" t="s">
        <v>42</v>
      </c>
      <c r="H6" s="67" t="s">
        <v>41</v>
      </c>
      <c r="I6" s="65" t="s">
        <v>40</v>
      </c>
      <c r="J6" s="65" t="s">
        <v>39</v>
      </c>
      <c r="K6" s="65" t="s">
        <v>38</v>
      </c>
      <c r="L6" s="65" t="s">
        <v>37</v>
      </c>
      <c r="M6" s="65" t="s">
        <v>36</v>
      </c>
      <c r="N6" s="66" t="s">
        <v>35</v>
      </c>
      <c r="O6" s="65" t="s">
        <v>34</v>
      </c>
    </row>
    <row r="7" spans="1:15" s="64" customFormat="1" ht="15.75" customHeight="1" x14ac:dyDescent="0.25">
      <c r="A7" s="1173">
        <v>1</v>
      </c>
      <c r="B7" s="1174" t="s">
        <v>11</v>
      </c>
      <c r="C7" s="1175" t="str">
        <f>BR_A0001</f>
        <v>BR A0001</v>
      </c>
      <c r="D7" s="1175" t="s">
        <v>23</v>
      </c>
      <c r="E7" s="1175"/>
      <c r="F7" s="1176" t="s">
        <v>1826</v>
      </c>
      <c r="G7" s="1175"/>
      <c r="H7" s="1177">
        <f>SUM(J7:M7)</f>
        <v>5.74</v>
      </c>
      <c r="I7" s="1178">
        <f>BR_A0001_q</f>
        <v>2</v>
      </c>
      <c r="J7" s="1179">
        <v>0</v>
      </c>
      <c r="K7" s="1179">
        <f>BR_A0001_p</f>
        <v>5.16</v>
      </c>
      <c r="L7" s="1179">
        <f>BR_A0001_f</f>
        <v>0.57999999999999996</v>
      </c>
      <c r="M7" s="1179">
        <v>0</v>
      </c>
      <c r="N7" s="1180">
        <f t="shared" ref="N7:N27" si="0">H7*I7</f>
        <v>11.48</v>
      </c>
      <c r="O7" s="1181"/>
    </row>
    <row r="8" spans="1:15" s="64" customFormat="1" ht="15.75" customHeight="1" x14ac:dyDescent="0.25">
      <c r="A8" s="1182">
        <v>2</v>
      </c>
      <c r="B8" s="1183" t="s">
        <v>11</v>
      </c>
      <c r="C8" s="1184" t="str">
        <f>BR_01001</f>
        <v>BR 01001</v>
      </c>
      <c r="D8" s="1185" t="s">
        <v>23</v>
      </c>
      <c r="E8" s="1185" t="str">
        <f>F7</f>
        <v>Front brake assembly</v>
      </c>
      <c r="F8" s="1186" t="s">
        <v>1891</v>
      </c>
      <c r="G8" s="1185"/>
      <c r="H8" s="1187">
        <f t="shared" ref="H8:H27" si="1">SUM(J8:M8)</f>
        <v>8.1488905000000003</v>
      </c>
      <c r="I8" s="1188">
        <f>BR_A0001_q*BR_01001_q</f>
        <v>2</v>
      </c>
      <c r="J8" s="1189">
        <f>BR_01001_m</f>
        <v>2.4988904999999999</v>
      </c>
      <c r="K8" s="1189">
        <f>BR_01001_p</f>
        <v>5.6499999999999995</v>
      </c>
      <c r="L8" s="1189">
        <v>0</v>
      </c>
      <c r="M8" s="1189">
        <v>0</v>
      </c>
      <c r="N8" s="1190">
        <f t="shared" si="0"/>
        <v>16.297781000000001</v>
      </c>
      <c r="O8" s="1191"/>
    </row>
    <row r="9" spans="1:15" s="64" customFormat="1" ht="15.75" customHeight="1" x14ac:dyDescent="0.25">
      <c r="A9" s="1182">
        <v>3</v>
      </c>
      <c r="B9" s="1183" t="s">
        <v>11</v>
      </c>
      <c r="C9" s="1184" t="str">
        <f>BR_01002</f>
        <v>BR 01002</v>
      </c>
      <c r="D9" s="1185" t="s">
        <v>23</v>
      </c>
      <c r="E9" s="1185" t="str">
        <f>F7</f>
        <v>Front brake assembly</v>
      </c>
      <c r="F9" s="1186" t="s">
        <v>1888</v>
      </c>
      <c r="G9" s="1185"/>
      <c r="H9" s="1187">
        <f t="shared" si="1"/>
        <v>5.1644563450000005</v>
      </c>
      <c r="I9" s="1188">
        <f>BR_A0001_q*BR_01002_q</f>
        <v>2</v>
      </c>
      <c r="J9" s="1189">
        <f>BR_01002_m</f>
        <v>1.2244563449999999</v>
      </c>
      <c r="K9" s="1189">
        <f>BR_01002_p</f>
        <v>3.9400000000000004</v>
      </c>
      <c r="L9" s="1189">
        <v>0</v>
      </c>
      <c r="M9" s="1189">
        <v>0</v>
      </c>
      <c r="N9" s="1190">
        <f t="shared" si="0"/>
        <v>10.328912690000001</v>
      </c>
      <c r="O9" s="1191"/>
    </row>
    <row r="10" spans="1:15" s="64" customFormat="1" ht="15.75" customHeight="1" x14ac:dyDescent="0.25">
      <c r="A10" s="1182">
        <v>4</v>
      </c>
      <c r="B10" s="1183" t="s">
        <v>11</v>
      </c>
      <c r="C10" s="1184" t="str">
        <f>BR_01003</f>
        <v>BR 01003</v>
      </c>
      <c r="D10" s="1185" t="s">
        <v>23</v>
      </c>
      <c r="E10" s="1185" t="str">
        <f>F7</f>
        <v>Front brake assembly</v>
      </c>
      <c r="F10" s="1186" t="s">
        <v>1886</v>
      </c>
      <c r="G10" s="1185"/>
      <c r="H10" s="1187">
        <f t="shared" si="1"/>
        <v>83</v>
      </c>
      <c r="I10" s="1188">
        <f>BR_A0001_q*BR_01003_q</f>
        <v>2</v>
      </c>
      <c r="J10" s="1189">
        <f>BR_01003_m</f>
        <v>83</v>
      </c>
      <c r="K10" s="1189">
        <v>0</v>
      </c>
      <c r="L10" s="1189">
        <v>0</v>
      </c>
      <c r="M10" s="1189">
        <v>0</v>
      </c>
      <c r="N10" s="1190">
        <f t="shared" si="0"/>
        <v>166</v>
      </c>
      <c r="O10" s="1191"/>
    </row>
    <row r="11" spans="1:15" s="64" customFormat="1" ht="15.75" customHeight="1" x14ac:dyDescent="0.25">
      <c r="A11" s="1182">
        <v>5</v>
      </c>
      <c r="B11" s="1183" t="s">
        <v>11</v>
      </c>
      <c r="C11" s="1184" t="str">
        <f>BR_01004</f>
        <v>BR 01004</v>
      </c>
      <c r="D11" s="1185" t="s">
        <v>23</v>
      </c>
      <c r="E11" s="1185" t="str">
        <f>F7</f>
        <v>Front brake assembly</v>
      </c>
      <c r="F11" s="1186" t="s">
        <v>1883</v>
      </c>
      <c r="G11" s="1185"/>
      <c r="H11" s="1187">
        <f t="shared" si="1"/>
        <v>2.6496</v>
      </c>
      <c r="I11" s="1188">
        <f>BR_A0001_q*BR_01004_q</f>
        <v>4</v>
      </c>
      <c r="J11" s="1189">
        <f>BR_01004_m</f>
        <v>2.6496</v>
      </c>
      <c r="K11" s="1189">
        <v>0</v>
      </c>
      <c r="L11" s="1189">
        <v>0</v>
      </c>
      <c r="M11" s="1189">
        <v>0</v>
      </c>
      <c r="N11" s="1190">
        <f t="shared" si="0"/>
        <v>10.5984</v>
      </c>
      <c r="O11" s="1191"/>
    </row>
    <row r="12" spans="1:15" s="64" customFormat="1" ht="15.75" customHeight="1" x14ac:dyDescent="0.25">
      <c r="A12" s="1182">
        <v>6</v>
      </c>
      <c r="B12" s="1183" t="s">
        <v>11</v>
      </c>
      <c r="C12" s="1184" t="str">
        <f>BR_01005</f>
        <v>BR 01005</v>
      </c>
      <c r="D12" s="1185" t="s">
        <v>23</v>
      </c>
      <c r="E12" s="1185" t="str">
        <f>F7</f>
        <v>Front brake assembly</v>
      </c>
      <c r="F12" s="1186" t="s">
        <v>1879</v>
      </c>
      <c r="G12" s="1185"/>
      <c r="H12" s="1187">
        <f t="shared" si="1"/>
        <v>1.904507272</v>
      </c>
      <c r="I12" s="1188">
        <f>BR_A0001_q*BR_01005_q</f>
        <v>8</v>
      </c>
      <c r="J12" s="1189">
        <f>BR_01005_m</f>
        <v>4.5072720000000005E-3</v>
      </c>
      <c r="K12" s="1189">
        <f>BR_01005_p</f>
        <v>1.9000000000000001</v>
      </c>
      <c r="L12" s="1189">
        <v>0</v>
      </c>
      <c r="M12" s="1189">
        <v>0</v>
      </c>
      <c r="N12" s="1190">
        <f t="shared" si="0"/>
        <v>15.236058176</v>
      </c>
      <c r="O12" s="1191"/>
    </row>
    <row r="13" spans="1:15" s="64" customFormat="1" ht="15.75" customHeight="1" x14ac:dyDescent="0.25">
      <c r="A13" s="1182">
        <v>7</v>
      </c>
      <c r="B13" s="1183" t="s">
        <v>11</v>
      </c>
      <c r="C13" s="1184" t="str">
        <f>BR_01006</f>
        <v>BR 01006</v>
      </c>
      <c r="D13" s="1185" t="s">
        <v>23</v>
      </c>
      <c r="E13" s="1185" t="str">
        <f>F7</f>
        <v>Front brake assembly</v>
      </c>
      <c r="F13" s="1186" t="s">
        <v>1877</v>
      </c>
      <c r="G13" s="1185"/>
      <c r="H13" s="1187">
        <f t="shared" si="1"/>
        <v>1.6336877680000002</v>
      </c>
      <c r="I13" s="1188">
        <f>BR_A0001_q*BR_01006_q</f>
        <v>8</v>
      </c>
      <c r="J13" s="1189">
        <f>BR_01006_m</f>
        <v>3.6877680000000006E-3</v>
      </c>
      <c r="K13" s="1189">
        <f>BR_01006_p</f>
        <v>1.6300000000000001</v>
      </c>
      <c r="L13" s="1189">
        <v>0</v>
      </c>
      <c r="M13" s="1189">
        <v>0</v>
      </c>
      <c r="N13" s="1190">
        <f t="shared" si="0"/>
        <v>13.069502144000001</v>
      </c>
      <c r="O13" s="1191"/>
    </row>
    <row r="14" spans="1:15" s="64" customFormat="1" ht="15.75" customHeight="1" x14ac:dyDescent="0.25">
      <c r="A14" s="1173">
        <v>8</v>
      </c>
      <c r="B14" s="1174" t="s">
        <v>11</v>
      </c>
      <c r="C14" s="1175" t="str">
        <f>BR_A0002</f>
        <v>BR A0002</v>
      </c>
      <c r="D14" s="1175" t="s">
        <v>23</v>
      </c>
      <c r="E14" s="1175"/>
      <c r="F14" s="1176" t="s">
        <v>1824</v>
      </c>
      <c r="G14" s="1175"/>
      <c r="H14" s="1177">
        <f t="shared" si="1"/>
        <v>5.74</v>
      </c>
      <c r="I14" s="1178">
        <f>BR_A0002_q</f>
        <v>2</v>
      </c>
      <c r="J14" s="1179">
        <v>0</v>
      </c>
      <c r="K14" s="1179">
        <f>BR_A0002_p</f>
        <v>5.16</v>
      </c>
      <c r="L14" s="1179">
        <f>BR_A0002_f</f>
        <v>0.57999999999999996</v>
      </c>
      <c r="M14" s="1179">
        <v>0</v>
      </c>
      <c r="N14" s="1180">
        <f t="shared" si="0"/>
        <v>11.48</v>
      </c>
      <c r="O14" s="1181"/>
    </row>
    <row r="15" spans="1:15" s="64" customFormat="1" ht="15.75" customHeight="1" x14ac:dyDescent="0.25">
      <c r="A15" s="1182">
        <v>9</v>
      </c>
      <c r="B15" s="1183" t="s">
        <v>11</v>
      </c>
      <c r="C15" s="1184" t="str">
        <f>BR_02001</f>
        <v>BR 02001</v>
      </c>
      <c r="D15" s="1185" t="s">
        <v>23</v>
      </c>
      <c r="E15" s="1185" t="str">
        <f>F14</f>
        <v>Rear brake assembly</v>
      </c>
      <c r="F15" s="1186" t="s">
        <v>1874</v>
      </c>
      <c r="G15" s="1185"/>
      <c r="H15" s="1187">
        <f t="shared" si="1"/>
        <v>8.1488905000000003</v>
      </c>
      <c r="I15" s="1188">
        <f>BR_A0002_q*BR_02001_q</f>
        <v>2</v>
      </c>
      <c r="J15" s="1189">
        <f>BR_02001_m</f>
        <v>2.4988904999999999</v>
      </c>
      <c r="K15" s="1189">
        <f>BR_02001_p</f>
        <v>5.6499999999999995</v>
      </c>
      <c r="L15" s="1189">
        <v>0</v>
      </c>
      <c r="M15" s="1189">
        <v>0</v>
      </c>
      <c r="N15" s="1190">
        <f t="shared" si="0"/>
        <v>16.297781000000001</v>
      </c>
      <c r="O15" s="1191"/>
    </row>
    <row r="16" spans="1:15" s="64" customFormat="1" ht="15.75" customHeight="1" x14ac:dyDescent="0.25">
      <c r="A16" s="1182">
        <v>10</v>
      </c>
      <c r="B16" s="1183" t="s">
        <v>11</v>
      </c>
      <c r="C16" s="1184" t="str">
        <f>BR_02002</f>
        <v>BR 02002</v>
      </c>
      <c r="D16" s="1185" t="s">
        <v>23</v>
      </c>
      <c r="E16" s="1185" t="str">
        <f>F14</f>
        <v>Rear brake assembly</v>
      </c>
      <c r="F16" s="1186" t="s">
        <v>1869</v>
      </c>
      <c r="G16" s="1192"/>
      <c r="H16" s="1187">
        <f t="shared" si="1"/>
        <v>5.1644563450000005</v>
      </c>
      <c r="I16" s="1188">
        <f>BR_A0002_q*BR_02002_q</f>
        <v>2</v>
      </c>
      <c r="J16" s="1189">
        <f>BR_02002_m</f>
        <v>1.2244563449999999</v>
      </c>
      <c r="K16" s="1189">
        <f>BR_02002_p</f>
        <v>3.9400000000000004</v>
      </c>
      <c r="L16" s="1189">
        <v>0</v>
      </c>
      <c r="M16" s="1189">
        <v>0</v>
      </c>
      <c r="N16" s="1190">
        <f t="shared" si="0"/>
        <v>10.328912690000001</v>
      </c>
      <c r="O16" s="1191"/>
    </row>
    <row r="17" spans="1:15" s="64" customFormat="1" ht="15.75" customHeight="1" x14ac:dyDescent="0.25">
      <c r="A17" s="1182">
        <v>11</v>
      </c>
      <c r="B17" s="1183" t="s">
        <v>11</v>
      </c>
      <c r="C17" s="1184" t="str">
        <f>BR_02003</f>
        <v>BR 02003</v>
      </c>
      <c r="D17" s="1185" t="s">
        <v>23</v>
      </c>
      <c r="E17" s="1185" t="str">
        <f>F14</f>
        <v>Rear brake assembly</v>
      </c>
      <c r="F17" s="1186" t="s">
        <v>1866</v>
      </c>
      <c r="G17" s="1185"/>
      <c r="H17" s="1187">
        <f t="shared" si="1"/>
        <v>112.5</v>
      </c>
      <c r="I17" s="1188">
        <f>BR_A0002_q*BR_02003_q</f>
        <v>2</v>
      </c>
      <c r="J17" s="1189">
        <f>BR_02003_m</f>
        <v>112.5</v>
      </c>
      <c r="K17" s="1189">
        <v>0</v>
      </c>
      <c r="L17" s="1189">
        <v>0</v>
      </c>
      <c r="M17" s="1189">
        <v>0</v>
      </c>
      <c r="N17" s="1190">
        <f t="shared" si="0"/>
        <v>225</v>
      </c>
      <c r="O17" s="1191"/>
    </row>
    <row r="18" spans="1:15" s="64" customFormat="1" ht="15.75" customHeight="1" x14ac:dyDescent="0.25">
      <c r="A18" s="1182">
        <v>12</v>
      </c>
      <c r="B18" s="1183" t="s">
        <v>11</v>
      </c>
      <c r="C18" s="1184" t="str">
        <f>BR_02004</f>
        <v>BR 02004</v>
      </c>
      <c r="D18" s="1185" t="s">
        <v>23</v>
      </c>
      <c r="E18" s="1185" t="str">
        <f>F14</f>
        <v>Rear brake assembly</v>
      </c>
      <c r="F18" s="1186" t="s">
        <v>1862</v>
      </c>
      <c r="G18" s="1185"/>
      <c r="H18" s="1187">
        <f t="shared" si="1"/>
        <v>8.831999999999999</v>
      </c>
      <c r="I18" s="1188">
        <f>BR_A0002_q*BR_02004_q</f>
        <v>4</v>
      </c>
      <c r="J18" s="1189">
        <f>BR_02004_m</f>
        <v>8.831999999999999</v>
      </c>
      <c r="K18" s="1189">
        <v>0</v>
      </c>
      <c r="L18" s="1189">
        <v>0</v>
      </c>
      <c r="M18" s="1189">
        <v>0</v>
      </c>
      <c r="N18" s="1190">
        <f t="shared" si="0"/>
        <v>35.327999999999996</v>
      </c>
      <c r="O18" s="1191"/>
    </row>
    <row r="19" spans="1:15" s="64" customFormat="1" ht="15.75" customHeight="1" x14ac:dyDescent="0.25">
      <c r="A19" s="1182">
        <v>13</v>
      </c>
      <c r="B19" s="1183" t="s">
        <v>11</v>
      </c>
      <c r="C19" s="1184" t="str">
        <f>BR_02005</f>
        <v>BR 02005</v>
      </c>
      <c r="D19" s="1185" t="s">
        <v>23</v>
      </c>
      <c r="E19" s="1185" t="str">
        <f>F14</f>
        <v>Rear brake assembly</v>
      </c>
      <c r="F19" s="1186" t="s">
        <v>1857</v>
      </c>
      <c r="G19" s="1185"/>
      <c r="H19" s="1187">
        <f t="shared" si="1"/>
        <v>1.904507272</v>
      </c>
      <c r="I19" s="1188">
        <f>BR_A0002_q*BR_02005_q</f>
        <v>8</v>
      </c>
      <c r="J19" s="1189">
        <f>BR_02005_m</f>
        <v>4.5072720000000005E-3</v>
      </c>
      <c r="K19" s="1189">
        <f>BR_02005_p</f>
        <v>1.9000000000000001</v>
      </c>
      <c r="L19" s="1189">
        <v>0</v>
      </c>
      <c r="M19" s="1189">
        <v>0</v>
      </c>
      <c r="N19" s="1190">
        <f t="shared" si="0"/>
        <v>15.236058176</v>
      </c>
      <c r="O19" s="1191"/>
    </row>
    <row r="20" spans="1:15" s="64" customFormat="1" ht="15.75" customHeight="1" x14ac:dyDescent="0.25">
      <c r="A20" s="1182">
        <v>14</v>
      </c>
      <c r="B20" s="1183" t="s">
        <v>11</v>
      </c>
      <c r="C20" s="1184" t="str">
        <f>BR_02006</f>
        <v>BR 02006</v>
      </c>
      <c r="D20" s="1185" t="s">
        <v>23</v>
      </c>
      <c r="E20" s="1185" t="str">
        <f>F14</f>
        <v>Rear brake assembly</v>
      </c>
      <c r="F20" s="1186" t="s">
        <v>1855</v>
      </c>
      <c r="G20" s="1185"/>
      <c r="H20" s="1187">
        <f t="shared" si="1"/>
        <v>1.6336877680000002</v>
      </c>
      <c r="I20" s="1188">
        <f>BR_A0002_q*BR_02006_q</f>
        <v>8</v>
      </c>
      <c r="J20" s="1189">
        <f>BR_02006_m</f>
        <v>3.6877680000000006E-3</v>
      </c>
      <c r="K20" s="1189">
        <f>BR_02006_p</f>
        <v>1.6300000000000001</v>
      </c>
      <c r="L20" s="1189">
        <v>0</v>
      </c>
      <c r="M20" s="1189">
        <v>0</v>
      </c>
      <c r="N20" s="1190">
        <f t="shared" si="0"/>
        <v>13.069502144000001</v>
      </c>
      <c r="O20" s="1191"/>
    </row>
    <row r="21" spans="1:15" s="64" customFormat="1" ht="15.75" customHeight="1" x14ac:dyDescent="0.25">
      <c r="A21" s="1173">
        <v>15</v>
      </c>
      <c r="B21" s="1174" t="s">
        <v>11</v>
      </c>
      <c r="C21" s="1175" t="str">
        <f>BR_A0003</f>
        <v>BR A0003</v>
      </c>
      <c r="D21" s="1175" t="s">
        <v>23</v>
      </c>
      <c r="E21" s="1175"/>
      <c r="F21" s="1176" t="s">
        <v>1809</v>
      </c>
      <c r="G21" s="1175"/>
      <c r="H21" s="1177">
        <f t="shared" si="1"/>
        <v>373.15156336233332</v>
      </c>
      <c r="I21" s="1193">
        <f>BR_A0003_q</f>
        <v>1</v>
      </c>
      <c r="J21" s="1179">
        <f>BR_A0003_m</f>
        <v>296.47448002900001</v>
      </c>
      <c r="K21" s="1179">
        <f>BR_A0003_p</f>
        <v>72.663749999999993</v>
      </c>
      <c r="L21" s="1179">
        <f>BR_A0003_f</f>
        <v>3.6799999999999997</v>
      </c>
      <c r="M21" s="1179">
        <f>BR_A0003_t</f>
        <v>0.33333333333333331</v>
      </c>
      <c r="N21" s="1180">
        <f t="shared" si="0"/>
        <v>373.15156336233332</v>
      </c>
      <c r="O21" s="1181"/>
    </row>
    <row r="22" spans="1:15" s="64" customFormat="1" ht="15.75" customHeight="1" x14ac:dyDescent="0.25">
      <c r="A22" s="1182">
        <v>16</v>
      </c>
      <c r="B22" s="1183" t="s">
        <v>11</v>
      </c>
      <c r="C22" s="1184" t="str">
        <f>BR_03001</f>
        <v>BR 03001</v>
      </c>
      <c r="D22" s="1185" t="s">
        <v>23</v>
      </c>
      <c r="E22" s="1185" t="str">
        <f>F21</f>
        <v>Brake line assembly</v>
      </c>
      <c r="F22" s="1186" t="s">
        <v>1852</v>
      </c>
      <c r="G22" s="1185"/>
      <c r="H22" s="1187">
        <f t="shared" si="1"/>
        <v>2.00936556</v>
      </c>
      <c r="I22" s="1194">
        <f>BR_A0003_q*BR_03001_q</f>
        <v>1</v>
      </c>
      <c r="J22" s="1189">
        <f>BR_03001_m</f>
        <v>2.9365559999999999E-2</v>
      </c>
      <c r="K22" s="1189">
        <f>BR_03001_p</f>
        <v>1.98</v>
      </c>
      <c r="L22" s="1189">
        <v>0</v>
      </c>
      <c r="M22" s="1189">
        <v>0</v>
      </c>
      <c r="N22" s="1190">
        <f t="shared" si="0"/>
        <v>2.00936556</v>
      </c>
      <c r="O22" s="1191"/>
    </row>
    <row r="23" spans="1:15" s="64" customFormat="1" ht="15.75" customHeight="1" x14ac:dyDescent="0.25">
      <c r="A23" s="1182">
        <v>17</v>
      </c>
      <c r="B23" s="1183" t="s">
        <v>11</v>
      </c>
      <c r="C23" s="1184" t="str">
        <f>BR_03002</f>
        <v>BR 03002</v>
      </c>
      <c r="D23" s="1185" t="s">
        <v>23</v>
      </c>
      <c r="E23" s="1185" t="str">
        <f>F21</f>
        <v>Brake line assembly</v>
      </c>
      <c r="F23" s="1186" t="s">
        <v>1848</v>
      </c>
      <c r="G23" s="1192"/>
      <c r="H23" s="1187">
        <f t="shared" si="1"/>
        <v>3.0261610400000003</v>
      </c>
      <c r="I23" s="1194">
        <f>BR_A0003_q*BR_03002_q</f>
        <v>1</v>
      </c>
      <c r="J23" s="1189">
        <f>BR_03002_m</f>
        <v>0.15616104000000003</v>
      </c>
      <c r="K23" s="1189">
        <f>BR_03002_p</f>
        <v>2.87</v>
      </c>
      <c r="L23" s="1189">
        <v>0</v>
      </c>
      <c r="M23" s="1189">
        <v>0</v>
      </c>
      <c r="N23" s="1190">
        <f t="shared" si="0"/>
        <v>3.0261610400000003</v>
      </c>
      <c r="O23" s="1191"/>
    </row>
    <row r="24" spans="1:15" s="64" customFormat="1" ht="15.75" customHeight="1" x14ac:dyDescent="0.25">
      <c r="A24" s="1182">
        <v>18</v>
      </c>
      <c r="B24" s="1183" t="s">
        <v>11</v>
      </c>
      <c r="C24" s="1184" t="str">
        <f>BR_03003</f>
        <v>BR 03003</v>
      </c>
      <c r="D24" s="1185" t="s">
        <v>23</v>
      </c>
      <c r="E24" s="1185" t="str">
        <f>F21</f>
        <v>Brake line assembly</v>
      </c>
      <c r="F24" s="1186" t="s">
        <v>1844</v>
      </c>
      <c r="G24" s="1185"/>
      <c r="H24" s="1187">
        <f t="shared" si="1"/>
        <v>97</v>
      </c>
      <c r="I24" s="1194">
        <f>BR_A0003_q*BR_03003_q</f>
        <v>2</v>
      </c>
      <c r="J24" s="1189">
        <f>BR_03003_m</f>
        <v>97</v>
      </c>
      <c r="K24" s="1189">
        <v>0</v>
      </c>
      <c r="L24" s="1189">
        <v>0</v>
      </c>
      <c r="M24" s="1189">
        <v>0</v>
      </c>
      <c r="N24" s="1190">
        <f t="shared" si="0"/>
        <v>194</v>
      </c>
      <c r="O24" s="1191"/>
    </row>
    <row r="25" spans="1:15" s="64" customFormat="1" ht="15.75" customHeight="1" x14ac:dyDescent="0.25">
      <c r="A25" s="1182">
        <v>19</v>
      </c>
      <c r="B25" s="1183" t="s">
        <v>11</v>
      </c>
      <c r="C25" s="1184" t="str">
        <f>BR_03004</f>
        <v>BR 03004</v>
      </c>
      <c r="D25" s="1185" t="s">
        <v>23</v>
      </c>
      <c r="E25" s="1185" t="str">
        <f>F21</f>
        <v>Brake line assembly</v>
      </c>
      <c r="F25" s="1186" t="s">
        <v>1839</v>
      </c>
      <c r="G25" s="1185"/>
      <c r="H25" s="1187">
        <f t="shared" si="1"/>
        <v>30</v>
      </c>
      <c r="I25" s="1194">
        <f>BR_A0003_q*BR_03004_q</f>
        <v>1</v>
      </c>
      <c r="J25" s="1189">
        <f>BR_03004_m</f>
        <v>30</v>
      </c>
      <c r="K25" s="1189">
        <v>0</v>
      </c>
      <c r="L25" s="1189">
        <v>0</v>
      </c>
      <c r="M25" s="1189">
        <v>0</v>
      </c>
      <c r="N25" s="1190">
        <f t="shared" si="0"/>
        <v>30</v>
      </c>
      <c r="O25" s="1191"/>
    </row>
    <row r="26" spans="1:15" s="64" customFormat="1" ht="15.75" customHeight="1" x14ac:dyDescent="0.25">
      <c r="A26" s="1182">
        <v>20</v>
      </c>
      <c r="B26" s="1183" t="s">
        <v>11</v>
      </c>
      <c r="C26" s="1184" t="str">
        <f>BR_03005</f>
        <v>BR 03005</v>
      </c>
      <c r="D26" s="1185" t="s">
        <v>23</v>
      </c>
      <c r="E26" s="1185" t="str">
        <f>F21</f>
        <v>Brake line assembly</v>
      </c>
      <c r="F26" s="1186" t="s">
        <v>1</v>
      </c>
      <c r="G26" s="1185"/>
      <c r="H26" s="1187">
        <f t="shared" si="1"/>
        <v>1.615017216</v>
      </c>
      <c r="I26" s="1194">
        <f>BR_A0003_q*BR_03005_q</f>
        <v>1</v>
      </c>
      <c r="J26" s="1189">
        <f>BR_03005_m</f>
        <v>6.7017215999999991E-2</v>
      </c>
      <c r="K26" s="1189">
        <f>BR_03005_p</f>
        <v>1.548</v>
      </c>
      <c r="L26" s="1189">
        <v>0</v>
      </c>
      <c r="M26" s="1189">
        <v>0</v>
      </c>
      <c r="N26" s="1190">
        <f t="shared" si="0"/>
        <v>1.615017216</v>
      </c>
      <c r="O26" s="1191"/>
    </row>
    <row r="27" spans="1:15" s="64" customFormat="1" ht="15.75" customHeight="1" thickBot="1" x14ac:dyDescent="0.3">
      <c r="A27" s="1182">
        <v>21</v>
      </c>
      <c r="B27" s="1183" t="s">
        <v>11</v>
      </c>
      <c r="C27" s="1184" t="str">
        <f>BR_03006</f>
        <v>BR 03006</v>
      </c>
      <c r="D27" s="1185" t="s">
        <v>23</v>
      </c>
      <c r="E27" s="1185" t="str">
        <f>F21</f>
        <v>Brake line assembly</v>
      </c>
      <c r="F27" s="1186" t="s">
        <v>1832</v>
      </c>
      <c r="G27" s="1185"/>
      <c r="H27" s="1187">
        <f t="shared" si="1"/>
        <v>2.4387796000000002</v>
      </c>
      <c r="I27" s="1194">
        <f>BR_A0003_q*BR_03006_q</f>
        <v>1</v>
      </c>
      <c r="J27" s="1189">
        <f>BR_03006_m</f>
        <v>8.87796E-2</v>
      </c>
      <c r="K27" s="1189">
        <f>BR_03006_p</f>
        <v>2.35</v>
      </c>
      <c r="L27" s="1189">
        <v>0</v>
      </c>
      <c r="M27" s="1189">
        <v>0</v>
      </c>
      <c r="N27" s="1190">
        <f t="shared" si="0"/>
        <v>2.4387796000000002</v>
      </c>
      <c r="O27" s="1191"/>
    </row>
    <row r="28" spans="1:15" s="64" customFormat="1" ht="15.75" customHeight="1" thickTop="1" thickBot="1" x14ac:dyDescent="0.25">
      <c r="A28" s="40"/>
      <c r="B28" s="39" t="s">
        <v>11</v>
      </c>
      <c r="C28" s="38"/>
      <c r="D28" s="38"/>
      <c r="E28" s="38"/>
      <c r="F28" s="39" t="s">
        <v>20</v>
      </c>
      <c r="G28" s="38"/>
      <c r="H28" s="37"/>
      <c r="I28" s="36"/>
      <c r="J28" s="35">
        <f>SUMPRODUCT($I7:$I27,J7:J27)</f>
        <v>972.76671146499984</v>
      </c>
      <c r="K28" s="35">
        <f>SUMPRODUCT($I7:$I27,K7:K27)</f>
        <v>196.89175</v>
      </c>
      <c r="L28" s="35">
        <f>SUMPRODUCT($I7:$I27,L7:L27)</f>
        <v>6</v>
      </c>
      <c r="M28" s="35">
        <f>SUMPRODUCT($I7:$I27,M7:M27)</f>
        <v>0.33333333333333331</v>
      </c>
      <c r="N28" s="35">
        <f>SUM(N7:N27)</f>
        <v>1175.9917947983336</v>
      </c>
      <c r="O28" s="34"/>
    </row>
    <row r="29" spans="1:15" ht="15.75" thickTop="1" x14ac:dyDescent="0.25">
      <c r="A29" s="60">
        <v>22</v>
      </c>
      <c r="B29" s="58" t="s">
        <v>21</v>
      </c>
      <c r="C29" s="56" t="str">
        <f>EN_A0001</f>
        <v>EN A0001</v>
      </c>
      <c r="D29" s="56" t="s">
        <v>23</v>
      </c>
      <c r="E29" s="56"/>
      <c r="F29" s="57" t="str">
        <f>'EN Assemblies'!B4</f>
        <v>Engine</v>
      </c>
      <c r="G29" s="56"/>
      <c r="H29" s="55">
        <f t="shared" ref="H29:H60" si="2">SUM(J29:M29)</f>
        <v>129.65708333333333</v>
      </c>
      <c r="I29" s="63">
        <f>EN_A0001_q</f>
        <v>1</v>
      </c>
      <c r="J29" s="53">
        <f>EN_A0001_m</f>
        <v>30.175000000000001</v>
      </c>
      <c r="K29" s="53">
        <f>EN_A0001_p</f>
        <v>94.888750000000002</v>
      </c>
      <c r="L29" s="53">
        <f>EN_A0001_f</f>
        <v>1.2600000000000002</v>
      </c>
      <c r="M29" s="53">
        <f>EN_A0001_t</f>
        <v>3.3333333333333335</v>
      </c>
      <c r="N29" s="52">
        <f t="shared" ref="N29:N60" si="3">H29*I29</f>
        <v>129.65708333333333</v>
      </c>
      <c r="O29" s="51"/>
    </row>
    <row r="30" spans="1:15" ht="15" x14ac:dyDescent="0.25">
      <c r="A30" s="50">
        <v>23</v>
      </c>
      <c r="B30" s="48" t="s">
        <v>21</v>
      </c>
      <c r="C30" s="49" t="str">
        <f>EN_01001</f>
        <v>EN 01001</v>
      </c>
      <c r="D30" s="46" t="s">
        <v>23</v>
      </c>
      <c r="E30" s="46" t="str">
        <f t="shared" ref="E30:E35" si="4">$F$29</f>
        <v>Engine</v>
      </c>
      <c r="F30" s="47" t="str">
        <f>'EN Parts'!B5</f>
        <v>Engine part</v>
      </c>
      <c r="G30" s="46"/>
      <c r="H30" s="45">
        <f t="shared" si="2"/>
        <v>1500</v>
      </c>
      <c r="I30" s="61">
        <f>EN_A0001_q*EN_01001_q</f>
        <v>1</v>
      </c>
      <c r="J30" s="43">
        <f>EN_01001_m</f>
        <v>1500</v>
      </c>
      <c r="K30" s="43">
        <v>0</v>
      </c>
      <c r="L30" s="43">
        <v>0</v>
      </c>
      <c r="M30" s="43">
        <v>0</v>
      </c>
      <c r="N30" s="42">
        <f t="shared" si="3"/>
        <v>1500</v>
      </c>
      <c r="O30" s="41"/>
    </row>
    <row r="31" spans="1:15" ht="15" x14ac:dyDescent="0.25">
      <c r="A31" s="50">
        <v>24</v>
      </c>
      <c r="B31" s="48" t="s">
        <v>21</v>
      </c>
      <c r="C31" s="49" t="str">
        <f>EN_01002</f>
        <v>EN 01002</v>
      </c>
      <c r="D31" s="46" t="s">
        <v>23</v>
      </c>
      <c r="E31" s="46" t="str">
        <f t="shared" si="4"/>
        <v>Engine</v>
      </c>
      <c r="F31" s="47" t="str">
        <f>'EN Parts'!B33</f>
        <v>Front mount</v>
      </c>
      <c r="G31" s="46"/>
      <c r="H31" s="45">
        <f t="shared" si="2"/>
        <v>2.3536202500000001</v>
      </c>
      <c r="I31" s="61">
        <f>EN_A0001_q*EN_01002_q</f>
        <v>2</v>
      </c>
      <c r="J31" s="43">
        <f>EN_01002_m</f>
        <v>0.45362024999999995</v>
      </c>
      <c r="K31" s="43">
        <f>EN_01002_p</f>
        <v>1.9000000000000001</v>
      </c>
      <c r="L31" s="43">
        <v>0</v>
      </c>
      <c r="M31" s="43">
        <v>0</v>
      </c>
      <c r="N31" s="42">
        <f t="shared" si="3"/>
        <v>4.7072405000000002</v>
      </c>
      <c r="O31" s="41"/>
    </row>
    <row r="32" spans="1:15" ht="15" x14ac:dyDescent="0.25">
      <c r="A32" s="50">
        <v>25</v>
      </c>
      <c r="B32" s="48" t="s">
        <v>21</v>
      </c>
      <c r="C32" s="49" t="str">
        <f>EN_01003</f>
        <v>EN 01003</v>
      </c>
      <c r="D32" s="46" t="s">
        <v>23</v>
      </c>
      <c r="E32" s="46" t="str">
        <f t="shared" si="4"/>
        <v>Engine</v>
      </c>
      <c r="F32" s="47" t="str">
        <f>'EN Parts'!B62</f>
        <v>Upper mount</v>
      </c>
      <c r="G32" s="62"/>
      <c r="H32" s="45">
        <f t="shared" si="2"/>
        <v>13.09403672</v>
      </c>
      <c r="I32" s="61">
        <f>EN_01003_q</f>
        <v>2</v>
      </c>
      <c r="J32" s="43">
        <f>EN_01003_m</f>
        <v>0.31323672000000002</v>
      </c>
      <c r="K32" s="43">
        <f>EN_01003_p</f>
        <v>12.780799999999999</v>
      </c>
      <c r="L32" s="43">
        <v>0</v>
      </c>
      <c r="M32" s="43">
        <v>0</v>
      </c>
      <c r="N32" s="42">
        <f t="shared" si="3"/>
        <v>26.18807344</v>
      </c>
      <c r="O32" s="41"/>
    </row>
    <row r="33" spans="1:15" ht="15" x14ac:dyDescent="0.25">
      <c r="A33" s="50">
        <v>26</v>
      </c>
      <c r="B33" s="48" t="s">
        <v>21</v>
      </c>
      <c r="C33" s="49" t="str">
        <f>EN_01004</f>
        <v>EN 01004</v>
      </c>
      <c r="D33" s="46" t="s">
        <v>23</v>
      </c>
      <c r="E33" s="46" t="str">
        <f t="shared" si="4"/>
        <v>Engine</v>
      </c>
      <c r="F33" s="47" t="str">
        <f>'EN Parts'!B88</f>
        <v>Upper axle</v>
      </c>
      <c r="G33" s="46"/>
      <c r="H33" s="45">
        <f t="shared" si="2"/>
        <v>3.1153423</v>
      </c>
      <c r="I33" s="44">
        <f>EN_01004_q</f>
        <v>1</v>
      </c>
      <c r="J33" s="43">
        <f>EN_01004_m</f>
        <v>0.73534230000000012</v>
      </c>
      <c r="K33" s="43">
        <f>EN_01004_p</f>
        <v>2.38</v>
      </c>
      <c r="L33" s="43">
        <v>0</v>
      </c>
      <c r="M33" s="43">
        <v>0</v>
      </c>
      <c r="N33" s="42">
        <f t="shared" si="3"/>
        <v>3.1153423</v>
      </c>
      <c r="O33" s="41"/>
    </row>
    <row r="34" spans="1:15" ht="15" x14ac:dyDescent="0.25">
      <c r="A34" s="50">
        <v>27</v>
      </c>
      <c r="B34" s="48" t="s">
        <v>21</v>
      </c>
      <c r="C34" s="49" t="str">
        <f>EN_01005</f>
        <v>EN 01005</v>
      </c>
      <c r="D34" s="46" t="s">
        <v>23</v>
      </c>
      <c r="E34" s="46" t="str">
        <f t="shared" si="4"/>
        <v>Engine</v>
      </c>
      <c r="F34" s="47" t="str">
        <f>'EN Parts'!B112</f>
        <v>Flat sump</v>
      </c>
      <c r="G34" s="46"/>
      <c r="H34" s="45">
        <f t="shared" si="2"/>
        <v>56.263297633333337</v>
      </c>
      <c r="I34" s="44">
        <f>EN_01005_q</f>
        <v>1</v>
      </c>
      <c r="J34" s="43">
        <f>EN_01005_m</f>
        <v>3.5699643000000001</v>
      </c>
      <c r="K34" s="43">
        <f>EN_01005_p</f>
        <v>43.47</v>
      </c>
      <c r="L34" s="43">
        <f>EN_01005_f</f>
        <v>0.89000000000000012</v>
      </c>
      <c r="M34" s="43">
        <f>EN_01005_t</f>
        <v>8.3333333333333339</v>
      </c>
      <c r="N34" s="42">
        <f t="shared" si="3"/>
        <v>56.263297633333337</v>
      </c>
      <c r="O34" s="41"/>
    </row>
    <row r="35" spans="1:15" ht="15" x14ac:dyDescent="0.25">
      <c r="A35" s="50">
        <v>28</v>
      </c>
      <c r="B35" s="48" t="s">
        <v>21</v>
      </c>
      <c r="C35" s="49" t="str">
        <f>EN_01006</f>
        <v>EN 01006</v>
      </c>
      <c r="D35" s="46" t="s">
        <v>23</v>
      </c>
      <c r="E35" s="46" t="str">
        <f t="shared" si="4"/>
        <v>Engine</v>
      </c>
      <c r="F35" s="47" t="str">
        <f>'EN Parts'!B148</f>
        <v>Obstrution plate</v>
      </c>
      <c r="G35" s="46"/>
      <c r="H35" s="45">
        <f t="shared" si="2"/>
        <v>5.8769504000000001</v>
      </c>
      <c r="I35" s="44">
        <f>EN_01006_q</f>
        <v>2</v>
      </c>
      <c r="J35" s="43">
        <f>EN_01006_m</f>
        <v>8.1950399999999993E-2</v>
      </c>
      <c r="K35" s="43">
        <f>EN_01006_p</f>
        <v>5.7149999999999999</v>
      </c>
      <c r="L35" s="43">
        <f>EN_01006_f</f>
        <v>0.08</v>
      </c>
      <c r="M35" s="43">
        <v>0</v>
      </c>
      <c r="N35" s="42">
        <f t="shared" si="3"/>
        <v>11.7539008</v>
      </c>
      <c r="O35" s="41"/>
    </row>
    <row r="36" spans="1:15" ht="15" x14ac:dyDescent="0.25">
      <c r="A36" s="60">
        <v>29</v>
      </c>
      <c r="B36" s="58" t="s">
        <v>21</v>
      </c>
      <c r="C36" s="59" t="str">
        <f>EN_A0002</f>
        <v>EN A0002</v>
      </c>
      <c r="D36" s="56" t="s">
        <v>23</v>
      </c>
      <c r="E36" s="56"/>
      <c r="F36" s="57" t="str">
        <f>'EN Assemblies'!B56</f>
        <v>Exhaust system</v>
      </c>
      <c r="G36" s="56"/>
      <c r="H36" s="55">
        <f t="shared" si="2"/>
        <v>86.743333333333325</v>
      </c>
      <c r="I36" s="54">
        <f>EN_A0002_q</f>
        <v>1</v>
      </c>
      <c r="J36" s="53">
        <f>EN_A0002_m</f>
        <v>67.7</v>
      </c>
      <c r="K36" s="53">
        <f>EN_A0002_p</f>
        <v>16.97</v>
      </c>
      <c r="L36" s="53">
        <f>EN_A0002_f</f>
        <v>0.74000000000000021</v>
      </c>
      <c r="M36" s="53">
        <f>EN_A0002_t</f>
        <v>1.3333333333333333</v>
      </c>
      <c r="N36" s="52">
        <f t="shared" si="3"/>
        <v>86.743333333333325</v>
      </c>
      <c r="O36" s="51"/>
    </row>
    <row r="37" spans="1:15" ht="15" x14ac:dyDescent="0.25">
      <c r="A37" s="50">
        <v>30</v>
      </c>
      <c r="B37" s="48" t="s">
        <v>21</v>
      </c>
      <c r="C37" s="49" t="str">
        <f>EN_02001</f>
        <v>EN 02001</v>
      </c>
      <c r="D37" s="46" t="s">
        <v>23</v>
      </c>
      <c r="E37" s="46" t="s">
        <v>33</v>
      </c>
      <c r="F37" s="47" t="str">
        <f>'EN Parts'!B172</f>
        <v>Exhaust tip</v>
      </c>
      <c r="G37" s="46"/>
      <c r="H37" s="45">
        <f t="shared" si="2"/>
        <v>4.8584215000000004</v>
      </c>
      <c r="I37" s="61">
        <f>EN_A0002_q*EN_02001_q</f>
        <v>4</v>
      </c>
      <c r="J37" s="43">
        <f>EN_02001_m</f>
        <v>0.75342149999999997</v>
      </c>
      <c r="K37" s="43">
        <f>EN_02001_p</f>
        <v>4.1050000000000004</v>
      </c>
      <c r="L37" s="43">
        <v>0</v>
      </c>
      <c r="M37" s="43">
        <v>0</v>
      </c>
      <c r="N37" s="42">
        <f t="shared" si="3"/>
        <v>19.433686000000002</v>
      </c>
      <c r="O37" s="41"/>
    </row>
    <row r="38" spans="1:15" ht="15" x14ac:dyDescent="0.25">
      <c r="A38" s="50">
        <v>31</v>
      </c>
      <c r="B38" s="48" t="s">
        <v>21</v>
      </c>
      <c r="C38" s="49" t="str">
        <f>EN_02002</f>
        <v>EN 02002</v>
      </c>
      <c r="D38" s="46" t="s">
        <v>23</v>
      </c>
      <c r="E38" s="46" t="s">
        <v>33</v>
      </c>
      <c r="F38" s="47" t="str">
        <f>'EN Parts'!B194</f>
        <v>Exhaust flange</v>
      </c>
      <c r="G38" s="46"/>
      <c r="H38" s="45">
        <f t="shared" si="2"/>
        <v>1.9997499999999999</v>
      </c>
      <c r="I38" s="61">
        <f>EN_A0002_q*EN_02002_q</f>
        <v>4</v>
      </c>
      <c r="J38" s="43">
        <f>EN_02002_m</f>
        <v>0.35100000000000003</v>
      </c>
      <c r="K38" s="43">
        <f>EN_02002_p</f>
        <v>1.6487499999999999</v>
      </c>
      <c r="L38" s="43">
        <v>0</v>
      </c>
      <c r="M38" s="43">
        <v>0</v>
      </c>
      <c r="N38" s="42">
        <f t="shared" si="3"/>
        <v>7.9989999999999997</v>
      </c>
      <c r="O38" s="41"/>
    </row>
    <row r="39" spans="1:15" ht="15" x14ac:dyDescent="0.25">
      <c r="A39" s="50">
        <v>32</v>
      </c>
      <c r="B39" s="48" t="s">
        <v>21</v>
      </c>
      <c r="C39" s="49" t="str">
        <f>EN_02003</f>
        <v>EN 02003</v>
      </c>
      <c r="D39" s="46" t="s">
        <v>23</v>
      </c>
      <c r="E39" s="46" t="s">
        <v>33</v>
      </c>
      <c r="F39" s="47" t="str">
        <f>'EN Parts'!B215</f>
        <v>Exhaust headers</v>
      </c>
      <c r="G39" s="46"/>
      <c r="H39" s="45">
        <f t="shared" si="2"/>
        <v>83.802575416666684</v>
      </c>
      <c r="I39" s="61">
        <f>EN_A0002_q*EN_02003_q</f>
        <v>1</v>
      </c>
      <c r="J39" s="43">
        <f>EN_02003_m</f>
        <v>2.0959087500000004</v>
      </c>
      <c r="K39" s="43">
        <f>EN_02003_p</f>
        <v>75.040000000000006</v>
      </c>
      <c r="L39" s="43">
        <v>0</v>
      </c>
      <c r="M39" s="43">
        <f>EN_02003_t</f>
        <v>6.666666666666667</v>
      </c>
      <c r="N39" s="42">
        <f t="shared" si="3"/>
        <v>83.802575416666684</v>
      </c>
      <c r="O39" s="41"/>
    </row>
    <row r="40" spans="1:15" ht="15" x14ac:dyDescent="0.25">
      <c r="A40" s="50">
        <v>33</v>
      </c>
      <c r="B40" s="48" t="s">
        <v>21</v>
      </c>
      <c r="C40" s="49" t="str">
        <f>EN_02004</f>
        <v>EN 02004</v>
      </c>
      <c r="D40" s="46" t="s">
        <v>23</v>
      </c>
      <c r="E40" s="46" t="s">
        <v>33</v>
      </c>
      <c r="F40" s="47" t="str">
        <f>'EN Parts'!B243</f>
        <v>Primary collector</v>
      </c>
      <c r="G40" s="46"/>
      <c r="H40" s="45">
        <f t="shared" si="2"/>
        <v>27.039906086666665</v>
      </c>
      <c r="I40" s="61">
        <f>EN_A0002_q*EN_02004_q</f>
        <v>2</v>
      </c>
      <c r="J40" s="43">
        <f>EN_02004_m</f>
        <v>0.31323942000000005</v>
      </c>
      <c r="K40" s="43">
        <f>EN_02004_p</f>
        <v>20.059999999999999</v>
      </c>
      <c r="L40" s="43">
        <v>0</v>
      </c>
      <c r="M40" s="43">
        <f>EN_02004_t</f>
        <v>6.666666666666667</v>
      </c>
      <c r="N40" s="42">
        <f t="shared" si="3"/>
        <v>54.07981217333333</v>
      </c>
      <c r="O40" s="41"/>
    </row>
    <row r="41" spans="1:15" ht="15" x14ac:dyDescent="0.25">
      <c r="A41" s="50">
        <v>34</v>
      </c>
      <c r="B41" s="48" t="s">
        <v>21</v>
      </c>
      <c r="C41" s="49" t="str">
        <f>EN_02005</f>
        <v>EN 02005</v>
      </c>
      <c r="D41" s="46" t="s">
        <v>23</v>
      </c>
      <c r="E41" s="46" t="s">
        <v>33</v>
      </c>
      <c r="F41" s="47" t="str">
        <f>'EN Parts'!B270</f>
        <v>Primary collector tubing</v>
      </c>
      <c r="G41" s="46"/>
      <c r="H41" s="45">
        <f t="shared" si="2"/>
        <v>47.989955733333332</v>
      </c>
      <c r="I41" s="61">
        <f>EN_A0002_q*EN_02005_q</f>
        <v>1</v>
      </c>
      <c r="J41" s="43">
        <f>EN_02005_m</f>
        <v>0.69582240000000006</v>
      </c>
      <c r="K41" s="43">
        <f>EN_02005_p</f>
        <v>44.960799999999999</v>
      </c>
      <c r="L41" s="43">
        <v>0</v>
      </c>
      <c r="M41" s="43">
        <f>EN_02005_t</f>
        <v>2.3333333333333335</v>
      </c>
      <c r="N41" s="42">
        <f t="shared" si="3"/>
        <v>47.989955733333332</v>
      </c>
      <c r="O41" s="41"/>
    </row>
    <row r="42" spans="1:15" ht="15" x14ac:dyDescent="0.25">
      <c r="A42" s="50">
        <v>35</v>
      </c>
      <c r="B42" s="48" t="s">
        <v>21</v>
      </c>
      <c r="C42" s="49" t="str">
        <f>EN_02006</f>
        <v>EN 02006</v>
      </c>
      <c r="D42" s="46" t="s">
        <v>23</v>
      </c>
      <c r="E42" s="46" t="s">
        <v>33</v>
      </c>
      <c r="F42" s="47" t="str">
        <f>'EN Parts'!B296</f>
        <v>Secondary collector</v>
      </c>
      <c r="G42" s="46"/>
      <c r="H42" s="45">
        <f t="shared" si="2"/>
        <v>27.820328750666665</v>
      </c>
      <c r="I42" s="61">
        <f>EN_A0002_q*EN_02006_q</f>
        <v>1</v>
      </c>
      <c r="J42" s="43">
        <f>EN_02006_m</f>
        <v>0.25366208400000001</v>
      </c>
      <c r="K42" s="43">
        <f>EN_02006_p</f>
        <v>20.9</v>
      </c>
      <c r="L42" s="43">
        <v>0</v>
      </c>
      <c r="M42" s="43">
        <f>EN_02006_t</f>
        <v>6.666666666666667</v>
      </c>
      <c r="N42" s="42">
        <f t="shared" si="3"/>
        <v>27.820328750666665</v>
      </c>
      <c r="O42" s="41"/>
    </row>
    <row r="43" spans="1:15" ht="15" x14ac:dyDescent="0.25">
      <c r="A43" s="50">
        <v>36</v>
      </c>
      <c r="B43" s="48" t="s">
        <v>21</v>
      </c>
      <c r="C43" s="49" t="str">
        <f>EN_02007</f>
        <v>EN 02007</v>
      </c>
      <c r="D43" s="46" t="s">
        <v>23</v>
      </c>
      <c r="E43" s="46" t="s">
        <v>33</v>
      </c>
      <c r="F43" s="47" t="str">
        <f>'EN Parts'!B321</f>
        <v>Secondary collector tubing</v>
      </c>
      <c r="G43" s="46"/>
      <c r="H43" s="45">
        <f t="shared" si="2"/>
        <v>32.934789583333334</v>
      </c>
      <c r="I43" s="61">
        <f>EN_A0002_q*EN_02007_q</f>
        <v>1</v>
      </c>
      <c r="J43" s="43">
        <f>EN_02007_m</f>
        <v>0.40145625000000001</v>
      </c>
      <c r="K43" s="43">
        <f>EN_02007_p</f>
        <v>30.2</v>
      </c>
      <c r="L43" s="43">
        <v>0</v>
      </c>
      <c r="M43" s="43">
        <f>EN_02007_t</f>
        <v>2.3333333333333335</v>
      </c>
      <c r="N43" s="42">
        <f t="shared" si="3"/>
        <v>32.934789583333334</v>
      </c>
      <c r="O43" s="41"/>
    </row>
    <row r="44" spans="1:15" ht="15" x14ac:dyDescent="0.25">
      <c r="A44" s="50">
        <v>37</v>
      </c>
      <c r="B44" s="48" t="s">
        <v>21</v>
      </c>
      <c r="C44" s="49" t="str">
        <f>EN_02008</f>
        <v>EN 02008</v>
      </c>
      <c r="D44" s="46" t="s">
        <v>23</v>
      </c>
      <c r="E44" s="46" t="s">
        <v>33</v>
      </c>
      <c r="F44" s="47" t="str">
        <f>'EN Parts'!B346</f>
        <v>Muffler</v>
      </c>
      <c r="G44" s="46"/>
      <c r="H44" s="45">
        <f t="shared" si="2"/>
        <v>72.09</v>
      </c>
      <c r="I44" s="61">
        <f>EN_A0002_q*EN_02008_q</f>
        <v>1</v>
      </c>
      <c r="J44" s="43">
        <f>EN_02008_m</f>
        <v>27.02</v>
      </c>
      <c r="K44" s="43">
        <f>EN_02008_p</f>
        <v>45.070000000000007</v>
      </c>
      <c r="L44" s="43">
        <v>0</v>
      </c>
      <c r="M44" s="43">
        <v>0</v>
      </c>
      <c r="N44" s="42">
        <f t="shared" si="3"/>
        <v>72.09</v>
      </c>
      <c r="O44" s="41"/>
    </row>
    <row r="45" spans="1:15" ht="15" x14ac:dyDescent="0.25">
      <c r="A45" s="60">
        <v>38</v>
      </c>
      <c r="B45" s="58" t="s">
        <v>21</v>
      </c>
      <c r="C45" s="59" t="str">
        <f>EN_A0003</f>
        <v>EN A0003</v>
      </c>
      <c r="D45" s="56" t="s">
        <v>23</v>
      </c>
      <c r="E45" s="56"/>
      <c r="F45" s="57" t="str">
        <f>'EN Assemblies'!B112</f>
        <v>Fuel Tank assembly</v>
      </c>
      <c r="G45" s="56"/>
      <c r="H45" s="55">
        <f t="shared" si="2"/>
        <v>45.174999999999997</v>
      </c>
      <c r="I45" s="54">
        <f>EN_A0003_q</f>
        <v>1</v>
      </c>
      <c r="J45" s="53">
        <f>EN_A0003_m</f>
        <v>31.94</v>
      </c>
      <c r="K45" s="53">
        <f>EN_A0003_p</f>
        <v>9.5150000000000006</v>
      </c>
      <c r="L45" s="53">
        <f>EN_A0003_f</f>
        <v>1.72</v>
      </c>
      <c r="M45" s="53">
        <f>EN_A0003_t</f>
        <v>2</v>
      </c>
      <c r="N45" s="52">
        <f t="shared" si="3"/>
        <v>45.174999999999997</v>
      </c>
      <c r="O45" s="51"/>
    </row>
    <row r="46" spans="1:15" ht="15" x14ac:dyDescent="0.25">
      <c r="A46" s="50">
        <v>39</v>
      </c>
      <c r="B46" s="48" t="s">
        <v>21</v>
      </c>
      <c r="C46" s="49" t="str">
        <f>EN_03001</f>
        <v>EN 03001</v>
      </c>
      <c r="D46" s="46" t="s">
        <v>23</v>
      </c>
      <c r="E46" s="46" t="s">
        <v>32</v>
      </c>
      <c r="F46" s="47" t="str">
        <f>'EN Parts'!B374</f>
        <v>Fuel Tank</v>
      </c>
      <c r="G46" s="46"/>
      <c r="H46" s="45">
        <f t="shared" si="2"/>
        <v>79.966659396000011</v>
      </c>
      <c r="I46" s="44">
        <f>EN_A0003_q*EN_03001_q</f>
        <v>1</v>
      </c>
      <c r="J46" s="43">
        <f>EN_03001_m</f>
        <v>24.073659396000004</v>
      </c>
      <c r="K46" s="43">
        <f>EN_03001_p</f>
        <v>50.893000000000001</v>
      </c>
      <c r="L46" s="43">
        <v>0</v>
      </c>
      <c r="M46" s="43">
        <f>EN_03001_t</f>
        <v>5</v>
      </c>
      <c r="N46" s="42">
        <f t="shared" si="3"/>
        <v>79.966659396000011</v>
      </c>
      <c r="O46" s="41"/>
    </row>
    <row r="47" spans="1:15" ht="15" x14ac:dyDescent="0.25">
      <c r="A47" s="50">
        <v>40</v>
      </c>
      <c r="B47" s="48" t="s">
        <v>21</v>
      </c>
      <c r="C47" s="49" t="str">
        <f>En_03002</f>
        <v>En 03002</v>
      </c>
      <c r="D47" s="46" t="s">
        <v>23</v>
      </c>
      <c r="E47" s="46" t="s">
        <v>32</v>
      </c>
      <c r="F47" s="47" t="str">
        <f>'EN Parts'!B418</f>
        <v>Filler tube</v>
      </c>
      <c r="G47" s="46"/>
      <c r="H47" s="45">
        <f t="shared" si="2"/>
        <v>15.010881192666666</v>
      </c>
      <c r="I47" s="44">
        <f>EN_A0003_q*En_03002_q</f>
        <v>1</v>
      </c>
      <c r="J47" s="43">
        <f>EN_03002_m</f>
        <v>8.5242145259999997</v>
      </c>
      <c r="K47" s="43">
        <f>EN_03002_p</f>
        <v>4.74</v>
      </c>
      <c r="L47" s="43">
        <f>EN_03002_f</f>
        <v>1.08</v>
      </c>
      <c r="M47" s="43">
        <f>EN_03002_t</f>
        <v>0.66666666666666663</v>
      </c>
      <c r="N47" s="42">
        <f t="shared" si="3"/>
        <v>15.010881192666666</v>
      </c>
      <c r="O47" s="41"/>
    </row>
    <row r="48" spans="1:15" ht="15" x14ac:dyDescent="0.25">
      <c r="A48" s="50">
        <v>41</v>
      </c>
      <c r="B48" s="48" t="s">
        <v>21</v>
      </c>
      <c r="C48" s="49" t="str">
        <f>EN_03003</f>
        <v>EN 03003</v>
      </c>
      <c r="D48" s="46" t="s">
        <v>23</v>
      </c>
      <c r="E48" s="46" t="s">
        <v>32</v>
      </c>
      <c r="F48" s="47" t="str">
        <f>'EN Parts'!B453</f>
        <v>Filler cap</v>
      </c>
      <c r="G48" s="46"/>
      <c r="H48" s="45">
        <f t="shared" si="2"/>
        <v>24.094630799999997</v>
      </c>
      <c r="I48" s="44">
        <f>EN_A0003_q*En_03003_q</f>
        <v>1</v>
      </c>
      <c r="J48" s="43">
        <f>EN_03003_m</f>
        <v>15.334630799999999</v>
      </c>
      <c r="K48" s="43">
        <f>EN_03003_p</f>
        <v>8.76</v>
      </c>
      <c r="L48" s="43">
        <v>0</v>
      </c>
      <c r="M48" s="43">
        <v>0</v>
      </c>
      <c r="N48" s="42">
        <f t="shared" si="3"/>
        <v>24.094630799999997</v>
      </c>
      <c r="O48" s="41"/>
    </row>
    <row r="49" spans="1:15" ht="15" x14ac:dyDescent="0.25">
      <c r="A49" s="50">
        <v>42</v>
      </c>
      <c r="B49" s="48" t="s">
        <v>21</v>
      </c>
      <c r="C49" s="49" t="str">
        <f>EN_03004</f>
        <v>EN 03004</v>
      </c>
      <c r="D49" s="46" t="s">
        <v>23</v>
      </c>
      <c r="E49" s="46" t="s">
        <v>32</v>
      </c>
      <c r="F49" s="47" t="str">
        <f>'EN Parts'!B478</f>
        <v>Filler tube collar</v>
      </c>
      <c r="G49" s="46"/>
      <c r="H49" s="45">
        <f t="shared" si="2"/>
        <v>2.1969457200000004</v>
      </c>
      <c r="I49" s="44">
        <f>EN_A0003_q*En_03004_q</f>
        <v>1</v>
      </c>
      <c r="J49" s="43">
        <f>EN_03004_m</f>
        <v>6.2145720000000002E-2</v>
      </c>
      <c r="K49" s="43">
        <f>EN_03004_p</f>
        <v>2.1348000000000003</v>
      </c>
      <c r="L49" s="43">
        <v>0</v>
      </c>
      <c r="M49" s="43">
        <v>0</v>
      </c>
      <c r="N49" s="42">
        <f t="shared" si="3"/>
        <v>2.1969457200000004</v>
      </c>
      <c r="O49" s="41"/>
    </row>
    <row r="50" spans="1:15" ht="15" x14ac:dyDescent="0.25">
      <c r="A50" s="50">
        <v>43</v>
      </c>
      <c r="B50" s="48" t="s">
        <v>21</v>
      </c>
      <c r="C50" s="49" t="str">
        <f>EN_03005</f>
        <v>EN 03005</v>
      </c>
      <c r="D50" s="46" t="s">
        <v>23</v>
      </c>
      <c r="E50" s="46" t="s">
        <v>32</v>
      </c>
      <c r="F50" s="47" t="str">
        <f>'EN Parts'!B499</f>
        <v>Fuel tank back tab</v>
      </c>
      <c r="G50" s="46"/>
      <c r="H50" s="45">
        <f t="shared" si="2"/>
        <v>2.2582912500000001</v>
      </c>
      <c r="I50" s="44">
        <f>EN_A0003_q*EN_03005_q</f>
        <v>1</v>
      </c>
      <c r="J50" s="43">
        <f>EN_03005_m</f>
        <v>5.9791250000000004E-2</v>
      </c>
      <c r="K50" s="43">
        <f>EN_03005_p</f>
        <v>2.1985000000000001</v>
      </c>
      <c r="L50" s="43">
        <v>0</v>
      </c>
      <c r="M50" s="43">
        <v>0</v>
      </c>
      <c r="N50" s="42">
        <f t="shared" si="3"/>
        <v>2.2582912500000001</v>
      </c>
      <c r="O50" s="41"/>
    </row>
    <row r="51" spans="1:15" ht="15" x14ac:dyDescent="0.25">
      <c r="A51" s="50">
        <v>44</v>
      </c>
      <c r="B51" s="48" t="s">
        <v>21</v>
      </c>
      <c r="C51" s="49" t="str">
        <f>EN_03006</f>
        <v>EN 03006</v>
      </c>
      <c r="D51" s="46" t="s">
        <v>23</v>
      </c>
      <c r="E51" s="46" t="s">
        <v>32</v>
      </c>
      <c r="F51" s="47" t="str">
        <f>'EN Parts'!B521</f>
        <v>Fuel tank front tab</v>
      </c>
      <c r="G51" s="46"/>
      <c r="H51" s="45">
        <f t="shared" si="2"/>
        <v>2.0871096700000002</v>
      </c>
      <c r="I51" s="44">
        <f>EN_A0003_q*EN_03006_q</f>
        <v>1</v>
      </c>
      <c r="J51" s="43">
        <f>EN_03006_m</f>
        <v>5.131467E-2</v>
      </c>
      <c r="K51" s="43">
        <f>EN_03006_p</f>
        <v>2.0357950000000002</v>
      </c>
      <c r="L51" s="43">
        <v>0</v>
      </c>
      <c r="M51" s="43">
        <v>0</v>
      </c>
      <c r="N51" s="42">
        <f t="shared" si="3"/>
        <v>2.0871096700000002</v>
      </c>
      <c r="O51" s="41"/>
    </row>
    <row r="52" spans="1:15" ht="15" x14ac:dyDescent="0.25">
      <c r="A52" s="60">
        <v>45</v>
      </c>
      <c r="B52" s="58" t="s">
        <v>21</v>
      </c>
      <c r="C52" s="59" t="str">
        <f>EN_A0004</f>
        <v>EN A0004</v>
      </c>
      <c r="D52" s="56" t="s">
        <v>23</v>
      </c>
      <c r="E52" s="56"/>
      <c r="F52" s="57" t="str">
        <f>'EN Assemblies'!B164</f>
        <v>Fuel system</v>
      </c>
      <c r="G52" s="56"/>
      <c r="H52" s="55">
        <f t="shared" si="2"/>
        <v>404.75433333333336</v>
      </c>
      <c r="I52" s="54">
        <f>EN_A0004_q</f>
        <v>1</v>
      </c>
      <c r="J52" s="53">
        <f>EN_A0004_m</f>
        <v>373.81100000000004</v>
      </c>
      <c r="K52" s="53">
        <f>EN_A0004_p</f>
        <v>29.8</v>
      </c>
      <c r="L52" s="53">
        <f>EN_A0004_f</f>
        <v>0.31000000000000005</v>
      </c>
      <c r="M52" s="53">
        <f>EN_A0004_t</f>
        <v>0.83333333333333337</v>
      </c>
      <c r="N52" s="52">
        <f t="shared" si="3"/>
        <v>404.75433333333336</v>
      </c>
      <c r="O52" s="51"/>
    </row>
    <row r="53" spans="1:15" ht="15" x14ac:dyDescent="0.25">
      <c r="A53" s="50">
        <v>46</v>
      </c>
      <c r="B53" s="48" t="s">
        <v>21</v>
      </c>
      <c r="C53" s="49" t="str">
        <f>EN_04001</f>
        <v>EN 04001</v>
      </c>
      <c r="D53" s="46" t="s">
        <v>23</v>
      </c>
      <c r="E53" s="48" t="s">
        <v>31</v>
      </c>
      <c r="F53" s="47" t="str">
        <f>'EN Parts'!B543</f>
        <v>Fuel rail</v>
      </c>
      <c r="G53" s="46"/>
      <c r="H53" s="45">
        <f t="shared" si="2"/>
        <v>12.464163333333332</v>
      </c>
      <c r="I53" s="44">
        <f>EN_A0004_q*EN_04001_q</f>
        <v>1</v>
      </c>
      <c r="J53" s="43">
        <f>EN_04001_m</f>
        <v>0.74762999999999991</v>
      </c>
      <c r="K53" s="43">
        <f>EN_04001_p</f>
        <v>9.3831999999999987</v>
      </c>
      <c r="L53" s="43">
        <v>0</v>
      </c>
      <c r="M53" s="43">
        <f>EN_04001_t</f>
        <v>2.3333333333333335</v>
      </c>
      <c r="N53" s="42">
        <f t="shared" si="3"/>
        <v>12.464163333333332</v>
      </c>
      <c r="O53" s="41"/>
    </row>
    <row r="54" spans="1:15" ht="15" x14ac:dyDescent="0.25">
      <c r="A54" s="50">
        <v>47</v>
      </c>
      <c r="B54" s="48" t="s">
        <v>21</v>
      </c>
      <c r="C54" s="49" t="str">
        <f>EN_04002</f>
        <v>EN 04002</v>
      </c>
      <c r="D54" s="46" t="s">
        <v>23</v>
      </c>
      <c r="E54" s="48" t="s">
        <v>31</v>
      </c>
      <c r="F54" s="47" t="str">
        <f>'EN Parts'!B574</f>
        <v>Fuel pump tab</v>
      </c>
      <c r="G54" s="46"/>
      <c r="H54" s="45">
        <f t="shared" si="2"/>
        <v>1.561561</v>
      </c>
      <c r="I54" s="44">
        <f>EN_A0004_q*EN_04002_q</f>
        <v>1</v>
      </c>
      <c r="J54" s="43">
        <f>EN_04002_m</f>
        <v>1.6611000000000001E-2</v>
      </c>
      <c r="K54" s="43">
        <f>EN_04002_p</f>
        <v>1.54495</v>
      </c>
      <c r="L54" s="43">
        <v>0</v>
      </c>
      <c r="M54" s="43">
        <v>0</v>
      </c>
      <c r="N54" s="42">
        <f t="shared" si="3"/>
        <v>1.561561</v>
      </c>
      <c r="O54" s="41"/>
    </row>
    <row r="55" spans="1:15" ht="15" x14ac:dyDescent="0.25">
      <c r="A55" s="50">
        <v>48</v>
      </c>
      <c r="B55" s="48" t="s">
        <v>21</v>
      </c>
      <c r="C55" s="49" t="str">
        <f>EN_04003</f>
        <v>EN 04003</v>
      </c>
      <c r="D55" s="46" t="s">
        <v>23</v>
      </c>
      <c r="E55" s="48" t="s">
        <v>31</v>
      </c>
      <c r="F55" s="47" t="str">
        <f>'EN Parts'!B596</f>
        <v>Pressure regulator tab</v>
      </c>
      <c r="G55" s="46"/>
      <c r="H55" s="45">
        <f t="shared" si="2"/>
        <v>2.0546959999999999</v>
      </c>
      <c r="I55" s="44">
        <f>EN_A0004_q*EN_04003_q</f>
        <v>1</v>
      </c>
      <c r="J55" s="43">
        <f>EN_04003_m</f>
        <v>4.4296000000000002E-2</v>
      </c>
      <c r="K55" s="43">
        <f>EN_04003_p</f>
        <v>2.0103999999999997</v>
      </c>
      <c r="L55" s="43">
        <v>0</v>
      </c>
      <c r="M55" s="43">
        <v>0</v>
      </c>
      <c r="N55" s="42">
        <f t="shared" si="3"/>
        <v>2.0546959999999999</v>
      </c>
      <c r="O55" s="41"/>
    </row>
    <row r="56" spans="1:15" ht="15" x14ac:dyDescent="0.25">
      <c r="A56" s="50">
        <v>49</v>
      </c>
      <c r="B56" s="48" t="s">
        <v>21</v>
      </c>
      <c r="C56" s="49" t="str">
        <f>EN_04004</f>
        <v>EN 04004</v>
      </c>
      <c r="D56" s="46" t="s">
        <v>23</v>
      </c>
      <c r="E56" s="48" t="s">
        <v>31</v>
      </c>
      <c r="F56" s="47" t="str">
        <f>'EN Parts'!B618</f>
        <v>Fuel pump collar</v>
      </c>
      <c r="G56" s="46"/>
      <c r="H56" s="45">
        <f t="shared" si="2"/>
        <v>2.5892678999999998</v>
      </c>
      <c r="I56" s="44">
        <f>EN_A0004_q*EN_04004_q</f>
        <v>1</v>
      </c>
      <c r="J56" s="43">
        <f>EN_04004_m</f>
        <v>3.9267900000000001E-2</v>
      </c>
      <c r="K56" s="43">
        <f>EN_04004_p</f>
        <v>2.5499999999999998</v>
      </c>
      <c r="L56" s="43">
        <v>0</v>
      </c>
      <c r="M56" s="43">
        <v>0</v>
      </c>
      <c r="N56" s="42">
        <f t="shared" si="3"/>
        <v>2.5892678999999998</v>
      </c>
      <c r="O56" s="41"/>
    </row>
    <row r="57" spans="1:15" ht="15" x14ac:dyDescent="0.25">
      <c r="A57" s="50">
        <v>50</v>
      </c>
      <c r="B57" s="48" t="s">
        <v>21</v>
      </c>
      <c r="C57" s="49" t="str">
        <f>EN_04005</f>
        <v>EN 04005</v>
      </c>
      <c r="D57" s="46" t="s">
        <v>23</v>
      </c>
      <c r="E57" s="48" t="s">
        <v>31</v>
      </c>
      <c r="F57" s="47" t="str">
        <f>'EN Parts'!B639</f>
        <v>Fuel rail mount 1</v>
      </c>
      <c r="G57" s="46"/>
      <c r="H57" s="45">
        <f t="shared" si="2"/>
        <v>2.2310964000000002</v>
      </c>
      <c r="I57" s="44">
        <f>EN_A0004_q*EN_04005_q</f>
        <v>1</v>
      </c>
      <c r="J57" s="43">
        <f>EN_04005_m</f>
        <v>0.1160964</v>
      </c>
      <c r="K57" s="43">
        <f>EN_04005_p</f>
        <v>2.1150000000000002</v>
      </c>
      <c r="L57" s="43">
        <v>0</v>
      </c>
      <c r="M57" s="43">
        <v>0</v>
      </c>
      <c r="N57" s="42">
        <f t="shared" si="3"/>
        <v>2.2310964000000002</v>
      </c>
      <c r="O57" s="41"/>
    </row>
    <row r="58" spans="1:15" ht="15" x14ac:dyDescent="0.25">
      <c r="A58" s="50">
        <v>51</v>
      </c>
      <c r="B58" s="48" t="s">
        <v>21</v>
      </c>
      <c r="C58" s="49" t="str">
        <f>EN_04006</f>
        <v>EN 04006</v>
      </c>
      <c r="D58" s="46" t="s">
        <v>23</v>
      </c>
      <c r="E58" s="48" t="s">
        <v>31</v>
      </c>
      <c r="F58" s="47" t="str">
        <f>'EN Parts'!B660</f>
        <v>Fuel rail mount 2</v>
      </c>
      <c r="G58" s="46"/>
      <c r="H58" s="45">
        <f t="shared" si="2"/>
        <v>2.2310964000000002</v>
      </c>
      <c r="I58" s="44">
        <f>EN_A0004_q*EN_04006_q</f>
        <v>1</v>
      </c>
      <c r="J58" s="43">
        <f>EN_04006_m</f>
        <v>0.1160964</v>
      </c>
      <c r="K58" s="43">
        <f>EN_04006_p</f>
        <v>2.1150000000000002</v>
      </c>
      <c r="L58" s="43">
        <v>0</v>
      </c>
      <c r="M58" s="43">
        <v>0</v>
      </c>
      <c r="N58" s="42">
        <f t="shared" si="3"/>
        <v>2.2310964000000002</v>
      </c>
      <c r="O58" s="41"/>
    </row>
    <row r="59" spans="1:15" ht="15" x14ac:dyDescent="0.25">
      <c r="A59" s="60">
        <v>52</v>
      </c>
      <c r="B59" s="58" t="s">
        <v>21</v>
      </c>
      <c r="C59" s="59" t="str">
        <f>EN_A0005</f>
        <v>EN A0005</v>
      </c>
      <c r="D59" s="56" t="s">
        <v>23</v>
      </c>
      <c r="E59" s="58"/>
      <c r="F59" s="57" t="str">
        <f>'EN Assemblies'!B231</f>
        <v>Intake system</v>
      </c>
      <c r="G59" s="56"/>
      <c r="H59" s="55">
        <f t="shared" si="2"/>
        <v>50.760000000000005</v>
      </c>
      <c r="I59" s="54">
        <f>EN_A0005_q</f>
        <v>1</v>
      </c>
      <c r="J59" s="53">
        <f>EN_A0005_m</f>
        <v>0</v>
      </c>
      <c r="K59" s="53">
        <f>EN_A0005_p</f>
        <v>31.44</v>
      </c>
      <c r="L59" s="53">
        <f>EN_A0005_f</f>
        <v>19.32</v>
      </c>
      <c r="M59" s="53">
        <v>0</v>
      </c>
      <c r="N59" s="52">
        <f t="shared" si="3"/>
        <v>50.760000000000005</v>
      </c>
      <c r="O59" s="51"/>
    </row>
    <row r="60" spans="1:15" ht="15" x14ac:dyDescent="0.25">
      <c r="A60" s="50">
        <v>53</v>
      </c>
      <c r="B60" s="48" t="s">
        <v>21</v>
      </c>
      <c r="C60" s="49" t="str">
        <f>EN_05001</f>
        <v>EN 05001</v>
      </c>
      <c r="D60" s="46" t="s">
        <v>23</v>
      </c>
      <c r="E60" s="48" t="s">
        <v>30</v>
      </c>
      <c r="F60" s="47" t="str">
        <f>'EN Parts'!B681</f>
        <v>Plenum</v>
      </c>
      <c r="G60" s="46"/>
      <c r="H60" s="45">
        <f t="shared" si="2"/>
        <v>11.745000000000001</v>
      </c>
      <c r="I60" s="44">
        <f>EN_A0005_q*EN_05002_q</f>
        <v>1</v>
      </c>
      <c r="J60" s="43">
        <f>EN_05001_m</f>
        <v>1.089</v>
      </c>
      <c r="K60" s="43">
        <f>EN_05001_p</f>
        <v>10.656000000000001</v>
      </c>
      <c r="L60" s="43">
        <v>0</v>
      </c>
      <c r="M60" s="43">
        <v>0</v>
      </c>
      <c r="N60" s="42">
        <f t="shared" si="3"/>
        <v>11.745000000000001</v>
      </c>
      <c r="O60" s="41"/>
    </row>
    <row r="61" spans="1:15" ht="15" x14ac:dyDescent="0.25">
      <c r="A61" s="50">
        <v>54</v>
      </c>
      <c r="B61" s="48" t="s">
        <v>21</v>
      </c>
      <c r="C61" s="49" t="str">
        <f>EN_05002</f>
        <v>EN 05002</v>
      </c>
      <c r="D61" s="46" t="s">
        <v>23</v>
      </c>
      <c r="E61" s="48" t="s">
        <v>30</v>
      </c>
      <c r="F61" s="47" t="str">
        <f>'EN Parts'!B700</f>
        <v>Plenum plate</v>
      </c>
      <c r="G61" s="46"/>
      <c r="H61" s="45">
        <f t="shared" ref="H61:H92" si="5">SUM(J61:M61)</f>
        <v>3.3047023999999996</v>
      </c>
      <c r="I61" s="44">
        <f>EN_A0005_q*EN_05002_q</f>
        <v>1</v>
      </c>
      <c r="J61" s="43">
        <f>EN_05002_m</f>
        <v>0.49170239999999998</v>
      </c>
      <c r="K61" s="43">
        <f>EN_05002_p</f>
        <v>2.8129999999999997</v>
      </c>
      <c r="L61" s="43">
        <v>0</v>
      </c>
      <c r="M61" s="43">
        <v>0</v>
      </c>
      <c r="N61" s="42">
        <f t="shared" ref="N61:N92" si="6">H61*I61</f>
        <v>3.3047023999999996</v>
      </c>
      <c r="O61" s="41"/>
    </row>
    <row r="62" spans="1:15" ht="15" x14ac:dyDescent="0.25">
      <c r="A62" s="50">
        <v>55</v>
      </c>
      <c r="B62" s="48" t="s">
        <v>21</v>
      </c>
      <c r="C62" s="49" t="str">
        <f>EN_05003</f>
        <v>EN 05003</v>
      </c>
      <c r="D62" s="46" t="s">
        <v>23</v>
      </c>
      <c r="E62" s="48" t="s">
        <v>30</v>
      </c>
      <c r="F62" s="47" t="str">
        <f>'EN Parts'!B720</f>
        <v>Inlet pipes</v>
      </c>
      <c r="G62" s="46"/>
      <c r="H62" s="45">
        <f t="shared" si="5"/>
        <v>10.095799999999999</v>
      </c>
      <c r="I62" s="44">
        <f>EN_A0005_q*EN_05003_q</f>
        <v>1</v>
      </c>
      <c r="J62" s="43">
        <f>EN_05003_m</f>
        <v>0.94379999999999986</v>
      </c>
      <c r="K62" s="43">
        <f>EN_05003_p</f>
        <v>9.1519999999999992</v>
      </c>
      <c r="L62" s="43">
        <v>0</v>
      </c>
      <c r="M62" s="43">
        <v>0</v>
      </c>
      <c r="N62" s="42">
        <f t="shared" si="6"/>
        <v>10.095799999999999</v>
      </c>
      <c r="O62" s="41"/>
    </row>
    <row r="63" spans="1:15" ht="15" x14ac:dyDescent="0.25">
      <c r="A63" s="50">
        <v>56</v>
      </c>
      <c r="B63" s="48" t="s">
        <v>21</v>
      </c>
      <c r="C63" s="49" t="str">
        <f>EN_05004</f>
        <v>EN 05004</v>
      </c>
      <c r="D63" s="46" t="s">
        <v>23</v>
      </c>
      <c r="E63" s="48" t="s">
        <v>30</v>
      </c>
      <c r="F63" s="47" t="str">
        <f>'EN Parts'!B739</f>
        <v>Pipe end</v>
      </c>
      <c r="G63" s="46"/>
      <c r="H63" s="45">
        <f t="shared" si="5"/>
        <v>1.9768000000000001</v>
      </c>
      <c r="I63" s="44">
        <f>EN_A0005_q*EN_05004_q</f>
        <v>4</v>
      </c>
      <c r="J63" s="43">
        <f>EN_05004_m</f>
        <v>0.18479999999999999</v>
      </c>
      <c r="K63" s="43">
        <f>EN_05004_p</f>
        <v>1.792</v>
      </c>
      <c r="L63" s="43">
        <v>0</v>
      </c>
      <c r="M63" s="43">
        <v>0</v>
      </c>
      <c r="N63" s="42">
        <f t="shared" si="6"/>
        <v>7.9072000000000005</v>
      </c>
      <c r="O63" s="41"/>
    </row>
    <row r="64" spans="1:15" ht="15" x14ac:dyDescent="0.25">
      <c r="A64" s="50">
        <v>57</v>
      </c>
      <c r="B64" s="48" t="s">
        <v>21</v>
      </c>
      <c r="C64" s="49" t="str">
        <f>EN_05005</f>
        <v>EN 05005</v>
      </c>
      <c r="D64" s="46" t="s">
        <v>23</v>
      </c>
      <c r="E64" s="48" t="s">
        <v>30</v>
      </c>
      <c r="F64" s="47" t="str">
        <f>'EN Parts'!B758</f>
        <v>Plenum mounts</v>
      </c>
      <c r="G64" s="46"/>
      <c r="H64" s="45">
        <f t="shared" si="5"/>
        <v>3.1919996800000003</v>
      </c>
      <c r="I64" s="44">
        <f>EN_A0005_q*EN_05005_q</f>
        <v>1</v>
      </c>
      <c r="J64" s="43">
        <f>EN_05005_m</f>
        <v>3.1999679999999996E-2</v>
      </c>
      <c r="K64" s="43">
        <f>EN_05005_p</f>
        <v>3.16</v>
      </c>
      <c r="L64" s="43">
        <v>0</v>
      </c>
      <c r="M64" s="43">
        <v>0</v>
      </c>
      <c r="N64" s="42">
        <f t="shared" si="6"/>
        <v>3.1919996800000003</v>
      </c>
      <c r="O64" s="41"/>
    </row>
    <row r="65" spans="1:15" ht="15" x14ac:dyDescent="0.25">
      <c r="A65" s="50">
        <v>58</v>
      </c>
      <c r="B65" s="48" t="s">
        <v>21</v>
      </c>
      <c r="C65" s="49" t="str">
        <f>EN_05006</f>
        <v>EN 05006</v>
      </c>
      <c r="D65" s="46" t="s">
        <v>23</v>
      </c>
      <c r="E65" s="48" t="s">
        <v>30</v>
      </c>
      <c r="F65" s="47" t="str">
        <f>'EN Parts'!B779</f>
        <v>Rubber brushing</v>
      </c>
      <c r="G65" s="46"/>
      <c r="H65" s="45">
        <f t="shared" si="5"/>
        <v>2.9402432000000003</v>
      </c>
      <c r="I65" s="44">
        <f>EN_A0005_q*EN_05006_q</f>
        <v>2</v>
      </c>
      <c r="J65" s="43">
        <f>EN_05006_m</f>
        <v>0.16024319999999997</v>
      </c>
      <c r="K65" s="43">
        <f>EN_05006_p</f>
        <v>2.7800000000000002</v>
      </c>
      <c r="L65" s="43">
        <v>0</v>
      </c>
      <c r="M65" s="43">
        <v>0</v>
      </c>
      <c r="N65" s="42">
        <f t="shared" si="6"/>
        <v>5.8804864000000006</v>
      </c>
      <c r="O65" s="41"/>
    </row>
    <row r="66" spans="1:15" ht="15" x14ac:dyDescent="0.25">
      <c r="A66" s="60">
        <v>59</v>
      </c>
      <c r="B66" s="58" t="s">
        <v>21</v>
      </c>
      <c r="C66" s="59" t="str">
        <f>EN_A0006</f>
        <v>EN A0006</v>
      </c>
      <c r="D66" s="56" t="s">
        <v>23</v>
      </c>
      <c r="E66" s="58"/>
      <c r="F66" s="57" t="str">
        <f>'EN Assemblies'!B281</f>
        <v>Throttle body</v>
      </c>
      <c r="G66" s="56"/>
      <c r="H66" s="55">
        <f t="shared" si="5"/>
        <v>125.35999999999999</v>
      </c>
      <c r="I66" s="54">
        <f>EN_A0006_q</f>
        <v>1</v>
      </c>
      <c r="J66" s="54">
        <f>EN_A0006_m</f>
        <v>118.6</v>
      </c>
      <c r="K66" s="54">
        <f>EN_A0006_p</f>
        <v>5.7399999999999993</v>
      </c>
      <c r="L66" s="54">
        <f>EN_A0006_f</f>
        <v>1.02</v>
      </c>
      <c r="M66" s="54">
        <v>0</v>
      </c>
      <c r="N66" s="52">
        <f t="shared" si="6"/>
        <v>125.35999999999999</v>
      </c>
      <c r="O66" s="51"/>
    </row>
    <row r="67" spans="1:15" ht="15" x14ac:dyDescent="0.25">
      <c r="A67" s="50">
        <v>60</v>
      </c>
      <c r="B67" s="48" t="s">
        <v>21</v>
      </c>
      <c r="C67" s="49" t="str">
        <f>EN_06001</f>
        <v>EN 06001</v>
      </c>
      <c r="D67" s="46" t="s">
        <v>23</v>
      </c>
      <c r="E67" s="48" t="s">
        <v>29</v>
      </c>
      <c r="F67" s="47" t="str">
        <f>'EN Parts'!B803</f>
        <v>Throttle flange</v>
      </c>
      <c r="G67" s="46"/>
      <c r="H67" s="45">
        <f t="shared" si="5"/>
        <v>5.1784480000000004</v>
      </c>
      <c r="I67" s="44">
        <f>EN_A0006_q*EN_06001_q</f>
        <v>1</v>
      </c>
      <c r="J67" s="43">
        <f>EN_06001_m</f>
        <v>0.7284480000000001</v>
      </c>
      <c r="K67" s="43">
        <f>EN_06001_p</f>
        <v>4.45</v>
      </c>
      <c r="L67" s="43">
        <v>0</v>
      </c>
      <c r="M67" s="43">
        <v>0</v>
      </c>
      <c r="N67" s="42">
        <f t="shared" si="6"/>
        <v>5.1784480000000004</v>
      </c>
      <c r="O67" s="41"/>
    </row>
    <row r="68" spans="1:15" ht="15" x14ac:dyDescent="0.25">
      <c r="A68" s="50">
        <v>61</v>
      </c>
      <c r="B68" s="48" t="s">
        <v>21</v>
      </c>
      <c r="C68" s="49" t="str">
        <f>EN_06002</f>
        <v>EN 06002</v>
      </c>
      <c r="D68" s="46" t="s">
        <v>23</v>
      </c>
      <c r="E68" s="48" t="s">
        <v>29</v>
      </c>
      <c r="F68" s="47" t="str">
        <f>'EN Parts'!B824</f>
        <v>Restrictor</v>
      </c>
      <c r="G68" s="46"/>
      <c r="H68" s="45">
        <f t="shared" si="5"/>
        <v>5.7261110680000007</v>
      </c>
      <c r="I68" s="44">
        <f>EN_A0006_q*EN_06002_q</f>
        <v>1</v>
      </c>
      <c r="J68" s="43">
        <f>EN_06002_m</f>
        <v>1.5761110680000001</v>
      </c>
      <c r="K68" s="43">
        <f>EN_06002_p</f>
        <v>4.1500000000000004</v>
      </c>
      <c r="L68" s="43">
        <v>0</v>
      </c>
      <c r="M68" s="43">
        <v>0</v>
      </c>
      <c r="N68" s="42">
        <f t="shared" si="6"/>
        <v>5.7261110680000007</v>
      </c>
      <c r="O68" s="41"/>
    </row>
    <row r="69" spans="1:15" ht="15" x14ac:dyDescent="0.25">
      <c r="A69" s="50">
        <v>62</v>
      </c>
      <c r="B69" s="48" t="s">
        <v>21</v>
      </c>
      <c r="C69" s="49" t="str">
        <f>EN_06003</f>
        <v>EN 06003</v>
      </c>
      <c r="D69" s="46" t="s">
        <v>23</v>
      </c>
      <c r="E69" s="48" t="s">
        <v>29</v>
      </c>
      <c r="F69" s="47" t="str">
        <f>'EN Parts'!B846</f>
        <v>Throttle housing</v>
      </c>
      <c r="G69" s="46"/>
      <c r="H69" s="45">
        <f t="shared" si="5"/>
        <v>4.2751134999999998</v>
      </c>
      <c r="I69" s="44">
        <f>EN_A0006_q*EN_06003_q</f>
        <v>1</v>
      </c>
      <c r="J69" s="43">
        <f>EN_06003_m</f>
        <v>0.84511349999999985</v>
      </c>
      <c r="K69" s="43">
        <f>EN_06003_p</f>
        <v>3.4299999999999997</v>
      </c>
      <c r="L69" s="43">
        <v>0</v>
      </c>
      <c r="M69" s="43">
        <v>0</v>
      </c>
      <c r="N69" s="42">
        <f t="shared" si="6"/>
        <v>4.2751134999999998</v>
      </c>
      <c r="O69" s="41"/>
    </row>
    <row r="70" spans="1:15" ht="15" x14ac:dyDescent="0.25">
      <c r="A70" s="50">
        <v>63</v>
      </c>
      <c r="B70" s="48" t="s">
        <v>21</v>
      </c>
      <c r="C70" s="49" t="str">
        <f>EN_06004</f>
        <v>EN 06004</v>
      </c>
      <c r="D70" s="46" t="s">
        <v>23</v>
      </c>
      <c r="E70" s="48" t="s">
        <v>29</v>
      </c>
      <c r="F70" s="47" t="str">
        <f>'EN Parts'!B868</f>
        <v>Throttle axle</v>
      </c>
      <c r="G70" s="46"/>
      <c r="H70" s="45">
        <f t="shared" si="5"/>
        <v>2.7255590660787354</v>
      </c>
      <c r="I70" s="44">
        <f>EN_A0006_q*EN_06004_q</f>
        <v>1</v>
      </c>
      <c r="J70" s="43">
        <f>EN_06004_m</f>
        <v>5.5559066078735488E-2</v>
      </c>
      <c r="K70" s="43">
        <f>EN_06004_p</f>
        <v>2.67</v>
      </c>
      <c r="L70" s="43">
        <v>0</v>
      </c>
      <c r="M70" s="43">
        <v>0</v>
      </c>
      <c r="N70" s="42">
        <f t="shared" si="6"/>
        <v>2.7255590660787354</v>
      </c>
      <c r="O70" s="41"/>
    </row>
    <row r="71" spans="1:15" ht="15" x14ac:dyDescent="0.25">
      <c r="A71" s="50">
        <v>64</v>
      </c>
      <c r="B71" s="48" t="s">
        <v>21</v>
      </c>
      <c r="C71" s="49" t="str">
        <f>EN_06005</f>
        <v>EN 06005</v>
      </c>
      <c r="D71" s="46" t="s">
        <v>23</v>
      </c>
      <c r="E71" s="48" t="s">
        <v>29</v>
      </c>
      <c r="F71" s="47" t="str">
        <f>'EN Parts'!B890</f>
        <v>TPS axle</v>
      </c>
      <c r="G71" s="46"/>
      <c r="H71" s="45">
        <f t="shared" si="5"/>
        <v>2.7116692995590514</v>
      </c>
      <c r="I71" s="44">
        <f>EN_A0006_q*EN_06005_q</f>
        <v>1</v>
      </c>
      <c r="J71" s="43">
        <f>EN_06005_m</f>
        <v>4.166929955905161E-2</v>
      </c>
      <c r="K71" s="43">
        <f>EN_06005_p</f>
        <v>2.67</v>
      </c>
      <c r="L71" s="43">
        <v>0</v>
      </c>
      <c r="M71" s="43">
        <v>0</v>
      </c>
      <c r="N71" s="42">
        <f t="shared" si="6"/>
        <v>2.7116692995590514</v>
      </c>
      <c r="O71" s="41"/>
    </row>
    <row r="72" spans="1:15" ht="15" x14ac:dyDescent="0.25">
      <c r="A72" s="50">
        <v>65</v>
      </c>
      <c r="B72" s="48" t="s">
        <v>21</v>
      </c>
      <c r="C72" s="49" t="str">
        <f>EN_06006</f>
        <v>EN 06006</v>
      </c>
      <c r="D72" s="46" t="s">
        <v>23</v>
      </c>
      <c r="E72" s="48" t="s">
        <v>29</v>
      </c>
      <c r="F72" s="47" t="str">
        <f>'EN Parts'!B912</f>
        <v>Throttle plate</v>
      </c>
      <c r="G72" s="46"/>
      <c r="H72" s="45">
        <f t="shared" si="5"/>
        <v>1.4911156045807814</v>
      </c>
      <c r="I72" s="44">
        <f>EN_A0006_q*EN_06006_q</f>
        <v>1</v>
      </c>
      <c r="J72" s="43">
        <f>EN_06006_m</f>
        <v>7.1115604580781436E-2</v>
      </c>
      <c r="K72" s="43">
        <f>EN_06006_p</f>
        <v>1.42</v>
      </c>
      <c r="L72" s="43">
        <v>0</v>
      </c>
      <c r="M72" s="43">
        <v>0</v>
      </c>
      <c r="N72" s="42">
        <f t="shared" si="6"/>
        <v>1.4911156045807814</v>
      </c>
      <c r="O72" s="41"/>
    </row>
    <row r="73" spans="1:15" ht="15" x14ac:dyDescent="0.25">
      <c r="A73" s="50">
        <v>66</v>
      </c>
      <c r="B73" s="48" t="s">
        <v>21</v>
      </c>
      <c r="C73" s="49" t="str">
        <f>EN_06007</f>
        <v>EN 06007</v>
      </c>
      <c r="D73" s="46" t="s">
        <v>23</v>
      </c>
      <c r="E73" s="48" t="s">
        <v>29</v>
      </c>
      <c r="F73" s="47" t="str">
        <f>'EN Parts'!B932</f>
        <v>Cable housing</v>
      </c>
      <c r="G73" s="46"/>
      <c r="H73" s="45">
        <f t="shared" si="5"/>
        <v>4.5697760000000001</v>
      </c>
      <c r="I73" s="44">
        <f>EN_A0006_q*EN_06007_q</f>
        <v>1</v>
      </c>
      <c r="J73" s="43">
        <f>EN_06007_m</f>
        <v>0.16977600000000001</v>
      </c>
      <c r="K73" s="43">
        <f>En_06007_p</f>
        <v>3.4</v>
      </c>
      <c r="L73" s="43">
        <v>0</v>
      </c>
      <c r="M73" s="43">
        <f>EN_06007_t</f>
        <v>1</v>
      </c>
      <c r="N73" s="42">
        <f t="shared" si="6"/>
        <v>4.5697760000000001</v>
      </c>
      <c r="O73" s="41"/>
    </row>
    <row r="74" spans="1:15" ht="15" x14ac:dyDescent="0.25">
      <c r="A74" s="50">
        <v>67</v>
      </c>
      <c r="B74" s="48" t="s">
        <v>21</v>
      </c>
      <c r="C74" s="49" t="str">
        <f>EN_06008</f>
        <v>EN 06008</v>
      </c>
      <c r="D74" s="46" t="s">
        <v>23</v>
      </c>
      <c r="E74" s="48" t="s">
        <v>29</v>
      </c>
      <c r="F74" s="47" t="str">
        <f>'EN Parts'!B957</f>
        <v>Axle stop</v>
      </c>
      <c r="G74" s="46"/>
      <c r="H74" s="45">
        <f t="shared" si="5"/>
        <v>2.0404331222440728</v>
      </c>
      <c r="I74" s="44">
        <f>EN_A0006_q*EN_06008_q</f>
        <v>1</v>
      </c>
      <c r="J74" s="43">
        <f>EN_06008_m</f>
        <v>0.26043312224407261</v>
      </c>
      <c r="K74" s="43">
        <f>EN_06008_p</f>
        <v>1.78</v>
      </c>
      <c r="L74" s="43">
        <v>0</v>
      </c>
      <c r="M74" s="43">
        <v>0</v>
      </c>
      <c r="N74" s="42">
        <f t="shared" si="6"/>
        <v>2.0404331222440728</v>
      </c>
      <c r="O74" s="41"/>
    </row>
    <row r="75" spans="1:15" ht="15" x14ac:dyDescent="0.25">
      <c r="A75" s="50">
        <v>68</v>
      </c>
      <c r="B75" s="48" t="s">
        <v>21</v>
      </c>
      <c r="C75" s="49" t="str">
        <f>EN_06009</f>
        <v>EN 06009</v>
      </c>
      <c r="D75" s="46" t="s">
        <v>23</v>
      </c>
      <c r="E75" s="48" t="s">
        <v>29</v>
      </c>
      <c r="F75" s="47" t="str">
        <f>'EN Parts'!B977</f>
        <v>Ram pipe</v>
      </c>
      <c r="G75" s="46"/>
      <c r="H75" s="45">
        <f t="shared" si="5"/>
        <v>12.504852049313811</v>
      </c>
      <c r="I75" s="44">
        <f>EN_A0006_q*EN_06009_q</f>
        <v>1</v>
      </c>
      <c r="J75" s="43">
        <f>EN_06009_m</f>
        <v>4.0048520493138122</v>
      </c>
      <c r="K75" s="43">
        <f>EN_06009_p</f>
        <v>8.5</v>
      </c>
      <c r="L75" s="43">
        <v>0</v>
      </c>
      <c r="M75" s="43">
        <v>0</v>
      </c>
      <c r="N75" s="42">
        <f t="shared" si="6"/>
        <v>12.504852049313811</v>
      </c>
      <c r="O75" s="41"/>
    </row>
    <row r="76" spans="1:15" ht="15" x14ac:dyDescent="0.25">
      <c r="A76" s="60">
        <v>69</v>
      </c>
      <c r="B76" s="58" t="s">
        <v>21</v>
      </c>
      <c r="C76" s="59" t="str">
        <f>EN_A0007</f>
        <v>EN A0007</v>
      </c>
      <c r="D76" s="56" t="s">
        <v>23</v>
      </c>
      <c r="E76" s="58"/>
      <c r="F76" s="57" t="str">
        <f>'EN Assemblies'!B346</f>
        <v>Catch cans assembly</v>
      </c>
      <c r="G76" s="56"/>
      <c r="H76" s="55">
        <f t="shared" si="5"/>
        <v>44.876899999999999</v>
      </c>
      <c r="I76" s="54">
        <f>EN_A0007_q</f>
        <v>1</v>
      </c>
      <c r="J76" s="53">
        <f>EN_A0007_m</f>
        <v>37.5869</v>
      </c>
      <c r="K76" s="53">
        <f>EN_A0007_p</f>
        <v>5.97</v>
      </c>
      <c r="L76" s="53">
        <f>EN_A0007_f</f>
        <v>1.32</v>
      </c>
      <c r="M76" s="53">
        <v>0</v>
      </c>
      <c r="N76" s="52">
        <f t="shared" si="6"/>
        <v>44.876899999999999</v>
      </c>
      <c r="O76" s="51"/>
    </row>
    <row r="77" spans="1:15" ht="15" x14ac:dyDescent="0.25">
      <c r="A77" s="50">
        <v>70</v>
      </c>
      <c r="B77" s="48" t="s">
        <v>21</v>
      </c>
      <c r="C77" s="49" t="str">
        <f>EN_07001</f>
        <v>EN 07001</v>
      </c>
      <c r="D77" s="46" t="s">
        <v>23</v>
      </c>
      <c r="E77" s="48" t="s">
        <v>28</v>
      </c>
      <c r="F77" s="47" t="str">
        <f>'EN Parts'!B997</f>
        <v>Catch cans tabs</v>
      </c>
      <c r="G77" s="46"/>
      <c r="H77" s="45">
        <f t="shared" si="5"/>
        <v>3.3998370000000002</v>
      </c>
      <c r="I77" s="44">
        <f>EN_A0007_q*EN_07001_q</f>
        <v>1</v>
      </c>
      <c r="J77" s="43">
        <f>EN_07001_m</f>
        <v>3.9837000000000011E-2</v>
      </c>
      <c r="K77" s="43">
        <f>EN_07001_p</f>
        <v>3.3600000000000003</v>
      </c>
      <c r="L77" s="43">
        <v>0</v>
      </c>
      <c r="M77" s="43">
        <v>0</v>
      </c>
      <c r="N77" s="42">
        <f t="shared" si="6"/>
        <v>3.3998370000000002</v>
      </c>
      <c r="O77" s="41"/>
    </row>
    <row r="78" spans="1:15" ht="15" x14ac:dyDescent="0.25">
      <c r="A78" s="50">
        <v>71</v>
      </c>
      <c r="B78" s="48" t="s">
        <v>21</v>
      </c>
      <c r="C78" s="49" t="str">
        <f>EN_07002</f>
        <v>EN 07002</v>
      </c>
      <c r="D78" s="46" t="s">
        <v>23</v>
      </c>
      <c r="E78" s="48" t="s">
        <v>28</v>
      </c>
      <c r="F78" s="47" t="str">
        <f>'EN Parts'!B1018</f>
        <v>Cans fittings</v>
      </c>
      <c r="G78" s="46"/>
      <c r="H78" s="45">
        <f t="shared" si="5"/>
        <v>31.286599999999996</v>
      </c>
      <c r="I78" s="44">
        <f>EN_A0007_q*EN_07002_q</f>
        <v>1</v>
      </c>
      <c r="J78" s="43">
        <f>EN_07002_m</f>
        <v>5.516</v>
      </c>
      <c r="K78" s="43">
        <f>EN_07002_p</f>
        <v>25.747999999999998</v>
      </c>
      <c r="L78" s="43">
        <v>0</v>
      </c>
      <c r="M78" s="43">
        <f>EN_07002_t</f>
        <v>2.2599999999999999E-2</v>
      </c>
      <c r="N78" s="42">
        <f t="shared" si="6"/>
        <v>31.286599999999996</v>
      </c>
      <c r="O78" s="41"/>
    </row>
    <row r="79" spans="1:15" ht="15" x14ac:dyDescent="0.25">
      <c r="A79" s="60">
        <v>72</v>
      </c>
      <c r="B79" s="58" t="s">
        <v>21</v>
      </c>
      <c r="C79" s="59" t="str">
        <f>EN_A0008</f>
        <v>EN A0008</v>
      </c>
      <c r="D79" s="56" t="s">
        <v>23</v>
      </c>
      <c r="E79" s="58"/>
      <c r="F79" s="57" t="str">
        <f>'EN Assemblies'!B387</f>
        <v>Cooling system</v>
      </c>
      <c r="G79" s="56"/>
      <c r="H79" s="55">
        <f t="shared" si="5"/>
        <v>46.146666666666668</v>
      </c>
      <c r="I79" s="54">
        <f>EN_A0008_q</f>
        <v>1</v>
      </c>
      <c r="J79" s="53">
        <f>EN_A0008_m</f>
        <v>27</v>
      </c>
      <c r="K79" s="53">
        <f>EN_A0008_p</f>
        <v>14.88</v>
      </c>
      <c r="L79" s="53">
        <f>EN_A0008_f</f>
        <v>1.6</v>
      </c>
      <c r="M79" s="53">
        <f>EN_A0008_t</f>
        <v>2.6666666666666665</v>
      </c>
      <c r="N79" s="52">
        <f t="shared" si="6"/>
        <v>46.146666666666668</v>
      </c>
      <c r="O79" s="51"/>
    </row>
    <row r="80" spans="1:15" ht="15" x14ac:dyDescent="0.25">
      <c r="A80" s="50">
        <v>73</v>
      </c>
      <c r="B80" s="48" t="s">
        <v>21</v>
      </c>
      <c r="C80" s="49" t="str">
        <f>EN_08001</f>
        <v>EN 08001</v>
      </c>
      <c r="D80" s="46" t="s">
        <v>23</v>
      </c>
      <c r="E80" s="48" t="s">
        <v>27</v>
      </c>
      <c r="F80" s="47" t="str">
        <f>'EN Parts'!B1045</f>
        <v>Coolant lines</v>
      </c>
      <c r="G80" s="46"/>
      <c r="H80" s="45">
        <f t="shared" si="5"/>
        <v>23.156734125</v>
      </c>
      <c r="I80" s="44">
        <f>EN_A0008_q*EN_08001_q</f>
        <v>1</v>
      </c>
      <c r="J80" s="43">
        <f>EN_08001_m</f>
        <v>9.1767341250000012</v>
      </c>
      <c r="K80" s="43">
        <f>EN_08001_p</f>
        <v>11.58</v>
      </c>
      <c r="L80" s="43">
        <f>EN_08001_f</f>
        <v>2.4</v>
      </c>
      <c r="M80" s="43">
        <v>0</v>
      </c>
      <c r="N80" s="42">
        <f t="shared" si="6"/>
        <v>23.156734125</v>
      </c>
      <c r="O80" s="41"/>
    </row>
    <row r="81" spans="1:15" ht="15" x14ac:dyDescent="0.25">
      <c r="A81" s="50">
        <v>74</v>
      </c>
      <c r="B81" s="48" t="s">
        <v>21</v>
      </c>
      <c r="C81" s="49" t="str">
        <f>EN_08002</f>
        <v>EN 08002</v>
      </c>
      <c r="D81" s="46" t="s">
        <v>23</v>
      </c>
      <c r="E81" s="48" t="s">
        <v>27</v>
      </c>
      <c r="F81" s="47" t="str">
        <f>'EN Parts'!B1072</f>
        <v>Radiator</v>
      </c>
      <c r="G81" s="46"/>
      <c r="H81" s="45">
        <f t="shared" si="5"/>
        <v>11.843999999999999</v>
      </c>
      <c r="I81" s="44">
        <f>EN_A0008_q*EN_08002_q</f>
        <v>2</v>
      </c>
      <c r="J81" s="43">
        <f>EN_08002_m</f>
        <v>11.843999999999999</v>
      </c>
      <c r="K81" s="43">
        <v>0</v>
      </c>
      <c r="L81" s="43">
        <v>0</v>
      </c>
      <c r="M81" s="43">
        <v>0</v>
      </c>
      <c r="N81" s="42">
        <f t="shared" si="6"/>
        <v>23.687999999999999</v>
      </c>
      <c r="O81" s="41"/>
    </row>
    <row r="82" spans="1:15" ht="15" x14ac:dyDescent="0.25">
      <c r="A82" s="50">
        <v>75</v>
      </c>
      <c r="B82" s="48" t="s">
        <v>21</v>
      </c>
      <c r="C82" s="49" t="str">
        <f>EN_08003</f>
        <v>EN 08003</v>
      </c>
      <c r="D82" s="46" t="s">
        <v>23</v>
      </c>
      <c r="E82" s="48" t="s">
        <v>27</v>
      </c>
      <c r="F82" s="47" t="str">
        <f>'EN Parts'!B1087</f>
        <v>Fan</v>
      </c>
      <c r="G82" s="46"/>
      <c r="H82" s="45">
        <f t="shared" si="5"/>
        <v>30.41</v>
      </c>
      <c r="I82" s="44">
        <f>EN_A0008_q*EN_08003_q</f>
        <v>1</v>
      </c>
      <c r="J82" s="43">
        <f>EN_08003_m</f>
        <v>30</v>
      </c>
      <c r="K82" s="43">
        <f>EN_08003_p</f>
        <v>0.37</v>
      </c>
      <c r="L82" s="43">
        <f>EN_08003_f</f>
        <v>0.04</v>
      </c>
      <c r="M82" s="43">
        <v>0</v>
      </c>
      <c r="N82" s="42">
        <f t="shared" si="6"/>
        <v>30.41</v>
      </c>
      <c r="O82" s="41"/>
    </row>
    <row r="83" spans="1:15" ht="15" x14ac:dyDescent="0.25">
      <c r="A83" s="50">
        <v>76</v>
      </c>
      <c r="B83" s="48" t="s">
        <v>21</v>
      </c>
      <c r="C83" s="49" t="str">
        <f>EN_08004</f>
        <v>EN 08004</v>
      </c>
      <c r="D83" s="46" t="s">
        <v>23</v>
      </c>
      <c r="E83" s="48" t="s">
        <v>27</v>
      </c>
      <c r="F83" s="47" t="str">
        <f>'EN Parts'!B1111</f>
        <v>Expansion tank</v>
      </c>
      <c r="G83" s="46"/>
      <c r="H83" s="45">
        <f t="shared" si="5"/>
        <v>21.602428873333334</v>
      </c>
      <c r="I83" s="44">
        <f>EN_A0008_q*EN_08004_q</f>
        <v>1</v>
      </c>
      <c r="J83" s="43">
        <f>EN_08004_m</f>
        <v>2.2387955399999999</v>
      </c>
      <c r="K83" s="43">
        <f>EN_08004_p</f>
        <v>17.5303</v>
      </c>
      <c r="L83" s="43">
        <v>0</v>
      </c>
      <c r="M83" s="43">
        <f>EN_08004_t</f>
        <v>1.8333333333333333</v>
      </c>
      <c r="N83" s="42">
        <f t="shared" si="6"/>
        <v>21.602428873333334</v>
      </c>
      <c r="O83" s="41"/>
    </row>
    <row r="84" spans="1:15" ht="15" x14ac:dyDescent="0.25">
      <c r="A84" s="50">
        <v>77</v>
      </c>
      <c r="B84" s="48" t="s">
        <v>21</v>
      </c>
      <c r="C84" s="49" t="str">
        <f>EN_08005</f>
        <v>EN 08005</v>
      </c>
      <c r="D84" s="46" t="s">
        <v>23</v>
      </c>
      <c r="E84" s="48" t="s">
        <v>27</v>
      </c>
      <c r="F84" s="47" t="str">
        <f>'EN Parts'!B1146</f>
        <v>Radiator upper tab</v>
      </c>
      <c r="G84" s="46"/>
      <c r="H84" s="45">
        <f t="shared" si="5"/>
        <v>1.7533264800000001</v>
      </c>
      <c r="I84" s="44">
        <f>EN_A0008_q*EN_08005_q</f>
        <v>1</v>
      </c>
      <c r="J84" s="43">
        <f>EN_08005_m</f>
        <v>3.7826480000000003E-2</v>
      </c>
      <c r="K84" s="43">
        <f>EN_08005_p</f>
        <v>1.7155</v>
      </c>
      <c r="L84" s="43">
        <v>0</v>
      </c>
      <c r="M84" s="43">
        <v>0</v>
      </c>
      <c r="N84" s="42">
        <f t="shared" si="6"/>
        <v>1.7533264800000001</v>
      </c>
      <c r="O84" s="41"/>
    </row>
    <row r="85" spans="1:15" ht="15" x14ac:dyDescent="0.25">
      <c r="A85" s="50">
        <v>78</v>
      </c>
      <c r="B85" s="48" t="s">
        <v>21</v>
      </c>
      <c r="C85" s="49" t="str">
        <f>EN_08006</f>
        <v>EN 08006</v>
      </c>
      <c r="D85" s="46" t="s">
        <v>23</v>
      </c>
      <c r="E85" s="48" t="s">
        <v>27</v>
      </c>
      <c r="F85" s="47" t="str">
        <f>'EN Parts'!B1168</f>
        <v>Radiator lower tab</v>
      </c>
      <c r="G85" s="46"/>
      <c r="H85" s="45">
        <f t="shared" si="5"/>
        <v>1.7072912499999999</v>
      </c>
      <c r="I85" s="44">
        <f>EN_A0008_q*EN_08006_q</f>
        <v>1</v>
      </c>
      <c r="J85" s="43">
        <f>EN_08006_m</f>
        <v>3.979125E-2</v>
      </c>
      <c r="K85" s="43">
        <f>EN_08006_p</f>
        <v>1.6675</v>
      </c>
      <c r="L85" s="43">
        <v>0</v>
      </c>
      <c r="M85" s="43">
        <v>0</v>
      </c>
      <c r="N85" s="42">
        <f t="shared" si="6"/>
        <v>1.7072912499999999</v>
      </c>
      <c r="O85" s="41"/>
    </row>
    <row r="86" spans="1:15" ht="15" x14ac:dyDescent="0.25">
      <c r="A86" s="50">
        <v>79</v>
      </c>
      <c r="B86" s="48" t="s">
        <v>21</v>
      </c>
      <c r="C86" s="49" t="str">
        <f>EN_08007</f>
        <v>EN 08007</v>
      </c>
      <c r="D86" s="46" t="s">
        <v>23</v>
      </c>
      <c r="E86" s="48" t="s">
        <v>27</v>
      </c>
      <c r="F86" s="47" t="str">
        <f>'EN Parts'!B1190</f>
        <v>Radiator lateral tab</v>
      </c>
      <c r="G86" s="46"/>
      <c r="H86" s="45">
        <f t="shared" si="5"/>
        <v>1.7530829999999999</v>
      </c>
      <c r="I86" s="44">
        <f>EN_A0008_q*EN_08007_q</f>
        <v>2</v>
      </c>
      <c r="J86" s="43">
        <f>EN_08007_m</f>
        <v>4.1833000000000002E-2</v>
      </c>
      <c r="K86" s="43">
        <f>EN_08007_p</f>
        <v>1.7112499999999999</v>
      </c>
      <c r="L86" s="43">
        <v>0</v>
      </c>
      <c r="M86" s="43">
        <v>0</v>
      </c>
      <c r="N86" s="42">
        <f t="shared" si="6"/>
        <v>3.5061659999999999</v>
      </c>
      <c r="O86" s="41"/>
    </row>
    <row r="87" spans="1:15" ht="15" x14ac:dyDescent="0.25">
      <c r="A87" s="50">
        <v>80</v>
      </c>
      <c r="B87" s="48" t="s">
        <v>21</v>
      </c>
      <c r="C87" s="49" t="str">
        <f>EN_08008</f>
        <v>EN 08008</v>
      </c>
      <c r="D87" s="46" t="s">
        <v>23</v>
      </c>
      <c r="E87" s="48" t="s">
        <v>27</v>
      </c>
      <c r="F87" s="47" t="str">
        <f>'EN Parts'!B1213</f>
        <v>Tube fittings</v>
      </c>
      <c r="G87" s="46"/>
      <c r="H87" s="45">
        <f t="shared" si="5"/>
        <v>2.933253712</v>
      </c>
      <c r="I87" s="44">
        <f>EN_A0008_q*EN_08008_q</f>
        <v>2</v>
      </c>
      <c r="J87" s="43">
        <f>EN_08008_m</f>
        <v>0.15725371199999999</v>
      </c>
      <c r="K87" s="43">
        <f>EN_08008_p</f>
        <v>2.7759999999999998</v>
      </c>
      <c r="L87" s="43">
        <v>0</v>
      </c>
      <c r="M87" s="43">
        <v>0</v>
      </c>
      <c r="N87" s="42">
        <f t="shared" si="6"/>
        <v>5.8665074239999999</v>
      </c>
      <c r="O87" s="41"/>
    </row>
    <row r="88" spans="1:15" ht="15" x14ac:dyDescent="0.25">
      <c r="A88" s="60">
        <v>81</v>
      </c>
      <c r="B88" s="58" t="s">
        <v>21</v>
      </c>
      <c r="C88" s="59" t="str">
        <f>EN_A0009</f>
        <v>EN A0009</v>
      </c>
      <c r="D88" s="56" t="s">
        <v>23</v>
      </c>
      <c r="E88" s="58"/>
      <c r="F88" s="57" t="str">
        <f>'EN Assemblies'!B439</f>
        <v>Shifter</v>
      </c>
      <c r="G88" s="56"/>
      <c r="H88" s="55">
        <f t="shared" si="5"/>
        <v>69.88358333333332</v>
      </c>
      <c r="I88" s="54">
        <f>EN_A0009_q</f>
        <v>1</v>
      </c>
      <c r="J88" s="54">
        <f>EN_A0009_m</f>
        <v>42.44</v>
      </c>
      <c r="K88" s="54">
        <f>EN_A0009_p</f>
        <v>26.700249999999997</v>
      </c>
      <c r="L88" s="54">
        <f>EN_A0009_f</f>
        <v>0.41000000000000003</v>
      </c>
      <c r="M88" s="54">
        <f>EN_A0009_t</f>
        <v>0.33333333333333331</v>
      </c>
      <c r="N88" s="52">
        <f t="shared" si="6"/>
        <v>69.88358333333332</v>
      </c>
      <c r="O88" s="51"/>
    </row>
    <row r="89" spans="1:15" ht="15" x14ac:dyDescent="0.25">
      <c r="A89" s="50">
        <v>82</v>
      </c>
      <c r="B89" s="48" t="s">
        <v>21</v>
      </c>
      <c r="C89" s="49" t="str">
        <f>EN_09001</f>
        <v>EN 09001</v>
      </c>
      <c r="D89" s="46" t="s">
        <v>23</v>
      </c>
      <c r="E89" s="48" t="s">
        <v>26</v>
      </c>
      <c r="F89" s="47" t="str">
        <f>'EN Parts'!B1235</f>
        <v>Engine Gearbox drum gear</v>
      </c>
      <c r="G89" s="46"/>
      <c r="H89" s="45">
        <f t="shared" si="5"/>
        <v>67.473779046899992</v>
      </c>
      <c r="I89" s="44">
        <f>EN_A0009_q*EN_09001_q</f>
        <v>1</v>
      </c>
      <c r="J89" s="43">
        <f>EN_09001_m</f>
        <v>1.6237790469</v>
      </c>
      <c r="K89" s="43">
        <f>EN_09001_p</f>
        <v>65.849999999999994</v>
      </c>
      <c r="L89" s="43">
        <v>0</v>
      </c>
      <c r="M89" s="43">
        <v>0</v>
      </c>
      <c r="N89" s="42">
        <f t="shared" si="6"/>
        <v>67.473779046899992</v>
      </c>
      <c r="O89" s="41"/>
    </row>
    <row r="90" spans="1:15" ht="15" x14ac:dyDescent="0.25">
      <c r="A90" s="50">
        <v>83</v>
      </c>
      <c r="B90" s="48" t="s">
        <v>21</v>
      </c>
      <c r="C90" s="49" t="str">
        <f>EN_09002</f>
        <v>EN 09002</v>
      </c>
      <c r="D90" s="46" t="s">
        <v>23</v>
      </c>
      <c r="E90" s="48" t="s">
        <v>26</v>
      </c>
      <c r="F90" s="47" t="str">
        <f>'EN Parts'!B1259</f>
        <v>Engine gearbox pinion shaft</v>
      </c>
      <c r="G90" s="46"/>
      <c r="H90" s="45">
        <f t="shared" si="5"/>
        <v>37.098439539899999</v>
      </c>
      <c r="I90" s="44">
        <f>EN_A0009_q*EN_09002_q</f>
        <v>1</v>
      </c>
      <c r="J90" s="43">
        <f>EN_09002_m</f>
        <v>2.3884395398999998</v>
      </c>
      <c r="K90" s="43">
        <f>EN_09002_p</f>
        <v>34.71</v>
      </c>
      <c r="L90" s="43">
        <v>0</v>
      </c>
      <c r="M90" s="43">
        <v>0</v>
      </c>
      <c r="N90" s="42">
        <f t="shared" si="6"/>
        <v>37.098439539899999</v>
      </c>
      <c r="O90" s="41"/>
    </row>
    <row r="91" spans="1:15" ht="15" x14ac:dyDescent="0.25">
      <c r="A91" s="50">
        <v>84</v>
      </c>
      <c r="B91" s="48" t="s">
        <v>21</v>
      </c>
      <c r="C91" s="49" t="str">
        <f>EN_09003</f>
        <v>EN 09003</v>
      </c>
      <c r="D91" s="46" t="s">
        <v>23</v>
      </c>
      <c r="E91" s="48" t="s">
        <v>26</v>
      </c>
      <c r="F91" s="47" t="str">
        <f>'EN Parts'!B1282</f>
        <v>Engine gearbox actuator tab</v>
      </c>
      <c r="G91" s="46"/>
      <c r="H91" s="45">
        <f t="shared" si="5"/>
        <v>1.8851498050000002</v>
      </c>
      <c r="I91" s="44">
        <f>EN_A0009_q*EN_09003_q</f>
        <v>1</v>
      </c>
      <c r="J91" s="43">
        <f>EN_09003_m</f>
        <v>4.5149805000000001E-2</v>
      </c>
      <c r="K91" s="43">
        <f>EN_09003_p</f>
        <v>1.84</v>
      </c>
      <c r="L91" s="43">
        <v>0</v>
      </c>
      <c r="M91" s="43">
        <v>0</v>
      </c>
      <c r="N91" s="42">
        <f t="shared" si="6"/>
        <v>1.8851498050000002</v>
      </c>
      <c r="O91" s="41"/>
    </row>
    <row r="92" spans="1:15" ht="15" x14ac:dyDescent="0.25">
      <c r="A92" s="50">
        <v>85</v>
      </c>
      <c r="B92" s="48" t="s">
        <v>21</v>
      </c>
      <c r="C92" s="49" t="str">
        <f>EN_09004</f>
        <v>EN 09004</v>
      </c>
      <c r="D92" s="46" t="s">
        <v>23</v>
      </c>
      <c r="E92" s="48" t="s">
        <v>26</v>
      </c>
      <c r="F92" s="47" t="str">
        <f>'EN Parts'!B1302</f>
        <v>Front engine gearbox actuator mout</v>
      </c>
      <c r="G92" s="46"/>
      <c r="H92" s="45">
        <f t="shared" si="5"/>
        <v>2.5660420159999999</v>
      </c>
      <c r="I92" s="44">
        <f>EN_A0009_q*EN_09004_q</f>
        <v>1</v>
      </c>
      <c r="J92" s="43">
        <f>EN_09004_m</f>
        <v>2.6042015999999998E-2</v>
      </c>
      <c r="K92" s="43">
        <f>EN_09004_p</f>
        <v>2.54</v>
      </c>
      <c r="L92" s="43">
        <v>0</v>
      </c>
      <c r="M92" s="43">
        <v>0</v>
      </c>
      <c r="N92" s="42">
        <f t="shared" si="6"/>
        <v>2.5660420159999999</v>
      </c>
      <c r="O92" s="41"/>
    </row>
    <row r="93" spans="1:15" ht="15" x14ac:dyDescent="0.25">
      <c r="A93" s="50">
        <v>86</v>
      </c>
      <c r="B93" s="48" t="s">
        <v>21</v>
      </c>
      <c r="C93" s="49" t="str">
        <f>EN_09005</f>
        <v>EN 09005</v>
      </c>
      <c r="D93" s="46" t="s">
        <v>23</v>
      </c>
      <c r="E93" s="48" t="s">
        <v>26</v>
      </c>
      <c r="F93" s="47" t="str">
        <f>'EN Parts'!B1323</f>
        <v>Rear engine gearbox actuator mout</v>
      </c>
      <c r="G93" s="46"/>
      <c r="H93" s="45">
        <f t="shared" ref="H93:H115" si="7">SUM(J93:M93)</f>
        <v>2.9317066000000005</v>
      </c>
      <c r="I93" s="44">
        <f>EN_A0009_q*EN_09005_q</f>
        <v>1</v>
      </c>
      <c r="J93" s="43">
        <f>EN_09005_m</f>
        <v>7.1706599999999995E-2</v>
      </c>
      <c r="K93" s="43">
        <f>EN_09005_p</f>
        <v>2.8600000000000003</v>
      </c>
      <c r="L93" s="43">
        <v>0</v>
      </c>
      <c r="M93" s="43">
        <v>0</v>
      </c>
      <c r="N93" s="42">
        <f t="shared" ref="N93:N115" si="8">H93*I93</f>
        <v>2.9317066000000005</v>
      </c>
      <c r="O93" s="41"/>
    </row>
    <row r="94" spans="1:15" ht="15" x14ac:dyDescent="0.25">
      <c r="A94" s="50">
        <v>87</v>
      </c>
      <c r="B94" s="48" t="s">
        <v>21</v>
      </c>
      <c r="C94" s="49" t="str">
        <f>EN_09006</f>
        <v>EN 09006</v>
      </c>
      <c r="D94" s="46" t="s">
        <v>23</v>
      </c>
      <c r="E94" s="48" t="s">
        <v>26</v>
      </c>
      <c r="F94" s="47" t="str">
        <f>'EN Parts'!B1344</f>
        <v>Engine -Pinion shaft link</v>
      </c>
      <c r="G94" s="46"/>
      <c r="H94" s="45">
        <f t="shared" si="7"/>
        <v>5.7375137687400004</v>
      </c>
      <c r="I94" s="44">
        <f>EN_A0009_q*EN_09006_q</f>
        <v>1</v>
      </c>
      <c r="J94" s="43">
        <f>EN_09006_m</f>
        <v>0.24751376873999997</v>
      </c>
      <c r="K94" s="43">
        <f>EN_09006_p</f>
        <v>5.45</v>
      </c>
      <c r="L94" s="43">
        <f>EN_09006_f</f>
        <v>0.04</v>
      </c>
      <c r="M94" s="43">
        <v>0</v>
      </c>
      <c r="N94" s="42">
        <f t="shared" si="8"/>
        <v>5.7375137687400004</v>
      </c>
      <c r="O94" s="41"/>
    </row>
    <row r="95" spans="1:15" ht="15" x14ac:dyDescent="0.25">
      <c r="A95" s="60">
        <v>88</v>
      </c>
      <c r="B95" s="58" t="s">
        <v>21</v>
      </c>
      <c r="C95" s="59" t="str">
        <f>EN_A0010</f>
        <v>EN A0010</v>
      </c>
      <c r="D95" s="56" t="s">
        <v>23</v>
      </c>
      <c r="E95" s="58"/>
      <c r="F95" s="57" t="str">
        <f>'EN Assemblies'!B533</f>
        <v>Differential</v>
      </c>
      <c r="G95" s="56"/>
      <c r="H95" s="55">
        <f t="shared" si="7"/>
        <v>86.138333333333321</v>
      </c>
      <c r="I95" s="54">
        <f>EN_A0010_q</f>
        <v>1</v>
      </c>
      <c r="J95" s="54">
        <f>EN_A0010_m</f>
        <v>70.814999999999998</v>
      </c>
      <c r="K95" s="54">
        <f>EN_A0010_p</f>
        <v>8.75</v>
      </c>
      <c r="L95" s="54">
        <f>EN_A0010_f</f>
        <v>1.24</v>
      </c>
      <c r="M95" s="53">
        <f>EN_A0010_t</f>
        <v>5.333333333333333</v>
      </c>
      <c r="N95" s="52">
        <f t="shared" si="8"/>
        <v>86.138333333333321</v>
      </c>
      <c r="O95" s="51"/>
    </row>
    <row r="96" spans="1:15" ht="15" x14ac:dyDescent="0.25">
      <c r="A96" s="50">
        <v>89</v>
      </c>
      <c r="B96" s="48" t="s">
        <v>21</v>
      </c>
      <c r="C96" s="49" t="str">
        <f>EN_10001</f>
        <v>EN 10001</v>
      </c>
      <c r="D96" s="46" t="s">
        <v>23</v>
      </c>
      <c r="E96" s="48" t="s">
        <v>25</v>
      </c>
      <c r="F96" s="47" t="str">
        <f>'EN Parts'!B1376</f>
        <v>Housing</v>
      </c>
      <c r="G96" s="46"/>
      <c r="H96" s="45">
        <f t="shared" si="7"/>
        <v>125.31212934775739</v>
      </c>
      <c r="I96" s="44">
        <f>EN_A0010_q*EN_10001_q</f>
        <v>1</v>
      </c>
      <c r="J96" s="43">
        <f>EN_10001_m</f>
        <v>21.584279121797021</v>
      </c>
      <c r="K96" s="43">
        <f>EN_10001_p</f>
        <v>100.58985022596036</v>
      </c>
      <c r="L96" s="43">
        <f>EN_10001_f</f>
        <v>3.1379999999999999</v>
      </c>
      <c r="M96" s="43">
        <v>0</v>
      </c>
      <c r="N96" s="42">
        <f t="shared" si="8"/>
        <v>125.31212934775739</v>
      </c>
      <c r="O96" s="41"/>
    </row>
    <row r="97" spans="1:15" ht="15" x14ac:dyDescent="0.25">
      <c r="A97" s="50">
        <v>90</v>
      </c>
      <c r="B97" s="48" t="s">
        <v>21</v>
      </c>
      <c r="C97" s="49" t="str">
        <f>EN_10002</f>
        <v>EN 10002</v>
      </c>
      <c r="D97" s="46" t="s">
        <v>23</v>
      </c>
      <c r="E97" s="48" t="s">
        <v>25</v>
      </c>
      <c r="F97" s="47" t="str">
        <f>'EN Parts'!B1418</f>
        <v>Internals</v>
      </c>
      <c r="G97" s="46"/>
      <c r="H97" s="45">
        <f t="shared" si="7"/>
        <v>110</v>
      </c>
      <c r="I97" s="44">
        <f>EN_A0010_q*EN_10002_q</f>
        <v>1</v>
      </c>
      <c r="J97" s="43">
        <f>EN_10002_m</f>
        <v>110</v>
      </c>
      <c r="K97" s="43">
        <v>0</v>
      </c>
      <c r="L97" s="43">
        <v>0</v>
      </c>
      <c r="M97" s="43">
        <v>0</v>
      </c>
      <c r="N97" s="42">
        <f t="shared" si="8"/>
        <v>110</v>
      </c>
      <c r="O97" s="41"/>
    </row>
    <row r="98" spans="1:15" ht="15" x14ac:dyDescent="0.25">
      <c r="A98" s="50">
        <v>91</v>
      </c>
      <c r="B98" s="48" t="s">
        <v>21</v>
      </c>
      <c r="C98" s="49" t="str">
        <f>EN_10003</f>
        <v>EN 10003</v>
      </c>
      <c r="D98" s="46" t="s">
        <v>23</v>
      </c>
      <c r="E98" s="48" t="s">
        <v>25</v>
      </c>
      <c r="F98" s="47" t="str">
        <f>'EN Parts'!B1433</f>
        <v>Right bearing carrier</v>
      </c>
      <c r="G98" s="46"/>
      <c r="H98" s="45">
        <f t="shared" si="7"/>
        <v>44.381595999999995</v>
      </c>
      <c r="I98" s="44">
        <f>EN_A0010_q*EN_10003_q</f>
        <v>1</v>
      </c>
      <c r="J98" s="43">
        <f>EN_10003_m</f>
        <v>9.2415959999999995</v>
      </c>
      <c r="K98" s="43">
        <f>EN_10003_p</f>
        <v>35.139999999999993</v>
      </c>
      <c r="L98" s="43">
        <v>0</v>
      </c>
      <c r="M98" s="43">
        <v>0</v>
      </c>
      <c r="N98" s="42">
        <f t="shared" si="8"/>
        <v>44.381595999999995</v>
      </c>
      <c r="O98" s="41"/>
    </row>
    <row r="99" spans="1:15" ht="15" x14ac:dyDescent="0.25">
      <c r="A99" s="50">
        <v>92</v>
      </c>
      <c r="B99" s="48" t="s">
        <v>21</v>
      </c>
      <c r="C99" s="49" t="str">
        <f>EN_10004</f>
        <v>EN 10004</v>
      </c>
      <c r="D99" s="46" t="s">
        <v>23</v>
      </c>
      <c r="E99" s="48" t="s">
        <v>25</v>
      </c>
      <c r="F99" s="47" t="str">
        <f>'EN Parts'!B1455</f>
        <v>Left bearing carrier</v>
      </c>
      <c r="G99" s="46"/>
      <c r="H99" s="45">
        <f t="shared" si="7"/>
        <v>48.333755599999989</v>
      </c>
      <c r="I99" s="44">
        <f>EN_A0010_q*EN_10004_q</f>
        <v>1</v>
      </c>
      <c r="J99" s="43">
        <f>EN_10004_m</f>
        <v>10.165755600000001</v>
      </c>
      <c r="K99" s="43">
        <f>EN_10004_p</f>
        <v>38.167999999999992</v>
      </c>
      <c r="L99" s="43">
        <v>0</v>
      </c>
      <c r="M99" s="43">
        <v>0</v>
      </c>
      <c r="N99" s="42">
        <f t="shared" si="8"/>
        <v>48.333755599999989</v>
      </c>
      <c r="O99" s="41"/>
    </row>
    <row r="100" spans="1:15" ht="15" x14ac:dyDescent="0.25">
      <c r="A100" s="50">
        <v>93</v>
      </c>
      <c r="B100" s="48" t="s">
        <v>21</v>
      </c>
      <c r="C100" s="49" t="str">
        <f>EN_10005</f>
        <v>EN 10005</v>
      </c>
      <c r="D100" s="46" t="s">
        <v>23</v>
      </c>
      <c r="E100" s="48" t="s">
        <v>25</v>
      </c>
      <c r="F100" s="47" t="str">
        <f>'EN Parts'!B1477</f>
        <v>Front bearing carrier tab (right and left)</v>
      </c>
      <c r="G100" s="46"/>
      <c r="H100" s="45">
        <f t="shared" si="7"/>
        <v>1.7176529500000002</v>
      </c>
      <c r="I100" s="44">
        <f>EN_A0010_q*EN_10005_q</f>
        <v>4</v>
      </c>
      <c r="J100" s="43">
        <f>EN_10005_m</f>
        <v>5.040795E-2</v>
      </c>
      <c r="K100" s="43">
        <f>EN_10005_p</f>
        <v>1.6672450000000001</v>
      </c>
      <c r="L100" s="43">
        <v>0</v>
      </c>
      <c r="M100" s="43">
        <v>0</v>
      </c>
      <c r="N100" s="42">
        <f t="shared" si="8"/>
        <v>6.8706118000000007</v>
      </c>
      <c r="O100" s="41"/>
    </row>
    <row r="101" spans="1:15" ht="15" x14ac:dyDescent="0.25">
      <c r="A101" s="50">
        <v>94</v>
      </c>
      <c r="B101" s="48" t="s">
        <v>21</v>
      </c>
      <c r="C101" s="49" t="str">
        <f>EN_10006</f>
        <v>EN 10006</v>
      </c>
      <c r="D101" s="46" t="s">
        <v>23</v>
      </c>
      <c r="E101" s="48" t="s">
        <v>25</v>
      </c>
      <c r="F101" s="47" t="str">
        <f>'EN Parts'!B1499</f>
        <v>Rear bearing carrier tab (right and left)</v>
      </c>
      <c r="G101" s="46"/>
      <c r="H101" s="45">
        <f t="shared" si="7"/>
        <v>1.7090719000000001</v>
      </c>
      <c r="I101" s="44">
        <f>EN_A0010_q*EN_10006_q</f>
        <v>4</v>
      </c>
      <c r="J101" s="43">
        <f>EN_10006_m</f>
        <v>4.2771900000000002E-2</v>
      </c>
      <c r="K101" s="43">
        <f>EN_10006_p</f>
        <v>1.6663000000000001</v>
      </c>
      <c r="L101" s="43">
        <v>0</v>
      </c>
      <c r="M101" s="43">
        <v>0</v>
      </c>
      <c r="N101" s="42">
        <f t="shared" si="8"/>
        <v>6.8362876000000004</v>
      </c>
      <c r="O101" s="41"/>
    </row>
    <row r="102" spans="1:15" ht="15" x14ac:dyDescent="0.25">
      <c r="A102" s="50">
        <v>95</v>
      </c>
      <c r="B102" s="48" t="s">
        <v>21</v>
      </c>
      <c r="C102" s="49" t="str">
        <f>EN_10007</f>
        <v>EN 10007</v>
      </c>
      <c r="D102" s="46" t="s">
        <v>23</v>
      </c>
      <c r="E102" s="48" t="s">
        <v>25</v>
      </c>
      <c r="F102" s="47" t="str">
        <f>'EN Parts'!B1521</f>
        <v>Right eccentric</v>
      </c>
      <c r="G102" s="46"/>
      <c r="H102" s="45">
        <f t="shared" si="7"/>
        <v>24.323332786493054</v>
      </c>
      <c r="I102" s="44">
        <f>EN_A0010_q*EN_10007_q</f>
        <v>1</v>
      </c>
      <c r="J102" s="43">
        <f>EN_10007_m</f>
        <v>1.8695620646114395</v>
      </c>
      <c r="K102" s="43">
        <f>EN_10007_p</f>
        <v>22.453770721881614</v>
      </c>
      <c r="L102" s="43">
        <v>0</v>
      </c>
      <c r="M102" s="43">
        <v>0</v>
      </c>
      <c r="N102" s="42">
        <f t="shared" si="8"/>
        <v>24.323332786493054</v>
      </c>
      <c r="O102" s="41"/>
    </row>
    <row r="103" spans="1:15" ht="15" x14ac:dyDescent="0.25">
      <c r="A103" s="50">
        <v>96</v>
      </c>
      <c r="B103" s="48" t="s">
        <v>21</v>
      </c>
      <c r="C103" s="49" t="str">
        <f>EN_10008</f>
        <v>EN 10008</v>
      </c>
      <c r="D103" s="46" t="s">
        <v>23</v>
      </c>
      <c r="E103" s="48" t="s">
        <v>25</v>
      </c>
      <c r="F103" s="47" t="str">
        <f>'EN Parts'!B1544</f>
        <v>Left eccentric</v>
      </c>
      <c r="G103" s="46"/>
      <c r="H103" s="45">
        <f t="shared" si="7"/>
        <v>25.977777185367472</v>
      </c>
      <c r="I103" s="44">
        <f>EN_A0010_q*EN_10008_q</f>
        <v>1</v>
      </c>
      <c r="J103" s="43">
        <f>EN_10008_m</f>
        <v>2.0253589033290593</v>
      </c>
      <c r="K103" s="43">
        <f>EN_10008_p</f>
        <v>23.952418282038412</v>
      </c>
      <c r="L103" s="43">
        <v>0</v>
      </c>
      <c r="M103" s="43">
        <v>0</v>
      </c>
      <c r="N103" s="42">
        <f t="shared" si="8"/>
        <v>25.977777185367472</v>
      </c>
      <c r="O103" s="41"/>
    </row>
    <row r="104" spans="1:15" ht="15" x14ac:dyDescent="0.25">
      <c r="A104" s="60">
        <v>97</v>
      </c>
      <c r="B104" s="58" t="s">
        <v>21</v>
      </c>
      <c r="C104" s="59" t="str">
        <f>EN_A0011</f>
        <v>EN A0011</v>
      </c>
      <c r="D104" s="56" t="s">
        <v>23</v>
      </c>
      <c r="E104" s="58"/>
      <c r="F104" s="57" t="str">
        <f>'EN Assemblies'!B587</f>
        <v>Driveshaft</v>
      </c>
      <c r="G104" s="56"/>
      <c r="H104" s="55">
        <f t="shared" si="7"/>
        <v>232.3</v>
      </c>
      <c r="I104" s="54">
        <f>EN_A0011_q</f>
        <v>1</v>
      </c>
      <c r="J104" s="54">
        <f>EN_A0011_m</f>
        <v>200</v>
      </c>
      <c r="K104" s="54">
        <f>EN_A0011_p</f>
        <v>15.920000000000002</v>
      </c>
      <c r="L104" s="54">
        <f>EN_A0011_f</f>
        <v>16.38</v>
      </c>
      <c r="M104" s="54">
        <v>0</v>
      </c>
      <c r="N104" s="52">
        <f t="shared" si="8"/>
        <v>232.3</v>
      </c>
      <c r="O104" s="51"/>
    </row>
    <row r="105" spans="1:15" ht="15" x14ac:dyDescent="0.25">
      <c r="A105" s="50">
        <v>98</v>
      </c>
      <c r="B105" s="48" t="s">
        <v>21</v>
      </c>
      <c r="C105" s="49" t="str">
        <f>EN_11001</f>
        <v>EN 11001</v>
      </c>
      <c r="D105" s="46" t="s">
        <v>23</v>
      </c>
      <c r="E105" s="48" t="s">
        <v>24</v>
      </c>
      <c r="F105" s="47" t="str">
        <f>'EN Parts'!B1567</f>
        <v>Inboard Tripod housing</v>
      </c>
      <c r="G105" s="46"/>
      <c r="H105" s="45">
        <f t="shared" si="7"/>
        <v>67.540719617338567</v>
      </c>
      <c r="I105" s="44">
        <f>EN_A0011_q*EN_11001_q</f>
        <v>2</v>
      </c>
      <c r="J105" s="43">
        <f>EN_11001_m</f>
        <v>9.355719617338579</v>
      </c>
      <c r="K105" s="43">
        <f>EN_11001_p</f>
        <v>58.184999999999995</v>
      </c>
      <c r="L105" s="43">
        <v>0</v>
      </c>
      <c r="M105" s="43">
        <v>0</v>
      </c>
      <c r="N105" s="42">
        <f t="shared" si="8"/>
        <v>135.08143923467713</v>
      </c>
      <c r="O105" s="41"/>
    </row>
    <row r="106" spans="1:15" ht="15" x14ac:dyDescent="0.25">
      <c r="A106" s="50">
        <v>99</v>
      </c>
      <c r="B106" s="48" t="s">
        <v>21</v>
      </c>
      <c r="C106" s="49" t="str">
        <f>EN_11002</f>
        <v>EN 11002</v>
      </c>
      <c r="D106" s="46" t="s">
        <v>23</v>
      </c>
      <c r="E106" s="48" t="s">
        <v>24</v>
      </c>
      <c r="F106" s="47" t="str">
        <f>'EN Parts'!B1589</f>
        <v>Outboard tripod housing</v>
      </c>
      <c r="G106" s="46"/>
      <c r="H106" s="45">
        <f t="shared" si="7"/>
        <v>77.493308236406961</v>
      </c>
      <c r="I106" s="44">
        <f>EN_A0011_q*EN_11002_q</f>
        <v>2</v>
      </c>
      <c r="J106" s="43">
        <f>EN_11002_m</f>
        <v>10.130397037882538</v>
      </c>
      <c r="K106" s="43">
        <f>EN_11002_p</f>
        <v>67.362911198524415</v>
      </c>
      <c r="L106" s="43">
        <v>0</v>
      </c>
      <c r="M106" s="43">
        <v>0</v>
      </c>
      <c r="N106" s="42">
        <f t="shared" si="8"/>
        <v>154.98661647281392</v>
      </c>
      <c r="O106" s="41"/>
    </row>
    <row r="107" spans="1:15" ht="15" x14ac:dyDescent="0.25">
      <c r="A107" s="50">
        <v>100</v>
      </c>
      <c r="B107" s="48" t="s">
        <v>21</v>
      </c>
      <c r="C107" s="49" t="str">
        <f>EN_11003</f>
        <v>EN 11003</v>
      </c>
      <c r="D107" s="46" t="s">
        <v>23</v>
      </c>
      <c r="E107" s="48" t="s">
        <v>24</v>
      </c>
      <c r="F107" s="47" t="str">
        <f>'EN Parts'!B1613</f>
        <v>Right axle</v>
      </c>
      <c r="G107" s="46"/>
      <c r="H107" s="45">
        <f t="shared" si="7"/>
        <v>20.257657033585645</v>
      </c>
      <c r="I107" s="44">
        <f>EN_A0011_q*EN_11003_q</f>
        <v>1</v>
      </c>
      <c r="J107" s="43">
        <f>EN_11003_m</f>
        <v>2.7201718752148896</v>
      </c>
      <c r="K107" s="43">
        <f>EN_11003_p</f>
        <v>17.537485158370757</v>
      </c>
      <c r="L107" s="43">
        <v>0</v>
      </c>
      <c r="M107" s="43">
        <v>0</v>
      </c>
      <c r="N107" s="42">
        <f t="shared" si="8"/>
        <v>20.257657033585645</v>
      </c>
      <c r="O107" s="41"/>
    </row>
    <row r="108" spans="1:15" ht="15" x14ac:dyDescent="0.25">
      <c r="A108" s="50">
        <v>101</v>
      </c>
      <c r="B108" s="48" t="s">
        <v>21</v>
      </c>
      <c r="C108" s="49" t="str">
        <f>EN_11004</f>
        <v>EN 11004</v>
      </c>
      <c r="D108" s="46" t="s">
        <v>23</v>
      </c>
      <c r="E108" s="48" t="s">
        <v>24</v>
      </c>
      <c r="F108" s="47" t="str">
        <f>'EN Parts'!B1635</f>
        <v>Left axle</v>
      </c>
      <c r="G108" s="46"/>
      <c r="H108" s="45">
        <f t="shared" si="7"/>
        <v>20.257657033585645</v>
      </c>
      <c r="I108" s="44">
        <f>EN_A0011_q*EN_11004_q</f>
        <v>1</v>
      </c>
      <c r="J108" s="43">
        <f>EN_11004_m</f>
        <v>2.7201718752148896</v>
      </c>
      <c r="K108" s="43">
        <f>EN_11004_p</f>
        <v>17.537485158370757</v>
      </c>
      <c r="L108" s="43">
        <v>0</v>
      </c>
      <c r="M108" s="43">
        <v>0</v>
      </c>
      <c r="N108" s="42">
        <f t="shared" si="8"/>
        <v>20.257657033585645</v>
      </c>
      <c r="O108" s="41"/>
    </row>
    <row r="109" spans="1:15" ht="15" x14ac:dyDescent="0.25">
      <c r="A109" s="60">
        <v>102</v>
      </c>
      <c r="B109" s="58" t="s">
        <v>21</v>
      </c>
      <c r="C109" s="59" t="str">
        <f>EN_A0012</f>
        <v>EN A0012</v>
      </c>
      <c r="D109" s="56" t="s">
        <v>23</v>
      </c>
      <c r="E109" s="58"/>
      <c r="F109" s="57" t="str">
        <f>'EN Assemblies'!B633</f>
        <v>Chain set</v>
      </c>
      <c r="G109" s="56"/>
      <c r="H109" s="55">
        <f t="shared" si="7"/>
        <v>72.456666666666663</v>
      </c>
      <c r="I109" s="54">
        <f>EN_A0012_q</f>
        <v>1</v>
      </c>
      <c r="J109" s="53">
        <f>EN_A0012_m</f>
        <v>52</v>
      </c>
      <c r="K109" s="53">
        <f>EN_A0012_p</f>
        <v>16.829999999999998</v>
      </c>
      <c r="L109" s="53">
        <f>EN_A0012_f</f>
        <v>2.9600000000000004</v>
      </c>
      <c r="M109" s="53">
        <f>EN_A0012_t</f>
        <v>0.66666666666666663</v>
      </c>
      <c r="N109" s="52">
        <f t="shared" si="8"/>
        <v>72.456666666666663</v>
      </c>
      <c r="O109" s="51"/>
    </row>
    <row r="110" spans="1:15" ht="15" x14ac:dyDescent="0.25">
      <c r="A110" s="50">
        <v>103</v>
      </c>
      <c r="B110" s="48" t="s">
        <v>21</v>
      </c>
      <c r="C110" s="49" t="str">
        <f>EN_12001</f>
        <v>EN 12001</v>
      </c>
      <c r="D110" s="46" t="s">
        <v>23</v>
      </c>
      <c r="E110" s="48" t="s">
        <v>22</v>
      </c>
      <c r="F110" s="47" t="str">
        <f>'EN Parts'!B1657</f>
        <v>Front sprocket</v>
      </c>
      <c r="G110" s="46"/>
      <c r="H110" s="45">
        <f t="shared" si="7"/>
        <v>23.853249328634671</v>
      </c>
      <c r="I110" s="44">
        <f>EN_A0012_q*EN_12001_q</f>
        <v>1</v>
      </c>
      <c r="J110" s="43">
        <f>EN_12001_m</f>
        <v>1.6045458283538807</v>
      </c>
      <c r="K110" s="43">
        <f>EN_12001_p</f>
        <v>22.24870350028079</v>
      </c>
      <c r="L110" s="43">
        <v>0</v>
      </c>
      <c r="M110" s="43">
        <v>0</v>
      </c>
      <c r="N110" s="42">
        <f t="shared" si="8"/>
        <v>23.853249328634671</v>
      </c>
      <c r="O110" s="41"/>
    </row>
    <row r="111" spans="1:15" ht="15" x14ac:dyDescent="0.25">
      <c r="A111" s="50">
        <v>104</v>
      </c>
      <c r="B111" s="48" t="s">
        <v>21</v>
      </c>
      <c r="C111" s="49" t="str">
        <f>EN_12002</f>
        <v>EN 12002</v>
      </c>
      <c r="D111" s="46" t="s">
        <v>23</v>
      </c>
      <c r="E111" s="48" t="s">
        <v>22</v>
      </c>
      <c r="F111" s="47" t="str">
        <f>'EN Parts'!B1680</f>
        <v>Rear sprocket</v>
      </c>
      <c r="G111" s="46"/>
      <c r="H111" s="45">
        <f t="shared" si="7"/>
        <v>38.4366935175903</v>
      </c>
      <c r="I111" s="44">
        <f>EN_A0012_q*EN_12002_q</f>
        <v>1</v>
      </c>
      <c r="J111" s="43">
        <f>EN_12002_m</f>
        <v>3.0626935175902936</v>
      </c>
      <c r="K111" s="43">
        <f>EN_12002_p</f>
        <v>35.374000000000002</v>
      </c>
      <c r="L111" s="43">
        <v>0</v>
      </c>
      <c r="M111" s="43">
        <v>0</v>
      </c>
      <c r="N111" s="42">
        <f t="shared" si="8"/>
        <v>38.4366935175903</v>
      </c>
      <c r="O111" s="41"/>
    </row>
    <row r="112" spans="1:15" ht="15" x14ac:dyDescent="0.25">
      <c r="A112" s="50">
        <v>105</v>
      </c>
      <c r="B112" s="48" t="s">
        <v>21</v>
      </c>
      <c r="C112" s="49" t="str">
        <f>EN_12003</f>
        <v>EN 12003</v>
      </c>
      <c r="D112" s="46" t="s">
        <v>23</v>
      </c>
      <c r="E112" s="48" t="s">
        <v>22</v>
      </c>
      <c r="F112" s="47" t="str">
        <f>'EN Parts'!B1702</f>
        <v>Rear sprocket adapter</v>
      </c>
      <c r="G112" s="46"/>
      <c r="H112" s="45">
        <f t="shared" si="7"/>
        <v>21.411386035218065</v>
      </c>
      <c r="I112" s="44">
        <f>EN_A0012_q*EN_12003_q</f>
        <v>1</v>
      </c>
      <c r="J112" s="43">
        <f>EN_12003_m</f>
        <v>4.517044020334982</v>
      </c>
      <c r="K112" s="43">
        <f>EN_12003_p</f>
        <v>16.894342014883083</v>
      </c>
      <c r="L112" s="43">
        <v>0</v>
      </c>
      <c r="M112" s="43">
        <v>0</v>
      </c>
      <c r="N112" s="42">
        <f t="shared" si="8"/>
        <v>21.411386035218065</v>
      </c>
      <c r="O112" s="41"/>
    </row>
    <row r="113" spans="1:15" ht="15" x14ac:dyDescent="0.25">
      <c r="A113" s="50">
        <v>106</v>
      </c>
      <c r="B113" s="48" t="s">
        <v>21</v>
      </c>
      <c r="C113" s="49" t="str">
        <f>EN_12004</f>
        <v>EN 12004</v>
      </c>
      <c r="D113" s="46" t="s">
        <v>23</v>
      </c>
      <c r="E113" s="48" t="s">
        <v>22</v>
      </c>
      <c r="F113" s="47" t="str">
        <f>'EN Parts'!B1725</f>
        <v>Chain shield</v>
      </c>
      <c r="G113" s="46"/>
      <c r="H113" s="45">
        <f t="shared" si="7"/>
        <v>9.2414838600000007</v>
      </c>
      <c r="I113" s="44">
        <f>EN_A0012_q*EN_12004_q</f>
        <v>1</v>
      </c>
      <c r="J113" s="43">
        <f>EN_12004_m</f>
        <v>2.9259588600000002</v>
      </c>
      <c r="K113" s="43">
        <f>EN_12004_p</f>
        <v>6.3155250000000009</v>
      </c>
      <c r="L113" s="43">
        <v>0</v>
      </c>
      <c r="M113" s="43">
        <v>0</v>
      </c>
      <c r="N113" s="42">
        <f t="shared" si="8"/>
        <v>9.2414838600000007</v>
      </c>
      <c r="O113" s="41"/>
    </row>
    <row r="114" spans="1:15" ht="15" x14ac:dyDescent="0.25">
      <c r="A114" s="50">
        <v>107</v>
      </c>
      <c r="B114" s="48" t="s">
        <v>21</v>
      </c>
      <c r="C114" s="49" t="str">
        <f>EN_12005</f>
        <v>EN 12005</v>
      </c>
      <c r="D114" s="46" t="s">
        <v>23</v>
      </c>
      <c r="E114" s="48" t="s">
        <v>22</v>
      </c>
      <c r="F114" s="47" t="str">
        <f>'EN Parts'!B1749</f>
        <v>Tab</v>
      </c>
      <c r="G114" s="46"/>
      <c r="H114" s="45">
        <f t="shared" si="7"/>
        <v>1.561561</v>
      </c>
      <c r="I114" s="44">
        <f>EN_A0012_q*EN_12005_q</f>
        <v>1</v>
      </c>
      <c r="J114" s="43">
        <f>EN_12005_m</f>
        <v>1.6611000000000001E-2</v>
      </c>
      <c r="K114" s="43">
        <f>EN_12005_p</f>
        <v>1.54495</v>
      </c>
      <c r="L114" s="43">
        <v>0</v>
      </c>
      <c r="M114" s="43">
        <v>0</v>
      </c>
      <c r="N114" s="42">
        <f t="shared" si="8"/>
        <v>1.561561</v>
      </c>
      <c r="O114" s="41"/>
    </row>
    <row r="115" spans="1:15" ht="15.75" thickBot="1" x14ac:dyDescent="0.3">
      <c r="A115" s="50">
        <v>108</v>
      </c>
      <c r="B115" s="48" t="s">
        <v>21</v>
      </c>
      <c r="C115" s="49" t="str">
        <f>EN_12006</f>
        <v>EN 12006</v>
      </c>
      <c r="D115" s="46" t="s">
        <v>23</v>
      </c>
      <c r="E115" s="48" t="s">
        <v>22</v>
      </c>
      <c r="F115" s="47" t="str">
        <f>'EN Parts'!B1771</f>
        <v>Centering pin</v>
      </c>
      <c r="G115" s="46"/>
      <c r="H115" s="45">
        <f t="shared" si="7"/>
        <v>1.4278518634953417</v>
      </c>
      <c r="I115" s="44">
        <f>EN_A0012_q*EN_12006_q</f>
        <v>5</v>
      </c>
      <c r="J115" s="43">
        <f>EN_12006_m</f>
        <v>2.345186349534166E-2</v>
      </c>
      <c r="K115" s="43">
        <f>EN_12006_p</f>
        <v>1.4044000000000001</v>
      </c>
      <c r="L115" s="43">
        <v>0</v>
      </c>
      <c r="M115" s="43">
        <v>0</v>
      </c>
      <c r="N115" s="42">
        <f t="shared" si="8"/>
        <v>7.1392593174767081</v>
      </c>
      <c r="O115" s="41"/>
    </row>
    <row r="116" spans="1:15" s="33" customFormat="1" ht="18" customHeight="1" thickTop="1" thickBot="1" x14ac:dyDescent="0.25">
      <c r="A116" s="40"/>
      <c r="B116" s="39" t="s">
        <v>21</v>
      </c>
      <c r="C116" s="38"/>
      <c r="D116" s="38"/>
      <c r="E116" s="38"/>
      <c r="F116" s="39" t="s">
        <v>20</v>
      </c>
      <c r="G116" s="38"/>
      <c r="H116" s="37"/>
      <c r="I116" s="36"/>
      <c r="J116" s="35">
        <f>SUMPRODUCT($I29:$I115,J29:J115)</f>
        <v>2941.5906052056816</v>
      </c>
      <c r="K116" s="35">
        <f>SUMPRODUCT($I29:$I115,K29:K115)</f>
        <v>1598.2153774588344</v>
      </c>
      <c r="L116" s="35">
        <f>SUMPRODUCT($I29:$I115,L29:L115)</f>
        <v>56.027999999999999</v>
      </c>
      <c r="M116" s="35">
        <f>SUMPRODUCT($I29:$I115,M29:M115)</f>
        <v>67.022600000000011</v>
      </c>
      <c r="N116" s="35">
        <f>SUM(N29:N115)</f>
        <v>4662.856582664519</v>
      </c>
      <c r="O116" s="34"/>
    </row>
    <row r="117" spans="1:15" ht="15.75" thickTop="1" x14ac:dyDescent="0.25">
      <c r="A117" s="1079">
        <v>109</v>
      </c>
      <c r="B117" s="1080" t="s">
        <v>1412</v>
      </c>
      <c r="C117" s="1081" t="str">
        <f>FR_A0001</f>
        <v>FR A0001</v>
      </c>
      <c r="D117" s="1081" t="s">
        <v>23</v>
      </c>
      <c r="E117" s="1081"/>
      <c r="F117" s="1082" t="str">
        <f>'FR Assemblies'!B4</f>
        <v>Frame</v>
      </c>
      <c r="G117" s="1081"/>
      <c r="H117" s="1083">
        <f>SUM(J117:M117)</f>
        <v>311.50648333333328</v>
      </c>
      <c r="I117" s="1084">
        <f>FR_A0001_q</f>
        <v>1</v>
      </c>
      <c r="J117" s="1085">
        <f>FR_A0001_m</f>
        <v>37.1</v>
      </c>
      <c r="K117" s="1085">
        <f>FR_A0001_p</f>
        <v>218.07314999999997</v>
      </c>
      <c r="L117" s="1085">
        <v>0</v>
      </c>
      <c r="M117" s="1085">
        <f>FR_A0001_t</f>
        <v>56.333333333333336</v>
      </c>
      <c r="N117" s="1086">
        <f>H117*I117</f>
        <v>311.50648333333328</v>
      </c>
      <c r="O117" s="1087"/>
    </row>
    <row r="118" spans="1:15" ht="15" x14ac:dyDescent="0.25">
      <c r="A118" s="1088">
        <v>110</v>
      </c>
      <c r="B118" s="1089" t="s">
        <v>1412</v>
      </c>
      <c r="C118" s="1090" t="str">
        <f>FR_01001</f>
        <v>FR 01001</v>
      </c>
      <c r="D118" s="1091" t="s">
        <v>23</v>
      </c>
      <c r="E118" s="1091" t="str">
        <f>F117</f>
        <v>Frame</v>
      </c>
      <c r="F118" s="1092" t="str">
        <f>'FR Parts'!B5</f>
        <v>Bent Round Steel Tubing</v>
      </c>
      <c r="G118" s="1091"/>
      <c r="H118" s="1093">
        <f t="shared" ref="H118:H164" si="9">SUM(J118:M118)</f>
        <v>19.991161742895002</v>
      </c>
      <c r="I118" s="1094">
        <f>FR_A0001_q*FR_01001_q</f>
        <v>1</v>
      </c>
      <c r="J118" s="1095">
        <f>FR_01001_m</f>
        <v>11.891161742895001</v>
      </c>
      <c r="K118" s="1095">
        <f>FR_01001_p</f>
        <v>8.1</v>
      </c>
      <c r="L118" s="1095">
        <v>0</v>
      </c>
      <c r="M118" s="1095">
        <v>0</v>
      </c>
      <c r="N118" s="1096">
        <f t="shared" ref="N118:N164" si="10">H118*I118</f>
        <v>19.991161742895002</v>
      </c>
      <c r="O118" s="1097"/>
    </row>
    <row r="119" spans="1:15" ht="15" x14ac:dyDescent="0.25">
      <c r="A119" s="1088">
        <v>111</v>
      </c>
      <c r="B119" s="1089" t="s">
        <v>1412</v>
      </c>
      <c r="C119" s="1090" t="str">
        <f>FR_01002</f>
        <v>FR 01002</v>
      </c>
      <c r="D119" s="1091" t="s">
        <v>23</v>
      </c>
      <c r="E119" s="1091" t="str">
        <f>F117</f>
        <v>Frame</v>
      </c>
      <c r="F119" s="1092" t="str">
        <f>'FR Parts'!B26</f>
        <v>Straight Round Steel Tubing</v>
      </c>
      <c r="G119" s="1091"/>
      <c r="H119" s="1093">
        <f t="shared" si="9"/>
        <v>281.43655218929996</v>
      </c>
      <c r="I119" s="1094">
        <f>FR_A0001_q*FR_01002_q</f>
        <v>1</v>
      </c>
      <c r="J119" s="1095">
        <f>FR_01002_m</f>
        <v>73.236552189299999</v>
      </c>
      <c r="K119" s="1095">
        <f>FR_01002_p</f>
        <v>208.2</v>
      </c>
      <c r="L119" s="1095">
        <v>0</v>
      </c>
      <c r="M119" s="1095">
        <v>0</v>
      </c>
      <c r="N119" s="1096">
        <f t="shared" si="10"/>
        <v>281.43655218929996</v>
      </c>
      <c r="O119" s="1097"/>
    </row>
    <row r="120" spans="1:15" ht="15" x14ac:dyDescent="0.25">
      <c r="A120" s="1088">
        <v>112</v>
      </c>
      <c r="B120" s="1089" t="s">
        <v>1412</v>
      </c>
      <c r="C120" s="1090" t="str">
        <f>FR_01003</f>
        <v>FR 01003</v>
      </c>
      <c r="D120" s="1091" t="s">
        <v>23</v>
      </c>
      <c r="E120" s="1091" t="str">
        <f>F117</f>
        <v>Frame</v>
      </c>
      <c r="F120" s="1092" t="str">
        <f>'FR Parts'!B48</f>
        <v>Anti-intrusion plate</v>
      </c>
      <c r="G120" s="1091"/>
      <c r="H120" s="1093">
        <f t="shared" si="9"/>
        <v>10.645725225</v>
      </c>
      <c r="I120" s="1094">
        <f>FR_A0001_q*FR_01003_q</f>
        <v>1</v>
      </c>
      <c r="J120" s="1095">
        <f>FR_01003_m</f>
        <v>3.5597252250000002</v>
      </c>
      <c r="K120" s="1095">
        <f>FR_01003_p</f>
        <v>7.0860000000000003</v>
      </c>
      <c r="L120" s="1095">
        <v>0</v>
      </c>
      <c r="M120" s="1095">
        <v>0</v>
      </c>
      <c r="N120" s="1096">
        <f t="shared" si="10"/>
        <v>10.645725225</v>
      </c>
      <c r="O120" s="1097"/>
    </row>
    <row r="121" spans="1:15" ht="15" x14ac:dyDescent="0.25">
      <c r="A121" s="1088">
        <v>113</v>
      </c>
      <c r="B121" s="1089" t="s">
        <v>1412</v>
      </c>
      <c r="C121" s="1090" t="str">
        <f>FR_01004</f>
        <v>FR 01004</v>
      </c>
      <c r="D121" s="1091" t="s">
        <v>23</v>
      </c>
      <c r="E121" s="1091" t="str">
        <f>F117</f>
        <v>Frame</v>
      </c>
      <c r="F121" s="1092" t="str">
        <f>'FR Parts'!B73</f>
        <v>Front gusset plate</v>
      </c>
      <c r="G121" s="1091"/>
      <c r="H121" s="1093">
        <f t="shared" si="9"/>
        <v>1.5102218000000001</v>
      </c>
      <c r="I121" s="1094">
        <f>FR_A0001_q*FR_01004_q</f>
        <v>2</v>
      </c>
      <c r="J121" s="1095">
        <f>FR_01004_m</f>
        <v>0.45415079999999997</v>
      </c>
      <c r="K121" s="1095">
        <f>FR_01004_p</f>
        <v>1.056071</v>
      </c>
      <c r="L121" s="1095">
        <v>0</v>
      </c>
      <c r="M121" s="1095">
        <v>0</v>
      </c>
      <c r="N121" s="1096">
        <f t="shared" si="10"/>
        <v>3.0204436000000001</v>
      </c>
      <c r="O121" s="1097"/>
    </row>
    <row r="122" spans="1:15" ht="15" x14ac:dyDescent="0.25">
      <c r="A122" s="1088">
        <v>114</v>
      </c>
      <c r="B122" s="1089" t="s">
        <v>1412</v>
      </c>
      <c r="C122" s="1090" t="str">
        <f>FR_01005</f>
        <v>FR 01005</v>
      </c>
      <c r="D122" s="1091" t="s">
        <v>23</v>
      </c>
      <c r="E122" s="1091" t="str">
        <f>F117</f>
        <v>Frame</v>
      </c>
      <c r="F122" s="1092" t="str">
        <f>'FR Parts'!B92</f>
        <v>Rear gusset plate</v>
      </c>
      <c r="G122" s="1091"/>
      <c r="H122" s="1093">
        <f t="shared" si="9"/>
        <v>1.2183053750000001</v>
      </c>
      <c r="I122" s="1094">
        <f>FR_A0001_q*FR_01005_q</f>
        <v>2</v>
      </c>
      <c r="J122" s="1095">
        <f>FR_01005_m</f>
        <v>0.29843437499999997</v>
      </c>
      <c r="K122" s="1095">
        <f>FR_01005_p</f>
        <v>0.91987100000000011</v>
      </c>
      <c r="L122" s="1095">
        <v>0</v>
      </c>
      <c r="M122" s="1095">
        <v>0</v>
      </c>
      <c r="N122" s="1096">
        <f t="shared" si="10"/>
        <v>2.4366107500000003</v>
      </c>
      <c r="O122" s="1097"/>
    </row>
    <row r="123" spans="1:15" ht="15" x14ac:dyDescent="0.25">
      <c r="A123" s="1088">
        <v>115</v>
      </c>
      <c r="B123" s="1089" t="s">
        <v>1412</v>
      </c>
      <c r="C123" s="1090" t="str">
        <f>FR_01006</f>
        <v>FR 01006</v>
      </c>
      <c r="D123" s="1091" t="s">
        <v>23</v>
      </c>
      <c r="E123" s="1091" t="str">
        <f>F117</f>
        <v>Frame</v>
      </c>
      <c r="F123" s="1092" t="str">
        <f>'FR Parts'!B111</f>
        <v>Suspensions gusset plate</v>
      </c>
      <c r="G123" s="1091"/>
      <c r="H123" s="1093">
        <f t="shared" si="9"/>
        <v>0.59441720000000009</v>
      </c>
      <c r="I123" s="1094">
        <f>FR_A0001_q*FR_01006_q</f>
        <v>2</v>
      </c>
      <c r="J123" s="1095">
        <f>FR_01006_m</f>
        <v>4.4566200000000007E-2</v>
      </c>
      <c r="K123" s="1095">
        <f>FR_01006_p</f>
        <v>0.54985100000000009</v>
      </c>
      <c r="L123" s="1095">
        <v>0</v>
      </c>
      <c r="M123" s="1095">
        <v>0</v>
      </c>
      <c r="N123" s="1096">
        <f t="shared" si="10"/>
        <v>1.1888344000000002</v>
      </c>
      <c r="O123" s="1097"/>
    </row>
    <row r="124" spans="1:15" ht="15" x14ac:dyDescent="0.25">
      <c r="A124" s="1088">
        <v>116</v>
      </c>
      <c r="B124" s="1089" t="s">
        <v>1412</v>
      </c>
      <c r="C124" s="1090" t="str">
        <f>FR_01007</f>
        <v>FR 01007</v>
      </c>
      <c r="D124" s="1091" t="s">
        <v>23</v>
      </c>
      <c r="E124" s="1091" t="str">
        <f>F117</f>
        <v>Frame</v>
      </c>
      <c r="F124" s="1092" t="str">
        <f>'FR Parts'!B130</f>
        <v>Tube cover Diam. 24</v>
      </c>
      <c r="G124" s="1091"/>
      <c r="H124" s="1093">
        <f t="shared" si="9"/>
        <v>0.40949756000000004</v>
      </c>
      <c r="I124" s="1094">
        <f>FR_A0001_q*FR_01007_q</f>
        <v>2</v>
      </c>
      <c r="J124" s="1095">
        <f>FR_01007_m</f>
        <v>2.079756E-2</v>
      </c>
      <c r="K124" s="1095">
        <f>FR_01007_p</f>
        <v>0.38870000000000005</v>
      </c>
      <c r="L124" s="1095">
        <v>0</v>
      </c>
      <c r="M124" s="1095">
        <v>0</v>
      </c>
      <c r="N124" s="1096">
        <f t="shared" si="10"/>
        <v>0.81899512000000008</v>
      </c>
      <c r="O124" s="1097"/>
    </row>
    <row r="125" spans="1:15" ht="15" x14ac:dyDescent="0.25">
      <c r="A125" s="1088">
        <v>117</v>
      </c>
      <c r="B125" s="1089" t="s">
        <v>1412</v>
      </c>
      <c r="C125" s="1090" t="str">
        <f>FR_01008</f>
        <v>FR 01008</v>
      </c>
      <c r="D125" s="1091" t="s">
        <v>23</v>
      </c>
      <c r="E125" s="1091" t="str">
        <f>F117</f>
        <v>Frame</v>
      </c>
      <c r="F125" s="1098" t="str">
        <f>'FR Parts'!B149</f>
        <v>Tube cover Diam. 26</v>
      </c>
      <c r="G125" s="1091"/>
      <c r="H125" s="1093">
        <f t="shared" si="9"/>
        <v>0.42839755999999996</v>
      </c>
      <c r="I125" s="1094">
        <f>FR_A0001_q*FR_01008_q</f>
        <v>2</v>
      </c>
      <c r="J125" s="1095">
        <f>FR_01008_m</f>
        <v>2.079756E-2</v>
      </c>
      <c r="K125" s="1095">
        <f>FR_01008_p</f>
        <v>0.40759999999999996</v>
      </c>
      <c r="L125" s="1095">
        <v>0</v>
      </c>
      <c r="M125" s="1095">
        <v>0</v>
      </c>
      <c r="N125" s="1096">
        <f t="shared" si="10"/>
        <v>0.85679511999999991</v>
      </c>
      <c r="O125" s="1097"/>
    </row>
    <row r="126" spans="1:15" ht="15" x14ac:dyDescent="0.25">
      <c r="A126" s="1088">
        <v>118</v>
      </c>
      <c r="B126" s="1089" t="s">
        <v>1412</v>
      </c>
      <c r="C126" s="1090" t="str">
        <f>FR_01009</f>
        <v>FR 01009</v>
      </c>
      <c r="D126" s="1091" t="s">
        <v>23</v>
      </c>
      <c r="E126" s="1091" t="str">
        <f>F117</f>
        <v>Frame</v>
      </c>
      <c r="F126" s="1098" t="str">
        <f>'FR Parts'!B168</f>
        <v>Tube cover Diam. 28</v>
      </c>
      <c r="G126" s="1091"/>
      <c r="H126" s="1093">
        <f t="shared" si="9"/>
        <v>0.45336416000000002</v>
      </c>
      <c r="I126" s="1094">
        <f>FR_A0001_q*FR_01009_q</f>
        <v>4</v>
      </c>
      <c r="J126" s="1095">
        <f>FR_01009_m</f>
        <v>2.716416E-2</v>
      </c>
      <c r="K126" s="1095">
        <f>FR_01009_p</f>
        <v>0.42620000000000002</v>
      </c>
      <c r="L126" s="1095">
        <v>0</v>
      </c>
      <c r="M126" s="1095">
        <v>0</v>
      </c>
      <c r="N126" s="1096">
        <f>H126*I126</f>
        <v>1.8134566400000001</v>
      </c>
      <c r="O126" s="1097"/>
    </row>
    <row r="127" spans="1:15" ht="15" x14ac:dyDescent="0.25">
      <c r="A127" s="1079">
        <v>119</v>
      </c>
      <c r="B127" s="1080" t="s">
        <v>1412</v>
      </c>
      <c r="C127" s="1081" t="str">
        <f>FR_A0002</f>
        <v>FR A0002</v>
      </c>
      <c r="D127" s="1081" t="s">
        <v>23</v>
      </c>
      <c r="E127" s="1081"/>
      <c r="F127" s="1082" t="str">
        <f>'FR Assemblies'!B40</f>
        <v>Impact Attenuator</v>
      </c>
      <c r="G127" s="1081"/>
      <c r="H127" s="1083">
        <f t="shared" si="9"/>
        <v>10.022500000000001</v>
      </c>
      <c r="I127" s="1084">
        <f>FR_A0002_q</f>
        <v>1</v>
      </c>
      <c r="J127" s="1085">
        <v>0</v>
      </c>
      <c r="K127" s="1085">
        <f>FR_A0002_p</f>
        <v>8.0625</v>
      </c>
      <c r="L127" s="1085">
        <f>FR_A0002_f</f>
        <v>1.9600000000000002</v>
      </c>
      <c r="M127" s="1085">
        <v>0</v>
      </c>
      <c r="N127" s="1086">
        <f t="shared" si="10"/>
        <v>10.022500000000001</v>
      </c>
      <c r="O127" s="1087"/>
    </row>
    <row r="128" spans="1:15" ht="15" x14ac:dyDescent="0.25">
      <c r="A128" s="1088">
        <v>120</v>
      </c>
      <c r="B128" s="1089" t="s">
        <v>1412</v>
      </c>
      <c r="C128" s="1090" t="str">
        <f>FR_02001</f>
        <v>FR 02001</v>
      </c>
      <c r="D128" s="1091" t="s">
        <v>23</v>
      </c>
      <c r="E128" s="1091" t="str">
        <f>F127</f>
        <v>Impact Attenuator</v>
      </c>
      <c r="F128" s="1098" t="str">
        <f>'FR Parts'!B187</f>
        <v>Impact Attenuator part</v>
      </c>
      <c r="G128" s="1091"/>
      <c r="H128" s="1093">
        <f t="shared" si="9"/>
        <v>45.581253335</v>
      </c>
      <c r="I128" s="1094">
        <f>FR_02001_q*FR_A0002_q</f>
        <v>1</v>
      </c>
      <c r="J128" s="1095">
        <f>FR_02001_m</f>
        <v>12.777253335000001</v>
      </c>
      <c r="K128" s="1095">
        <f>FR_02001_p</f>
        <v>32.804000000000002</v>
      </c>
      <c r="L128" s="1095">
        <v>0</v>
      </c>
      <c r="M128" s="1095">
        <v>0</v>
      </c>
      <c r="N128" s="1096">
        <f t="shared" si="10"/>
        <v>45.581253335</v>
      </c>
      <c r="O128" s="1097"/>
    </row>
    <row r="129" spans="1:15" ht="15" x14ac:dyDescent="0.25">
      <c r="A129" s="1079">
        <v>121</v>
      </c>
      <c r="B129" s="1080" t="s">
        <v>1412</v>
      </c>
      <c r="C129" s="1081" t="str">
        <f>FR_A0003</f>
        <v>FR A0003</v>
      </c>
      <c r="D129" s="1081" t="s">
        <v>23</v>
      </c>
      <c r="E129" s="1081"/>
      <c r="F129" s="1082" t="str">
        <f>'FR Assemblies'!B65</f>
        <v>Undertray</v>
      </c>
      <c r="G129" s="1099"/>
      <c r="H129" s="1083">
        <f t="shared" si="9"/>
        <v>17.458033333333333</v>
      </c>
      <c r="I129" s="1084">
        <f>FR_A0003_q</f>
        <v>1</v>
      </c>
      <c r="J129" s="1085">
        <f>FR_A0003_m</f>
        <v>0.10800000000000001</v>
      </c>
      <c r="K129" s="1085">
        <f>FR_A0003_p</f>
        <v>10.6767</v>
      </c>
      <c r="L129" s="1085">
        <f>FR_A0003_f</f>
        <v>3.34</v>
      </c>
      <c r="M129" s="1085">
        <f>FR_A0003_t</f>
        <v>3.3333333333333335</v>
      </c>
      <c r="N129" s="1086">
        <f t="shared" si="10"/>
        <v>17.458033333333333</v>
      </c>
      <c r="O129" s="1087"/>
    </row>
    <row r="130" spans="1:15" ht="15" x14ac:dyDescent="0.25">
      <c r="A130" s="1088">
        <v>122</v>
      </c>
      <c r="B130" s="1089" t="s">
        <v>1412</v>
      </c>
      <c r="C130" s="1090" t="str">
        <f>FR_03001</f>
        <v>FR 03001</v>
      </c>
      <c r="D130" s="1091" t="s">
        <v>23</v>
      </c>
      <c r="E130" s="1091" t="str">
        <f>F129</f>
        <v>Undertray</v>
      </c>
      <c r="F130" s="1098" t="str">
        <f>'FR Parts'!B215</f>
        <v>Undertray front</v>
      </c>
      <c r="G130" s="1091"/>
      <c r="H130" s="1093">
        <f t="shared" si="9"/>
        <v>229.51</v>
      </c>
      <c r="I130" s="1094">
        <f>FR_A0003_q*FR_03001_q</f>
        <v>1</v>
      </c>
      <c r="J130" s="1095">
        <f>FR_03001_m</f>
        <v>101</v>
      </c>
      <c r="K130" s="1095">
        <f>FR_03001_p</f>
        <v>128.35999999999999</v>
      </c>
      <c r="L130" s="1095">
        <v>0</v>
      </c>
      <c r="M130" s="1095">
        <f>FR_03001_t</f>
        <v>0.15</v>
      </c>
      <c r="N130" s="1096">
        <f t="shared" si="10"/>
        <v>229.51</v>
      </c>
      <c r="O130" s="1097"/>
    </row>
    <row r="131" spans="1:15" ht="15" x14ac:dyDescent="0.25">
      <c r="A131" s="1088">
        <v>123</v>
      </c>
      <c r="B131" s="1089" t="s">
        <v>1412</v>
      </c>
      <c r="C131" s="1090" t="str">
        <f>FR_03002</f>
        <v>FR 03002</v>
      </c>
      <c r="D131" s="1091" t="s">
        <v>23</v>
      </c>
      <c r="E131" s="1091" t="str">
        <f>F129</f>
        <v>Undertray</v>
      </c>
      <c r="F131" s="1098" t="str">
        <f>'FR Parts'!B245</f>
        <v>Undertray middle</v>
      </c>
      <c r="G131" s="1091"/>
      <c r="H131" s="1093">
        <f t="shared" si="9"/>
        <v>427.40600000000006</v>
      </c>
      <c r="I131" s="1094">
        <f>FR_A0003_q*FR_03002_q</f>
        <v>1</v>
      </c>
      <c r="J131" s="1095">
        <f>FR_03002_m</f>
        <v>210.08</v>
      </c>
      <c r="K131" s="1095">
        <f>FR_03002_p</f>
        <v>217.01400000000007</v>
      </c>
      <c r="L131" s="1095">
        <v>0</v>
      </c>
      <c r="M131" s="1095">
        <f>FR_03002_t</f>
        <v>0.312</v>
      </c>
      <c r="N131" s="1096">
        <f t="shared" si="10"/>
        <v>427.40600000000006</v>
      </c>
      <c r="O131" s="1097"/>
    </row>
    <row r="132" spans="1:15" ht="15" x14ac:dyDescent="0.25">
      <c r="A132" s="1088">
        <v>124</v>
      </c>
      <c r="B132" s="1089" t="s">
        <v>1412</v>
      </c>
      <c r="C132" s="1090" t="str">
        <f>FR_03003</f>
        <v>FR 03003</v>
      </c>
      <c r="D132" s="1091" t="s">
        <v>23</v>
      </c>
      <c r="E132" s="1091" t="str">
        <f>F129</f>
        <v>Undertray</v>
      </c>
      <c r="F132" s="1098" t="str">
        <f>'FR Parts'!B275</f>
        <v>Undertray Mount</v>
      </c>
      <c r="G132" s="1091"/>
      <c r="H132" s="1093">
        <f t="shared" si="9"/>
        <v>1.6762180824999999</v>
      </c>
      <c r="I132" s="1094">
        <f>FR_A0003_q*FR_03003_q</f>
        <v>10</v>
      </c>
      <c r="J132" s="1095">
        <f>FR_03003_m</f>
        <v>3.7218082499999999E-2</v>
      </c>
      <c r="K132" s="1095">
        <f>FR_03003_p</f>
        <v>1.639</v>
      </c>
      <c r="L132" s="1095">
        <v>0</v>
      </c>
      <c r="M132" s="1095">
        <v>0</v>
      </c>
      <c r="N132" s="1096">
        <f t="shared" si="10"/>
        <v>16.762180824999998</v>
      </c>
      <c r="O132" s="1097"/>
    </row>
    <row r="133" spans="1:15" ht="15" x14ac:dyDescent="0.25">
      <c r="A133" s="1079">
        <v>125</v>
      </c>
      <c r="B133" s="1080" t="s">
        <v>1412</v>
      </c>
      <c r="C133" s="1081" t="str">
        <f>FR_A0004</f>
        <v>FR A0004</v>
      </c>
      <c r="D133" s="1081" t="s">
        <v>23</v>
      </c>
      <c r="E133" s="1081"/>
      <c r="F133" s="1082" t="str">
        <f>'FR Assemblies'!B104</f>
        <v>Pedal Assembly</v>
      </c>
      <c r="G133" s="1081"/>
      <c r="H133" s="1083">
        <f t="shared" si="9"/>
        <v>30.018876666666667</v>
      </c>
      <c r="I133" s="1084">
        <f>FR_A0004_q</f>
        <v>1</v>
      </c>
      <c r="J133" s="1085">
        <f>FR_A0004_m</f>
        <v>1.2744</v>
      </c>
      <c r="K133" s="1085">
        <f>FR_A0004_p</f>
        <v>23.55781</v>
      </c>
      <c r="L133" s="1085">
        <f>FR_A0004_f</f>
        <v>2.5200000000000005</v>
      </c>
      <c r="M133" s="1085">
        <f>FR_A0004_t</f>
        <v>2.6666666666666665</v>
      </c>
      <c r="N133" s="1086">
        <f t="shared" si="10"/>
        <v>30.018876666666667</v>
      </c>
      <c r="O133" s="1087"/>
    </row>
    <row r="134" spans="1:15" ht="15" x14ac:dyDescent="0.25">
      <c r="A134" s="1088">
        <v>126</v>
      </c>
      <c r="B134" s="1089" t="s">
        <v>1412</v>
      </c>
      <c r="C134" s="1090" t="str">
        <f>FR_04001</f>
        <v>FR 04001</v>
      </c>
      <c r="D134" s="1091" t="s">
        <v>23</v>
      </c>
      <c r="E134" s="1091" t="str">
        <f>F133</f>
        <v>Pedal Assembly</v>
      </c>
      <c r="F134" s="1098" t="str">
        <f>'FR Parts'!B294</f>
        <v>Front Rails Mounts</v>
      </c>
      <c r="G134" s="1091"/>
      <c r="H134" s="1093">
        <f t="shared" si="9"/>
        <v>2.0653385200000001</v>
      </c>
      <c r="I134" s="1094">
        <f>FR_A0004_q*FR_04001_q</f>
        <v>4</v>
      </c>
      <c r="J134" s="1095">
        <f>FR_04001_m</f>
        <v>0.14133852</v>
      </c>
      <c r="K134" s="1095">
        <f>FR_04001_p</f>
        <v>1.9240000000000002</v>
      </c>
      <c r="L134" s="1095">
        <v>0</v>
      </c>
      <c r="M134" s="1095">
        <v>0</v>
      </c>
      <c r="N134" s="1096">
        <f t="shared" si="10"/>
        <v>8.2613540800000003</v>
      </c>
      <c r="O134" s="1097"/>
    </row>
    <row r="135" spans="1:15" ht="15" x14ac:dyDescent="0.25">
      <c r="A135" s="1088">
        <v>127</v>
      </c>
      <c r="B135" s="1089" t="s">
        <v>1412</v>
      </c>
      <c r="C135" s="1090" t="str">
        <f>FR_04002</f>
        <v>FR 04002</v>
      </c>
      <c r="D135" s="1091" t="s">
        <v>23</v>
      </c>
      <c r="E135" s="1091" t="str">
        <f>F133</f>
        <v>Pedal Assembly</v>
      </c>
      <c r="F135" s="1098" t="str">
        <f>'FR Parts'!B313</f>
        <v>Rear Rails Mounts</v>
      </c>
      <c r="G135" s="1091"/>
      <c r="H135" s="1093">
        <f t="shared" si="9"/>
        <v>1.9583172250000001</v>
      </c>
      <c r="I135" s="1094">
        <f>FR_A0004_q*FR_04002_q</f>
        <v>4</v>
      </c>
      <c r="J135" s="1095">
        <f>FR_04002_m</f>
        <v>7.9317225000000005E-2</v>
      </c>
      <c r="K135" s="1095">
        <f>FR_04002_p</f>
        <v>1.879</v>
      </c>
      <c r="L135" s="1095">
        <v>0</v>
      </c>
      <c r="M135" s="1095">
        <v>0</v>
      </c>
      <c r="N135" s="1096">
        <f t="shared" si="10"/>
        <v>7.8332689000000002</v>
      </c>
      <c r="O135" s="1097"/>
    </row>
    <row r="136" spans="1:15" ht="15" x14ac:dyDescent="0.25">
      <c r="A136" s="1088">
        <v>128</v>
      </c>
      <c r="B136" s="1089" t="s">
        <v>1412</v>
      </c>
      <c r="C136" s="1090" t="str">
        <f>FR_04003</f>
        <v>FR 04003</v>
      </c>
      <c r="D136" s="1091" t="s">
        <v>23</v>
      </c>
      <c r="E136" s="1091" t="str">
        <f>F133</f>
        <v>Pedal Assembly</v>
      </c>
      <c r="F136" s="1098" t="str">
        <f>'FR Parts'!B332</f>
        <v>Pedal Rail</v>
      </c>
      <c r="G136" s="1100"/>
      <c r="H136" s="1093">
        <f t="shared" si="9"/>
        <v>15.147995519999998</v>
      </c>
      <c r="I136" s="1094">
        <f>FR_A0004_q*FR_04003_q</f>
        <v>2</v>
      </c>
      <c r="J136" s="1095">
        <f>FR_04003_m</f>
        <v>0.44799552000000004</v>
      </c>
      <c r="K136" s="1095">
        <f>FR_04003_p</f>
        <v>14.7</v>
      </c>
      <c r="L136" s="1095">
        <v>0</v>
      </c>
      <c r="M136" s="1095">
        <v>0</v>
      </c>
      <c r="N136" s="1096">
        <f t="shared" si="10"/>
        <v>30.295991039999997</v>
      </c>
      <c r="O136" s="1097"/>
    </row>
    <row r="137" spans="1:15" ht="15" x14ac:dyDescent="0.25">
      <c r="A137" s="1088">
        <v>129</v>
      </c>
      <c r="B137" s="1089" t="s">
        <v>1412</v>
      </c>
      <c r="C137" s="1090" t="str">
        <f>FR_04004</f>
        <v>FR 04004</v>
      </c>
      <c r="D137" s="1091" t="s">
        <v>23</v>
      </c>
      <c r="E137" s="1091" t="str">
        <f>F133</f>
        <v>Pedal Assembly</v>
      </c>
      <c r="F137" s="1098" t="str">
        <f>'FR Parts'!B355</f>
        <v>Throttle Pedal</v>
      </c>
      <c r="G137" s="1091"/>
      <c r="H137" s="1093">
        <f t="shared" si="9"/>
        <v>11.961692159999998</v>
      </c>
      <c r="I137" s="1094">
        <f>FR_A0004_q*FR_04004_q</f>
        <v>1</v>
      </c>
      <c r="J137" s="1095">
        <f>FR_04004_m</f>
        <v>2.4912921599999995</v>
      </c>
      <c r="K137" s="1095">
        <f>FR_04004_p</f>
        <v>9.4703999999999979</v>
      </c>
      <c r="L137" s="1095">
        <v>0</v>
      </c>
      <c r="M137" s="1095">
        <v>0</v>
      </c>
      <c r="N137" s="1096">
        <f t="shared" si="10"/>
        <v>11.961692159999998</v>
      </c>
      <c r="O137" s="1097"/>
    </row>
    <row r="138" spans="1:15" ht="15" x14ac:dyDescent="0.25">
      <c r="A138" s="1088">
        <v>130</v>
      </c>
      <c r="B138" s="1089" t="s">
        <v>1412</v>
      </c>
      <c r="C138" s="1090" t="str">
        <f>FR_04005</f>
        <v>FR 04005</v>
      </c>
      <c r="D138" s="1091" t="s">
        <v>23</v>
      </c>
      <c r="E138" s="1091" t="str">
        <f>F133</f>
        <v>Pedal Assembly</v>
      </c>
      <c r="F138" s="1098" t="str">
        <f>'FR Parts'!B378</f>
        <v>Throttle Pedal Bushing</v>
      </c>
      <c r="G138" s="1091"/>
      <c r="H138" s="1093">
        <f t="shared" si="9"/>
        <v>1.4159114171956693</v>
      </c>
      <c r="I138" s="1094">
        <f>FR_A0004_q*FR_04005_q</f>
        <v>2</v>
      </c>
      <c r="J138" s="1095">
        <f>FR_04005_m</f>
        <v>9.5114171956691626E-3</v>
      </c>
      <c r="K138" s="1095">
        <f>FR_04005_p</f>
        <v>1.4064000000000001</v>
      </c>
      <c r="L138" s="1095">
        <v>0</v>
      </c>
      <c r="M138" s="1095">
        <v>0</v>
      </c>
      <c r="N138" s="1096">
        <f t="shared" si="10"/>
        <v>2.8318228343913385</v>
      </c>
      <c r="O138" s="1097"/>
    </row>
    <row r="139" spans="1:15" ht="15" x14ac:dyDescent="0.25">
      <c r="A139" s="1088">
        <v>131</v>
      </c>
      <c r="B139" s="1089" t="s">
        <v>1412</v>
      </c>
      <c r="C139" s="1090" t="str">
        <f>FR_04006</f>
        <v>FR 04006</v>
      </c>
      <c r="D139" s="1091" t="s">
        <v>23</v>
      </c>
      <c r="E139" s="1091" t="str">
        <f>F133</f>
        <v>Pedal Assembly</v>
      </c>
      <c r="F139" s="1098" t="str">
        <f>'FR Parts'!B397</f>
        <v>Throttle Pedal Axle</v>
      </c>
      <c r="G139" s="1091"/>
      <c r="H139" s="1093">
        <f t="shared" si="9"/>
        <v>1.8584537669601673</v>
      </c>
      <c r="I139" s="1094">
        <f>FR_A0004_q*FR_04006_q</f>
        <v>2</v>
      </c>
      <c r="J139" s="1095">
        <f>FR_04006_m</f>
        <v>6.5726375171144102E-2</v>
      </c>
      <c r="K139" s="1095">
        <f>FR_04006_p</f>
        <v>1.7927273917890232</v>
      </c>
      <c r="L139" s="1095">
        <v>0</v>
      </c>
      <c r="M139" s="1095">
        <v>0</v>
      </c>
      <c r="N139" s="1096">
        <f t="shared" si="10"/>
        <v>3.7169075339203346</v>
      </c>
      <c r="O139" s="1097"/>
    </row>
    <row r="140" spans="1:15" ht="15" x14ac:dyDescent="0.25">
      <c r="A140" s="1088">
        <v>132</v>
      </c>
      <c r="B140" s="1089" t="s">
        <v>1412</v>
      </c>
      <c r="C140" s="1090" t="str">
        <f>FR_04007</f>
        <v>FR 04007</v>
      </c>
      <c r="D140" s="1091" t="s">
        <v>23</v>
      </c>
      <c r="E140" s="1091" t="str">
        <f>F133</f>
        <v>Pedal Assembly</v>
      </c>
      <c r="F140" s="1098" t="str">
        <f>'FR Parts'!B416</f>
        <v>Throttle Pedal Stop</v>
      </c>
      <c r="G140" s="1091"/>
      <c r="H140" s="1093">
        <f t="shared" si="9"/>
        <v>4.4701679759999999</v>
      </c>
      <c r="I140" s="1094">
        <f>FR_A0004_q*FR_04007_q</f>
        <v>1</v>
      </c>
      <c r="J140" s="1095">
        <f>FR_04007_m</f>
        <v>0.76336797599999995</v>
      </c>
      <c r="K140" s="1095">
        <f>FR_04007_p</f>
        <v>3.7067999999999999</v>
      </c>
      <c r="L140" s="1095">
        <v>0</v>
      </c>
      <c r="M140" s="1095">
        <v>0</v>
      </c>
      <c r="N140" s="1096">
        <f t="shared" si="10"/>
        <v>4.4701679759999999</v>
      </c>
      <c r="O140" s="1097"/>
    </row>
    <row r="141" spans="1:15" ht="15" x14ac:dyDescent="0.25">
      <c r="A141" s="1088">
        <v>133</v>
      </c>
      <c r="B141" s="1089" t="s">
        <v>1412</v>
      </c>
      <c r="C141" s="1090" t="str">
        <f>FR_04008</f>
        <v>FR 04008</v>
      </c>
      <c r="D141" s="1091" t="s">
        <v>23</v>
      </c>
      <c r="E141" s="1091" t="str">
        <f>F133</f>
        <v>Pedal Assembly</v>
      </c>
      <c r="F141" s="1098" t="str">
        <f>'FR Parts'!B437</f>
        <v>Throttle Pedal Stop Cylinder</v>
      </c>
      <c r="G141" s="1091"/>
      <c r="H141" s="1093">
        <f t="shared" si="9"/>
        <v>1.3250303253082114</v>
      </c>
      <c r="I141" s="1094">
        <f>FR_A0004_q*FR_04008_q</f>
        <v>2</v>
      </c>
      <c r="J141" s="1095">
        <f>FR_04008_m</f>
        <v>2.503032530821132E-2</v>
      </c>
      <c r="K141" s="1095">
        <f>FR_04008_p</f>
        <v>1.3</v>
      </c>
      <c r="L141" s="1095">
        <v>0</v>
      </c>
      <c r="M141" s="1095">
        <v>0</v>
      </c>
      <c r="N141" s="1096">
        <f t="shared" si="10"/>
        <v>2.6500606506164228</v>
      </c>
      <c r="O141" s="1097"/>
    </row>
    <row r="142" spans="1:15" ht="15" x14ac:dyDescent="0.25">
      <c r="A142" s="1088">
        <v>134</v>
      </c>
      <c r="B142" s="1089" t="s">
        <v>1412</v>
      </c>
      <c r="C142" s="1090" t="str">
        <f>FR_04009</f>
        <v>FR 04009</v>
      </c>
      <c r="D142" s="1091" t="s">
        <v>23</v>
      </c>
      <c r="E142" s="1091" t="str">
        <f>F133</f>
        <v>Pedal Assembly</v>
      </c>
      <c r="F142" s="1098" t="str">
        <f>'FR Parts'!B455</f>
        <v>Throttle actuation brace</v>
      </c>
      <c r="G142" s="1091"/>
      <c r="H142" s="1093">
        <f t="shared" si="9"/>
        <v>1.8344585000000002</v>
      </c>
      <c r="I142" s="1094">
        <f>FR_A0004_q*FR_04009_q</f>
        <v>1</v>
      </c>
      <c r="J142" s="1095">
        <f>FR_04009_m</f>
        <v>0.39389850000000004</v>
      </c>
      <c r="K142" s="1095">
        <f>FR_04009_p</f>
        <v>1.4405600000000001</v>
      </c>
      <c r="L142" s="1095">
        <v>0</v>
      </c>
      <c r="M142" s="1095">
        <v>0</v>
      </c>
      <c r="N142" s="1096">
        <f t="shared" si="10"/>
        <v>1.8344585000000002</v>
      </c>
      <c r="O142" s="1097"/>
    </row>
    <row r="143" spans="1:15" ht="15" x14ac:dyDescent="0.25">
      <c r="A143" s="1088">
        <v>135</v>
      </c>
      <c r="B143" s="1089" t="s">
        <v>1412</v>
      </c>
      <c r="C143" s="1090" t="str">
        <f>FR_04010</f>
        <v>FR 04010</v>
      </c>
      <c r="D143" s="1091" t="s">
        <v>23</v>
      </c>
      <c r="E143" s="1091" t="str">
        <f>F133</f>
        <v>Pedal Assembly</v>
      </c>
      <c r="F143" s="1098" t="str">
        <f>'FR Parts'!B474</f>
        <v xml:space="preserve">Throttle Actuation </v>
      </c>
      <c r="G143" s="1091"/>
      <c r="H143" s="1093">
        <f t="shared" si="9"/>
        <v>3.2236863999999996</v>
      </c>
      <c r="I143" s="1094">
        <f>FR_A0004_q*FR_04010_q</f>
        <v>1</v>
      </c>
      <c r="J143" s="1095">
        <f>FR_04010_m</f>
        <v>0.23768640000000002</v>
      </c>
      <c r="K143" s="1095">
        <f>FR_04010_p</f>
        <v>2.9859999999999998</v>
      </c>
      <c r="L143" s="1095">
        <v>0</v>
      </c>
      <c r="M143" s="1095">
        <v>0</v>
      </c>
      <c r="N143" s="1096">
        <f t="shared" si="10"/>
        <v>3.2236863999999996</v>
      </c>
      <c r="O143" s="1097"/>
    </row>
    <row r="144" spans="1:15" ht="15" x14ac:dyDescent="0.25">
      <c r="A144" s="1088">
        <v>136</v>
      </c>
      <c r="B144" s="1089" t="s">
        <v>1412</v>
      </c>
      <c r="C144" s="1090" t="str">
        <f>FR_04011</f>
        <v>FR 04011</v>
      </c>
      <c r="D144" s="1091" t="s">
        <v>23</v>
      </c>
      <c r="E144" s="1091" t="str">
        <f>F133</f>
        <v>Pedal Assembly</v>
      </c>
      <c r="F144" s="1098" t="str">
        <f>'FR Parts'!B494</f>
        <v>Left Side Throttle Pedal Support</v>
      </c>
      <c r="G144" s="1091"/>
      <c r="H144" s="1093">
        <f t="shared" si="9"/>
        <v>14.220897533333334</v>
      </c>
      <c r="I144" s="1094">
        <f>FR_A0004_q*FR_04011_q</f>
        <v>1</v>
      </c>
      <c r="J144" s="1095">
        <f>FR_04011_m</f>
        <v>0.23556420000000003</v>
      </c>
      <c r="K144" s="1095">
        <f>FR_04011_p</f>
        <v>13.651999999999999</v>
      </c>
      <c r="L144" s="1095">
        <v>0</v>
      </c>
      <c r="M144" s="1095">
        <f>FR_04011_t</f>
        <v>0.33333333333333331</v>
      </c>
      <c r="N144" s="1096">
        <f t="shared" si="10"/>
        <v>14.220897533333334</v>
      </c>
      <c r="O144" s="1097"/>
    </row>
    <row r="145" spans="1:15" ht="15" x14ac:dyDescent="0.25">
      <c r="A145" s="1088">
        <v>137</v>
      </c>
      <c r="B145" s="1089" t="s">
        <v>1412</v>
      </c>
      <c r="C145" s="1090" t="str">
        <f>FR_04012</f>
        <v>FR 04012</v>
      </c>
      <c r="D145" s="1091" t="s">
        <v>23</v>
      </c>
      <c r="E145" s="1091" t="str">
        <f>F133</f>
        <v>Pedal Assembly</v>
      </c>
      <c r="F145" s="1098" t="str">
        <f>'FR Parts'!B522</f>
        <v>Throttle Rocker</v>
      </c>
      <c r="G145" s="1091"/>
      <c r="H145" s="1093">
        <f t="shared" si="9"/>
        <v>8.2143648700000007</v>
      </c>
      <c r="I145" s="1094">
        <f>FR_A0004_q*FR_04012_q</f>
        <v>1</v>
      </c>
      <c r="J145" s="1095">
        <f>FR_04012_m</f>
        <v>0.54296487000000004</v>
      </c>
      <c r="K145" s="1095">
        <f>FR_04012_p</f>
        <v>7.6714000000000002</v>
      </c>
      <c r="L145" s="1095">
        <v>0</v>
      </c>
      <c r="M145" s="1095">
        <v>0</v>
      </c>
      <c r="N145" s="1096">
        <f t="shared" si="10"/>
        <v>8.2143648700000007</v>
      </c>
      <c r="O145" s="1097"/>
    </row>
    <row r="146" spans="1:15" ht="15" x14ac:dyDescent="0.25">
      <c r="A146" s="1088">
        <v>138</v>
      </c>
      <c r="B146" s="1089" t="s">
        <v>1412</v>
      </c>
      <c r="C146" s="1090" t="str">
        <f>FR_04013</f>
        <v>FR 04013</v>
      </c>
      <c r="D146" s="1091" t="s">
        <v>23</v>
      </c>
      <c r="E146" s="1091" t="str">
        <f>F133</f>
        <v>Pedal Assembly</v>
      </c>
      <c r="F146" s="1098" t="str">
        <f>'FR Parts'!B542</f>
        <v>Right Side Throttle Pedal Support</v>
      </c>
      <c r="G146" s="1091"/>
      <c r="H146" s="1093">
        <f t="shared" si="9"/>
        <v>3.7171725000000002</v>
      </c>
      <c r="I146" s="1094">
        <f>FR_A0004_q*FR_04013_q</f>
        <v>1</v>
      </c>
      <c r="J146" s="1095">
        <f>FR_04013_m</f>
        <v>0.32717249999999998</v>
      </c>
      <c r="K146" s="1095">
        <f>FR_04013_p</f>
        <v>3.39</v>
      </c>
      <c r="L146" s="1095">
        <v>0</v>
      </c>
      <c r="M146" s="1095">
        <v>0</v>
      </c>
      <c r="N146" s="1096">
        <f t="shared" si="10"/>
        <v>3.7171725000000002</v>
      </c>
      <c r="O146" s="1097"/>
    </row>
    <row r="147" spans="1:15" ht="15" x14ac:dyDescent="0.25">
      <c r="A147" s="1088">
        <v>139</v>
      </c>
      <c r="B147" s="1089" t="s">
        <v>1412</v>
      </c>
      <c r="C147" s="1090" t="str">
        <f>FR_04014</f>
        <v>FR 04014</v>
      </c>
      <c r="D147" s="1091" t="s">
        <v>23</v>
      </c>
      <c r="E147" s="1091" t="str">
        <f>F133</f>
        <v>Pedal Assembly</v>
      </c>
      <c r="F147" s="1098" t="str">
        <f>'FR Parts'!B562</f>
        <v>Pedal Foot Support</v>
      </c>
      <c r="G147" s="1091"/>
      <c r="H147" s="1093">
        <f t="shared" si="9"/>
        <v>3.0421120000000004</v>
      </c>
      <c r="I147" s="1094">
        <f>FR_A0004_q*FR_04014_q</f>
        <v>2</v>
      </c>
      <c r="J147" s="1095">
        <f>FR_04014_m</f>
        <v>0.182112</v>
      </c>
      <c r="K147" s="1095">
        <f>FR_04014_p</f>
        <v>2.8600000000000003</v>
      </c>
      <c r="L147" s="1095">
        <v>0</v>
      </c>
      <c r="M147" s="1095">
        <v>0</v>
      </c>
      <c r="N147" s="1096">
        <f t="shared" si="10"/>
        <v>6.0842240000000007</v>
      </c>
      <c r="O147" s="1097"/>
    </row>
    <row r="148" spans="1:15" ht="15" x14ac:dyDescent="0.25">
      <c r="A148" s="1088">
        <v>140</v>
      </c>
      <c r="B148" s="1089" t="s">
        <v>1412</v>
      </c>
      <c r="C148" s="1090" t="str">
        <f>FR_04015</f>
        <v>FR 04015</v>
      </c>
      <c r="D148" s="1091" t="s">
        <v>23</v>
      </c>
      <c r="E148" s="1091" t="str">
        <f>F133</f>
        <v>Pedal Assembly</v>
      </c>
      <c r="F148" s="1098" t="str">
        <f>'FR Parts'!B583</f>
        <v>Brake Pedal</v>
      </c>
      <c r="G148" s="1091"/>
      <c r="H148" s="1093">
        <f t="shared" si="9"/>
        <v>76.731391999999985</v>
      </c>
      <c r="I148" s="1094">
        <f>FR_A0004_q*FR_04015_q</f>
        <v>1</v>
      </c>
      <c r="J148" s="1095">
        <f>FR_04015_m</f>
        <v>45.970271999999994</v>
      </c>
      <c r="K148" s="1095">
        <f>FR_04015_p</f>
        <v>30.761119999999995</v>
      </c>
      <c r="L148" s="1095">
        <v>0</v>
      </c>
      <c r="M148" s="1095">
        <v>0</v>
      </c>
      <c r="N148" s="1096">
        <f t="shared" si="10"/>
        <v>76.731391999999985</v>
      </c>
      <c r="O148" s="1097"/>
    </row>
    <row r="149" spans="1:15" ht="15" x14ac:dyDescent="0.25">
      <c r="A149" s="1088">
        <v>141</v>
      </c>
      <c r="B149" s="1089" t="s">
        <v>1412</v>
      </c>
      <c r="C149" s="1090" t="str">
        <f>FR_04016</f>
        <v>FR 04016</v>
      </c>
      <c r="D149" s="1091" t="s">
        <v>23</v>
      </c>
      <c r="E149" s="1091" t="str">
        <f>F133</f>
        <v>Pedal Assembly</v>
      </c>
      <c r="F149" s="1098" t="str">
        <f>'FR Parts'!B608</f>
        <v>Brake Pedal Bushing</v>
      </c>
      <c r="G149" s="1091"/>
      <c r="H149" s="1093">
        <f t="shared" si="9"/>
        <v>1.4365838331670684</v>
      </c>
      <c r="I149" s="1094">
        <f>FR_A0004_q*FR_04016_q</f>
        <v>2</v>
      </c>
      <c r="J149" s="1095">
        <f>FR_04016_m</f>
        <v>3.0183833167068189E-2</v>
      </c>
      <c r="K149" s="1095">
        <f>FR_04016_p</f>
        <v>1.4064000000000001</v>
      </c>
      <c r="L149" s="1095">
        <v>0</v>
      </c>
      <c r="M149" s="1095">
        <v>0</v>
      </c>
      <c r="N149" s="1096">
        <f t="shared" si="10"/>
        <v>2.8731676663341368</v>
      </c>
      <c r="O149" s="1097"/>
    </row>
    <row r="150" spans="1:15" ht="15" x14ac:dyDescent="0.25">
      <c r="A150" s="1088">
        <v>142</v>
      </c>
      <c r="B150" s="1089" t="s">
        <v>1412</v>
      </c>
      <c r="C150" s="1090" t="str">
        <f>FR_04017</f>
        <v>FR 04017</v>
      </c>
      <c r="D150" s="1091" t="s">
        <v>23</v>
      </c>
      <c r="E150" s="1091" t="str">
        <f>F133</f>
        <v>Pedal Assembly</v>
      </c>
      <c r="F150" s="1098" t="str">
        <f>'FR Parts'!B627</f>
        <v>Ballance Bar Support</v>
      </c>
      <c r="G150" s="1091"/>
      <c r="H150" s="1093">
        <f t="shared" si="9"/>
        <v>2.92114954</v>
      </c>
      <c r="I150" s="1094">
        <f>FR_A0004_q*FR_04017_q</f>
        <v>2</v>
      </c>
      <c r="J150" s="1095">
        <f>FR_04017_m</f>
        <v>0.25614954000000001</v>
      </c>
      <c r="K150" s="1095">
        <f>FR_04017_p</f>
        <v>2.665</v>
      </c>
      <c r="L150" s="1095">
        <v>0</v>
      </c>
      <c r="M150" s="1095">
        <v>0</v>
      </c>
      <c r="N150" s="1096">
        <f t="shared" si="10"/>
        <v>5.8422990800000001</v>
      </c>
      <c r="O150" s="1097"/>
    </row>
    <row r="151" spans="1:15" ht="15" x14ac:dyDescent="0.25">
      <c r="A151" s="1088">
        <v>143</v>
      </c>
      <c r="B151" s="1089" t="s">
        <v>1412</v>
      </c>
      <c r="C151" s="1090" t="str">
        <f>FR_04018</f>
        <v>FR 04018</v>
      </c>
      <c r="D151" s="1091" t="s">
        <v>23</v>
      </c>
      <c r="E151" s="1091" t="str">
        <f>F133</f>
        <v>Pedal Assembly</v>
      </c>
      <c r="F151" s="1098" t="str">
        <f>'FR Parts'!B646</f>
        <v>Master Cylinder Bar</v>
      </c>
      <c r="G151" s="1091"/>
      <c r="H151" s="1093">
        <f t="shared" si="9"/>
        <v>2.9858500700000001</v>
      </c>
      <c r="I151" s="1094">
        <f>FR_A0004_q*FR_04018_q</f>
        <v>1</v>
      </c>
      <c r="J151" s="1095">
        <f>FR_04018_m</f>
        <v>0.18785006999999998</v>
      </c>
      <c r="K151" s="1095">
        <f>FR_04018_p</f>
        <v>2.798</v>
      </c>
      <c r="L151" s="1095">
        <v>0</v>
      </c>
      <c r="M151" s="1095">
        <v>0</v>
      </c>
      <c r="N151" s="1096">
        <f t="shared" si="10"/>
        <v>2.9858500700000001</v>
      </c>
      <c r="O151" s="1097"/>
    </row>
    <row r="152" spans="1:15" ht="15" x14ac:dyDescent="0.25">
      <c r="A152" s="1088">
        <v>144</v>
      </c>
      <c r="B152" s="1089" t="s">
        <v>1412</v>
      </c>
      <c r="C152" s="1090" t="str">
        <f>FR_04019</f>
        <v>FR 04019</v>
      </c>
      <c r="D152" s="1091" t="s">
        <v>23</v>
      </c>
      <c r="E152" s="1091" t="str">
        <f>F133</f>
        <v>Pedal Assembly</v>
      </c>
      <c r="F152" s="1098" t="str">
        <f>'FR Parts'!B668</f>
        <v>Overtravel Swich Mount</v>
      </c>
      <c r="G152" s="1091"/>
      <c r="H152" s="1093">
        <f t="shared" si="9"/>
        <v>7.3771360000000001</v>
      </c>
      <c r="I152" s="1094">
        <f>FR_A0004_q*FR_04019_q</f>
        <v>1</v>
      </c>
      <c r="J152" s="1095">
        <f>FR_04019_m</f>
        <v>5.0991359999999997</v>
      </c>
      <c r="K152" s="1095">
        <f>FR_04019_p</f>
        <v>2.278</v>
      </c>
      <c r="L152" s="1095">
        <v>0</v>
      </c>
      <c r="M152" s="1095">
        <v>0</v>
      </c>
      <c r="N152" s="1096">
        <f t="shared" si="10"/>
        <v>7.3771360000000001</v>
      </c>
      <c r="O152" s="1097"/>
    </row>
    <row r="153" spans="1:15" ht="15" x14ac:dyDescent="0.25">
      <c r="A153" s="1079">
        <v>145</v>
      </c>
      <c r="B153" s="1080" t="s">
        <v>1412</v>
      </c>
      <c r="C153" s="1081" t="str">
        <f>FR_A0005</f>
        <v>FR A0005</v>
      </c>
      <c r="D153" s="1081" t="s">
        <v>23</v>
      </c>
      <c r="E153" s="1081"/>
      <c r="F153" s="1082" t="str">
        <f>'FR Assemblies'!B232</f>
        <v>Clutch actuation system</v>
      </c>
      <c r="G153" s="1081"/>
      <c r="H153" s="1083">
        <f t="shared" si="9"/>
        <v>24.955833333333331</v>
      </c>
      <c r="I153" s="1084">
        <f>FR_A0005_q</f>
        <v>1</v>
      </c>
      <c r="J153" s="1085">
        <f>FR_A0005_m</f>
        <v>21.5</v>
      </c>
      <c r="K153" s="1085">
        <f>FR_A0005_p</f>
        <v>2.8824999999999998</v>
      </c>
      <c r="L153" s="1085">
        <f>FR_A0005_f</f>
        <v>0.24</v>
      </c>
      <c r="M153" s="1085">
        <f>FR_A0005_t</f>
        <v>0.33333333333333331</v>
      </c>
      <c r="N153" s="1086">
        <f t="shared" si="10"/>
        <v>24.955833333333331</v>
      </c>
      <c r="O153" s="1087"/>
    </row>
    <row r="154" spans="1:15" ht="15" x14ac:dyDescent="0.25">
      <c r="A154" s="1088">
        <v>146</v>
      </c>
      <c r="B154" s="1089" t="s">
        <v>1412</v>
      </c>
      <c r="C154" s="1090" t="str">
        <f>FR_05001</f>
        <v>FR 05001</v>
      </c>
      <c r="D154" s="1091" t="s">
        <v>23</v>
      </c>
      <c r="E154" s="1091" t="str">
        <f>F153</f>
        <v>Clutch actuation system</v>
      </c>
      <c r="F154" s="1098" t="str">
        <f>'FR Parts'!B688</f>
        <v>Lever handle</v>
      </c>
      <c r="G154" s="1091"/>
      <c r="H154" s="1093">
        <f t="shared" si="9"/>
        <v>4.6504063821164863</v>
      </c>
      <c r="I154" s="1094">
        <f>FR_A0005_q*FR_05001_q</f>
        <v>1</v>
      </c>
      <c r="J154" s="1095">
        <f>FR_05001_m</f>
        <v>1.2124063821164857</v>
      </c>
      <c r="K154" s="1095">
        <f>FR_05001_p</f>
        <v>3.4380000000000002</v>
      </c>
      <c r="L154" s="1095">
        <v>0</v>
      </c>
      <c r="M154" s="1095">
        <v>0</v>
      </c>
      <c r="N154" s="1101">
        <f>H154*I154</f>
        <v>4.6504063821164863</v>
      </c>
      <c r="O154" s="1097"/>
    </row>
    <row r="155" spans="1:15" ht="15" x14ac:dyDescent="0.25">
      <c r="A155" s="1088">
        <v>147</v>
      </c>
      <c r="B155" s="1089" t="s">
        <v>1412</v>
      </c>
      <c r="C155" s="1090" t="str">
        <f>FR_05002</f>
        <v>FR 05002</v>
      </c>
      <c r="D155" s="1091" t="s">
        <v>23</v>
      </c>
      <c r="E155" s="1091" t="str">
        <f>F153</f>
        <v>Clutch actuation system</v>
      </c>
      <c r="F155" s="1098" t="str">
        <f>'FR Parts'!B712</f>
        <v>Lever Joint</v>
      </c>
      <c r="G155" s="1091"/>
      <c r="H155" s="1093">
        <f t="shared" si="9"/>
        <v>11.771166666666666</v>
      </c>
      <c r="I155" s="1094">
        <f>FR_A0005_q*FR_05002_q</f>
        <v>1</v>
      </c>
      <c r="J155" s="1095">
        <f>FR_05002_m</f>
        <v>0.5625</v>
      </c>
      <c r="K155" s="1095">
        <f>FR_05002_p</f>
        <v>4.5419999999999989</v>
      </c>
      <c r="L155" s="1095">
        <v>0</v>
      </c>
      <c r="M155" s="1095">
        <f>FR_05002_t</f>
        <v>6.666666666666667</v>
      </c>
      <c r="N155" s="1101">
        <f t="shared" ref="N155:N158" si="11">H155*I155</f>
        <v>11.771166666666666</v>
      </c>
      <c r="O155" s="1097"/>
    </row>
    <row r="156" spans="1:15" ht="15" x14ac:dyDescent="0.25">
      <c r="A156" s="1088">
        <v>148</v>
      </c>
      <c r="B156" s="1089" t="s">
        <v>1412</v>
      </c>
      <c r="C156" s="1090" t="str">
        <f>FR_05003</f>
        <v>FR 05003</v>
      </c>
      <c r="D156" s="1091" t="s">
        <v>23</v>
      </c>
      <c r="E156" s="1091" t="str">
        <f>F153</f>
        <v>Clutch actuation system</v>
      </c>
      <c r="F156" s="1098" t="str">
        <f>'FR Parts'!B740</f>
        <v>Actuation Lever</v>
      </c>
      <c r="G156" s="1091"/>
      <c r="H156" s="1093">
        <f t="shared" si="9"/>
        <v>9.7986666666666675</v>
      </c>
      <c r="I156" s="1094">
        <f>FR_A0005_q*FR_05003_q</f>
        <v>1</v>
      </c>
      <c r="J156" s="1095">
        <f>FR_05003_m</f>
        <v>0.63</v>
      </c>
      <c r="K156" s="1095">
        <f>FR_05003_p</f>
        <v>2.5020000000000002</v>
      </c>
      <c r="L156" s="1095">
        <v>0</v>
      </c>
      <c r="M156" s="1095">
        <f>FR_05003_t</f>
        <v>6.666666666666667</v>
      </c>
      <c r="N156" s="1101">
        <f t="shared" si="11"/>
        <v>9.7986666666666675</v>
      </c>
      <c r="O156" s="1097"/>
    </row>
    <row r="157" spans="1:15" ht="15" x14ac:dyDescent="0.25">
      <c r="A157" s="1088">
        <v>149</v>
      </c>
      <c r="B157" s="1089" t="s">
        <v>1412</v>
      </c>
      <c r="C157" s="1090" t="str">
        <f>FR_05004</f>
        <v>FR 05004</v>
      </c>
      <c r="D157" s="1091" t="s">
        <v>23</v>
      </c>
      <c r="E157" s="1091" t="str">
        <f>F153</f>
        <v>Clutch actuation system</v>
      </c>
      <c r="F157" s="1098" t="str">
        <f>'FR Parts'!B765</f>
        <v>Handle padding</v>
      </c>
      <c r="G157" s="1091"/>
      <c r="H157" s="1093">
        <f t="shared" si="9"/>
        <v>7.3966666666666665</v>
      </c>
      <c r="I157" s="1094">
        <f>FR_A0005_q*FR_05004_q</f>
        <v>1</v>
      </c>
      <c r="J157" s="1095">
        <f>FR_05004_m</f>
        <v>0.33</v>
      </c>
      <c r="K157" s="1095">
        <f>FR_05004_p</f>
        <v>0.4</v>
      </c>
      <c r="L157" s="1095">
        <v>0</v>
      </c>
      <c r="M157" s="1095">
        <f>FR_05004_t</f>
        <v>6.666666666666667</v>
      </c>
      <c r="N157" s="1101">
        <f t="shared" si="11"/>
        <v>7.3966666666666665</v>
      </c>
      <c r="O157" s="1097"/>
    </row>
    <row r="158" spans="1:15" ht="15" x14ac:dyDescent="0.25">
      <c r="A158" s="1088">
        <v>150</v>
      </c>
      <c r="B158" s="1089" t="s">
        <v>1412</v>
      </c>
      <c r="C158" s="1090" t="str">
        <f>FR_05005</f>
        <v>FR 05005</v>
      </c>
      <c r="D158" s="1091" t="s">
        <v>23</v>
      </c>
      <c r="E158" s="1091" t="str">
        <f>F153</f>
        <v>Clutch actuation system</v>
      </c>
      <c r="F158" s="1098" t="str">
        <f>'FR Parts'!B787</f>
        <v>Steel tube</v>
      </c>
      <c r="G158" s="1091"/>
      <c r="H158" s="1093">
        <f t="shared" si="9"/>
        <v>1.6905574863433046</v>
      </c>
      <c r="I158" s="1094">
        <f>FR_A0005_q*FR_05005_q</f>
        <v>1</v>
      </c>
      <c r="J158" s="1095">
        <f>FR_05005_m</f>
        <v>3.0557486343304522E-2</v>
      </c>
      <c r="K158" s="1095">
        <f>FR_05005_p</f>
        <v>1.6600000000000001</v>
      </c>
      <c r="L158" s="1095">
        <v>0</v>
      </c>
      <c r="M158" s="1095">
        <v>0</v>
      </c>
      <c r="N158" s="1101">
        <f t="shared" si="11"/>
        <v>1.6905574863433046</v>
      </c>
      <c r="O158" s="1097"/>
    </row>
    <row r="159" spans="1:15" ht="15" x14ac:dyDescent="0.25">
      <c r="A159" s="1079">
        <v>151</v>
      </c>
      <c r="B159" s="1080" t="s">
        <v>1412</v>
      </c>
      <c r="C159" s="1081" t="str">
        <f>FR_A0006</f>
        <v>FR A0006</v>
      </c>
      <c r="D159" s="1081" t="s">
        <v>23</v>
      </c>
      <c r="E159" s="1081"/>
      <c r="F159" s="1082" t="str">
        <f>'FR Assemblies'!B278</f>
        <v>Body</v>
      </c>
      <c r="G159" s="1081"/>
      <c r="H159" s="1083">
        <f>SUM(J159:M159)</f>
        <v>94.343681033333326</v>
      </c>
      <c r="I159" s="1084">
        <f>FR_A0006_q</f>
        <v>1</v>
      </c>
      <c r="J159" s="1085">
        <f>FR_A0006_m</f>
        <v>0.10364770000000001</v>
      </c>
      <c r="K159" s="1085">
        <f>FR_A0006_p</f>
        <v>75.286699999999996</v>
      </c>
      <c r="L159" s="1085">
        <f>FR_A0006_f</f>
        <v>15.620000000000001</v>
      </c>
      <c r="M159" s="1085">
        <f>FR_A0006_t</f>
        <v>3.3333333333333335</v>
      </c>
      <c r="N159" s="1086">
        <f>H159*I159</f>
        <v>94.343681033333326</v>
      </c>
      <c r="O159" s="1087"/>
    </row>
    <row r="160" spans="1:15" ht="15" x14ac:dyDescent="0.25">
      <c r="A160" s="1088">
        <v>152</v>
      </c>
      <c r="B160" s="1089" t="s">
        <v>1412</v>
      </c>
      <c r="C160" s="1090" t="str">
        <f>FR_06001</f>
        <v>FR 06001</v>
      </c>
      <c r="D160" s="1091" t="s">
        <v>23</v>
      </c>
      <c r="E160" s="1091" t="str">
        <f>F159</f>
        <v>Body</v>
      </c>
      <c r="F160" s="1098" t="str">
        <f>'FR Parts'!B806</f>
        <v>Front body</v>
      </c>
      <c r="G160" s="1091"/>
      <c r="H160" s="1093">
        <f t="shared" si="9"/>
        <v>634.80433333333337</v>
      </c>
      <c r="I160" s="1094">
        <f>FR_A0006_q*FR_06001_q</f>
        <v>1</v>
      </c>
      <c r="J160" s="1095">
        <f>FR_06001_m</f>
        <v>354.90000000000003</v>
      </c>
      <c r="K160" s="1095">
        <f>FR_06001_p</f>
        <v>279.51</v>
      </c>
      <c r="L160" s="1095">
        <v>0</v>
      </c>
      <c r="M160" s="1095">
        <f>FR_06001_t</f>
        <v>0.39433333333333331</v>
      </c>
      <c r="N160" s="1096">
        <f t="shared" si="10"/>
        <v>634.80433333333337</v>
      </c>
      <c r="O160" s="1097"/>
    </row>
    <row r="161" spans="1:15" ht="15" x14ac:dyDescent="0.25">
      <c r="A161" s="1088">
        <v>153</v>
      </c>
      <c r="B161" s="1089" t="s">
        <v>1412</v>
      </c>
      <c r="C161" s="1090" t="str">
        <f>FR_06002</f>
        <v>FR 06002</v>
      </c>
      <c r="D161" s="1091" t="s">
        <v>23</v>
      </c>
      <c r="E161" s="1091" t="str">
        <f>F159</f>
        <v>Body</v>
      </c>
      <c r="F161" s="1098" t="str">
        <f>'FR Parts'!B834</f>
        <v>Body Right Inlet</v>
      </c>
      <c r="G161" s="1091"/>
      <c r="H161" s="1093">
        <f t="shared" si="9"/>
        <v>322.83966666666669</v>
      </c>
      <c r="I161" s="1094">
        <f>FR_A0006_q*FR_06002_q</f>
        <v>1</v>
      </c>
      <c r="J161" s="1095">
        <f>FR_06002_m</f>
        <v>152.69999999999999</v>
      </c>
      <c r="K161" s="1095">
        <f>FR_06002_p</f>
        <v>169.97000000000003</v>
      </c>
      <c r="L161" s="1095">
        <v>0</v>
      </c>
      <c r="M161" s="1095">
        <f>FR_06002_t</f>
        <v>0.16966666666666666</v>
      </c>
      <c r="N161" s="1096">
        <f t="shared" si="10"/>
        <v>322.83966666666669</v>
      </c>
      <c r="O161" s="1097"/>
    </row>
    <row r="162" spans="1:15" ht="15" x14ac:dyDescent="0.25">
      <c r="A162" s="1088">
        <v>154</v>
      </c>
      <c r="B162" s="1089" t="s">
        <v>1412</v>
      </c>
      <c r="C162" s="1090" t="str">
        <f>FR_06003</f>
        <v>FR 06003</v>
      </c>
      <c r="D162" s="1091" t="s">
        <v>23</v>
      </c>
      <c r="E162" s="1091" t="str">
        <f>F159</f>
        <v>Body</v>
      </c>
      <c r="F162" s="1098" t="str">
        <f>'FR Parts'!B861</f>
        <v>Body Left Inlet</v>
      </c>
      <c r="G162" s="1091"/>
      <c r="H162" s="1093">
        <f t="shared" si="9"/>
        <v>322.83966666666669</v>
      </c>
      <c r="I162" s="1094">
        <f>FR_A0006_q*FR_06003_q</f>
        <v>1</v>
      </c>
      <c r="J162" s="1095">
        <f>FR_06003_m</f>
        <v>152.69999999999999</v>
      </c>
      <c r="K162" s="1095">
        <f>FR_06003_p</f>
        <v>169.97000000000003</v>
      </c>
      <c r="L162" s="1095">
        <v>0</v>
      </c>
      <c r="M162" s="1095">
        <f>FR_06003_t</f>
        <v>0.16966666666666666</v>
      </c>
      <c r="N162" s="1096">
        <f t="shared" si="10"/>
        <v>322.83966666666669</v>
      </c>
      <c r="O162" s="1097"/>
    </row>
    <row r="163" spans="1:15" ht="15" x14ac:dyDescent="0.25">
      <c r="A163" s="1088">
        <v>155</v>
      </c>
      <c r="B163" s="1089" t="s">
        <v>1412</v>
      </c>
      <c r="C163" s="1090" t="str">
        <f>FR_06004</f>
        <v>FR 06004</v>
      </c>
      <c r="D163" s="1091" t="s">
        <v>23</v>
      </c>
      <c r="E163" s="1091" t="str">
        <f>F159</f>
        <v>Body</v>
      </c>
      <c r="F163" s="1098" t="str">
        <f>'FR Parts'!B888</f>
        <v>Body Plates</v>
      </c>
      <c r="G163" s="1091"/>
      <c r="H163" s="1093">
        <f t="shared" si="9"/>
        <v>271.8837801616915</v>
      </c>
      <c r="I163" s="1094">
        <f>FR_A0006_q*FR_06004_q</f>
        <v>2</v>
      </c>
      <c r="J163" s="1095">
        <f>FR_06004_m</f>
        <v>113.88146766169154</v>
      </c>
      <c r="K163" s="1095">
        <f>FR_06004_p</f>
        <v>157.96999999999997</v>
      </c>
      <c r="L163" s="1095">
        <v>0</v>
      </c>
      <c r="M163" s="1095">
        <f>FR_06004_t</f>
        <v>3.2312500000000001E-2</v>
      </c>
      <c r="N163" s="1096">
        <f t="shared" si="10"/>
        <v>543.76756032338301</v>
      </c>
      <c r="O163" s="1097"/>
    </row>
    <row r="164" spans="1:15" ht="15.75" thickBot="1" x14ac:dyDescent="0.3">
      <c r="A164" s="1088">
        <v>156</v>
      </c>
      <c r="B164" s="1089" t="s">
        <v>1412</v>
      </c>
      <c r="C164" s="1090" t="str">
        <f>FR_06005</f>
        <v>FR 06005</v>
      </c>
      <c r="D164" s="1091" t="s">
        <v>23</v>
      </c>
      <c r="E164" s="1091" t="str">
        <f>F159</f>
        <v>Body</v>
      </c>
      <c r="F164" s="1098" t="str">
        <f>'FR Parts'!B917</f>
        <v>Body Mount</v>
      </c>
      <c r="G164" s="1091"/>
      <c r="H164" s="1093">
        <f t="shared" si="9"/>
        <v>0.50682821500000008</v>
      </c>
      <c r="I164" s="1094">
        <f>FR_A0006_q*FR_06005_q</f>
        <v>10</v>
      </c>
      <c r="J164" s="1095">
        <f>FR_06005_m</f>
        <v>3.7828214999999998E-2</v>
      </c>
      <c r="K164" s="1095">
        <f>FR_06005_p</f>
        <v>0.46900000000000003</v>
      </c>
      <c r="L164" s="1095">
        <v>0</v>
      </c>
      <c r="M164" s="1095">
        <v>0</v>
      </c>
      <c r="N164" s="1096">
        <f t="shared" si="10"/>
        <v>5.0682821500000008</v>
      </c>
      <c r="O164" s="1097"/>
    </row>
    <row r="165" spans="1:15" ht="15.75" thickTop="1" thickBot="1" x14ac:dyDescent="0.25">
      <c r="A165" s="40"/>
      <c r="B165" s="39" t="s">
        <v>1412</v>
      </c>
      <c r="C165" s="38"/>
      <c r="D165" s="38"/>
      <c r="E165" s="38"/>
      <c r="F165" s="39" t="s">
        <v>20</v>
      </c>
      <c r="G165" s="38"/>
      <c r="H165" s="37"/>
      <c r="I165" s="36"/>
      <c r="J165" s="35">
        <f>SUMPRODUCT($I117:$I164,J117:J164)</f>
        <v>1425.1609976667221</v>
      </c>
      <c r="K165" s="35">
        <f>SUMPRODUCT($I117:$I164,K117:K164)</f>
        <v>2063.0916807835783</v>
      </c>
      <c r="L165" s="35">
        <f>SUMPRODUCT($I117:$I164,L117:L164)</f>
        <v>23.68</v>
      </c>
      <c r="M165" s="35">
        <f>SUMPRODUCT($I117:$I164,M117:M164)</f>
        <v>87.593625000000031</v>
      </c>
      <c r="N165" s="35">
        <f>SUM(N117:N164)</f>
        <v>3599.5263034503005</v>
      </c>
      <c r="O165" s="34"/>
    </row>
    <row r="166" spans="1:15" ht="15.75" thickTop="1" x14ac:dyDescent="0.25">
      <c r="A166" s="1230">
        <v>157</v>
      </c>
      <c r="B166" s="1231" t="s">
        <v>1975</v>
      </c>
      <c r="C166" s="1232" t="str">
        <f>EL_A0001</f>
        <v>EL A0001</v>
      </c>
      <c r="D166" s="1232" t="s">
        <v>23</v>
      </c>
      <c r="E166" s="1232"/>
      <c r="F166" s="1233" t="str">
        <f>'EL Assemblies'!B4</f>
        <v>Monitoring System</v>
      </c>
      <c r="G166" s="1232"/>
      <c r="H166" s="1234">
        <f>SUM(J166:M166)</f>
        <v>360.51249999999999</v>
      </c>
      <c r="I166" s="1235">
        <f>EL_A0001_q</f>
        <v>1</v>
      </c>
      <c r="J166" s="1236">
        <f>EL_A0001_m</f>
        <v>276.52499999999998</v>
      </c>
      <c r="K166" s="1236">
        <f>EL_A0001_p</f>
        <v>74.927499999999995</v>
      </c>
      <c r="L166" s="1236">
        <f>EL_A0001_f</f>
        <v>4.0600000000000005</v>
      </c>
      <c r="M166" s="1236">
        <f>EL_A0001_t</f>
        <v>5</v>
      </c>
      <c r="N166" s="1237">
        <f>H166*I166</f>
        <v>360.51249999999999</v>
      </c>
      <c r="O166" s="1238"/>
    </row>
    <row r="167" spans="1:15" ht="15" x14ac:dyDescent="0.25">
      <c r="A167" s="1239">
        <v>158</v>
      </c>
      <c r="B167" s="1240" t="s">
        <v>1975</v>
      </c>
      <c r="C167" s="1241" t="str">
        <f>EL_01001</f>
        <v>EL 01001</v>
      </c>
      <c r="D167" s="1242" t="s">
        <v>23</v>
      </c>
      <c r="E167" s="1242" t="str">
        <f>F166</f>
        <v>Monitoring System</v>
      </c>
      <c r="F167" s="1243" t="str">
        <f>'EL Parts'!B5</f>
        <v>Dashboard</v>
      </c>
      <c r="G167" s="1242"/>
      <c r="H167" s="1244">
        <f t="shared" ref="H167:H183" si="12">SUM(J167:M167)</f>
        <v>172.88800000000001</v>
      </c>
      <c r="I167" s="1245">
        <f>EL_A0001_q*EL_01001_q</f>
        <v>1</v>
      </c>
      <c r="J167" s="1246">
        <f>EL_01001_m</f>
        <v>144.75</v>
      </c>
      <c r="K167" s="1246">
        <f>EL_01001_p</f>
        <v>28.12</v>
      </c>
      <c r="L167" s="1246">
        <v>0</v>
      </c>
      <c r="M167" s="1246">
        <f>EL_01001_t</f>
        <v>1.7999999999999999E-2</v>
      </c>
      <c r="N167" s="1247">
        <f t="shared" ref="N167:N183" si="13">H167*I167</f>
        <v>172.88800000000001</v>
      </c>
      <c r="O167" s="1248"/>
    </row>
    <row r="168" spans="1:15" ht="15" x14ac:dyDescent="0.25">
      <c r="A168" s="1239">
        <v>159</v>
      </c>
      <c r="B168" s="1240" t="s">
        <v>1975</v>
      </c>
      <c r="C168" s="1241" t="str">
        <f>EL_01002</f>
        <v>EL 01002</v>
      </c>
      <c r="D168" s="1242" t="s">
        <v>23</v>
      </c>
      <c r="E168" s="1242" t="str">
        <f>F166</f>
        <v>Monitoring System</v>
      </c>
      <c r="F168" s="1243" t="str">
        <f>'EL Parts'!B49</f>
        <v>Welded Tabs</v>
      </c>
      <c r="G168" s="1242"/>
      <c r="H168" s="1244">
        <f t="shared" si="12"/>
        <v>6.2420643899999995</v>
      </c>
      <c r="I168" s="1245">
        <f>EL_A0001_q*EL_01002_q</f>
        <v>1</v>
      </c>
      <c r="J168" s="1246">
        <f>EL_01002_m</f>
        <v>0.22498678999999999</v>
      </c>
      <c r="K168" s="1246">
        <f>EL_01002_p</f>
        <v>6.0170775999999995</v>
      </c>
      <c r="L168" s="1246">
        <v>0</v>
      </c>
      <c r="M168" s="1246">
        <v>0</v>
      </c>
      <c r="N168" s="1247">
        <f t="shared" si="13"/>
        <v>6.2420643899999995</v>
      </c>
      <c r="O168" s="1248"/>
    </row>
    <row r="169" spans="1:15" ht="15" x14ac:dyDescent="0.25">
      <c r="A169" s="1239">
        <v>160</v>
      </c>
      <c r="B169" s="1240" t="s">
        <v>1975</v>
      </c>
      <c r="C169" s="1241" t="str">
        <f>EL_01003</f>
        <v>EL 01003</v>
      </c>
      <c r="D169" s="1242" t="s">
        <v>23</v>
      </c>
      <c r="E169" s="1242" t="str">
        <f>F166</f>
        <v>Monitoring System</v>
      </c>
      <c r="F169" s="1243" t="str">
        <f>'EL Parts'!B83</f>
        <v>Sensor Tabs</v>
      </c>
      <c r="G169" s="1242"/>
      <c r="H169" s="1244">
        <f t="shared" si="12"/>
        <v>12.841339849999999</v>
      </c>
      <c r="I169" s="1245">
        <f>EL_A0001_q*EL_01003_q</f>
        <v>1</v>
      </c>
      <c r="J169" s="1246">
        <f>EL_01003_m</f>
        <v>0.16133984999999998</v>
      </c>
      <c r="K169" s="1246">
        <f>EL_01003_p</f>
        <v>12.68</v>
      </c>
      <c r="L169" s="1246">
        <v>0</v>
      </c>
      <c r="M169" s="1246">
        <v>0</v>
      </c>
      <c r="N169" s="1247">
        <f t="shared" si="13"/>
        <v>12.841339849999999</v>
      </c>
      <c r="O169" s="1248"/>
    </row>
    <row r="170" spans="1:15" ht="15" x14ac:dyDescent="0.25">
      <c r="A170" s="1239">
        <v>161</v>
      </c>
      <c r="B170" s="1240" t="s">
        <v>1975</v>
      </c>
      <c r="C170" s="1241" t="str">
        <f>EL_01004</f>
        <v>EL 01004</v>
      </c>
      <c r="D170" s="1242" t="s">
        <v>23</v>
      </c>
      <c r="E170" s="1242" t="str">
        <f>F166</f>
        <v>Monitoring System</v>
      </c>
      <c r="F170" s="1243" t="str">
        <f>'EL Parts'!B109</f>
        <v>Speed Sensor Disc</v>
      </c>
      <c r="G170" s="1242"/>
      <c r="H170" s="1244">
        <f t="shared" si="12"/>
        <v>6.4382725000000001</v>
      </c>
      <c r="I170" s="1245">
        <f>EL_A0001_q*EL_01004_q</f>
        <v>2</v>
      </c>
      <c r="J170" s="1246">
        <f>EL_01004_m</f>
        <v>1.3882725000000002</v>
      </c>
      <c r="K170" s="1246">
        <f>EL_01004_p</f>
        <v>5.05</v>
      </c>
      <c r="L170" s="1246">
        <v>0</v>
      </c>
      <c r="M170" s="1246">
        <v>0</v>
      </c>
      <c r="N170" s="1247">
        <f t="shared" si="13"/>
        <v>12.876545</v>
      </c>
      <c r="O170" s="1248"/>
    </row>
    <row r="171" spans="1:15" ht="15" x14ac:dyDescent="0.25">
      <c r="A171" s="1239">
        <v>162</v>
      </c>
      <c r="B171" s="1240" t="s">
        <v>1975</v>
      </c>
      <c r="C171" s="1241" t="str">
        <f>EL_01005</f>
        <v>EL 01005</v>
      </c>
      <c r="D171" s="1242" t="s">
        <v>23</v>
      </c>
      <c r="E171" s="1242" t="str">
        <f>F166</f>
        <v>Monitoring System</v>
      </c>
      <c r="F171" s="1243" t="str">
        <f>'EL Parts'!B134</f>
        <v>Rear Roll Bar Mount</v>
      </c>
      <c r="G171" s="1242"/>
      <c r="H171" s="1244">
        <f t="shared" si="12"/>
        <v>1.9915438000000001</v>
      </c>
      <c r="I171" s="1245">
        <f>EL_A0001_q*EL_01005_q</f>
        <v>2</v>
      </c>
      <c r="J171" s="1246">
        <f>EL_01005_m</f>
        <v>6.1543799999999996E-2</v>
      </c>
      <c r="K171" s="1246">
        <f>EL_01005_p</f>
        <v>1.9300000000000002</v>
      </c>
      <c r="L171" s="1246">
        <v>0</v>
      </c>
      <c r="M171" s="1246">
        <v>0</v>
      </c>
      <c r="N171" s="1247">
        <f t="shared" si="13"/>
        <v>3.9830876000000002</v>
      </c>
      <c r="O171" s="1248"/>
    </row>
    <row r="172" spans="1:15" ht="15" x14ac:dyDescent="0.25">
      <c r="A172" s="1230">
        <v>163</v>
      </c>
      <c r="B172" s="1231" t="s">
        <v>1975</v>
      </c>
      <c r="C172" s="1232" t="str">
        <f>EL_A0002</f>
        <v>EL A0002</v>
      </c>
      <c r="D172" s="1232" t="s">
        <v>23</v>
      </c>
      <c r="E172" s="1232"/>
      <c r="F172" s="1233" t="str">
        <f>'EL Assemblies'!B90</f>
        <v>Battery Assembly</v>
      </c>
      <c r="G172" s="1232"/>
      <c r="H172" s="1234">
        <f t="shared" si="12"/>
        <v>90.5</v>
      </c>
      <c r="I172" s="1235">
        <f>EL_A0002_q</f>
        <v>1</v>
      </c>
      <c r="J172" s="1236">
        <f>EL_A0002_m</f>
        <v>73.3</v>
      </c>
      <c r="K172" s="1236">
        <f>EL_A0002_p</f>
        <v>14.5</v>
      </c>
      <c r="L172" s="1236">
        <f>EL_A0002_f</f>
        <v>0.70000000000000018</v>
      </c>
      <c r="M172" s="1236">
        <f>EL_A0002_t</f>
        <v>2</v>
      </c>
      <c r="N172" s="1237">
        <f t="shared" si="13"/>
        <v>90.5</v>
      </c>
      <c r="O172" s="1238"/>
    </row>
    <row r="173" spans="1:15" ht="15" x14ac:dyDescent="0.25">
      <c r="A173" s="1239">
        <v>164</v>
      </c>
      <c r="B173" s="1240" t="s">
        <v>1975</v>
      </c>
      <c r="C173" s="1241" t="str">
        <f>EL_02001</f>
        <v>EL 02001</v>
      </c>
      <c r="D173" s="1242" t="s">
        <v>23</v>
      </c>
      <c r="E173" s="1242" t="str">
        <f>F172</f>
        <v>Battery Assembly</v>
      </c>
      <c r="F173" s="1243" t="str">
        <f>'EL Parts'!B156</f>
        <v>Main battery mount</v>
      </c>
      <c r="G173" s="1242"/>
      <c r="H173" s="1244">
        <f t="shared" si="12"/>
        <v>4.2757152000000005</v>
      </c>
      <c r="I173" s="1245">
        <f>EL_A0002_q*EL_02001_q</f>
        <v>1</v>
      </c>
      <c r="J173" s="1246">
        <f>EL_02001_m</f>
        <v>0.8377152000000001</v>
      </c>
      <c r="K173" s="1246">
        <f>EL_02001_p</f>
        <v>3.4380000000000002</v>
      </c>
      <c r="L173" s="1246">
        <v>0</v>
      </c>
      <c r="M173" s="1246">
        <v>0</v>
      </c>
      <c r="N173" s="1247">
        <f t="shared" si="13"/>
        <v>4.2757152000000005</v>
      </c>
      <c r="O173" s="1248"/>
    </row>
    <row r="174" spans="1:15" ht="15" x14ac:dyDescent="0.25">
      <c r="A174" s="1239">
        <v>165</v>
      </c>
      <c r="B174" s="1240" t="s">
        <v>1975</v>
      </c>
      <c r="C174" s="1241" t="str">
        <f>EL_02002</f>
        <v>EL 02002</v>
      </c>
      <c r="D174" s="1242" t="s">
        <v>23</v>
      </c>
      <c r="E174" s="1242" t="str">
        <f>F172</f>
        <v>Battery Assembly</v>
      </c>
      <c r="F174" s="1243" t="str">
        <f>'EL Parts'!B182</f>
        <v>Side battery mount</v>
      </c>
      <c r="G174" s="1249"/>
      <c r="H174" s="1244">
        <f t="shared" si="12"/>
        <v>3.12764</v>
      </c>
      <c r="I174" s="1245">
        <f>EL_A0002_q*EL_02002_q</f>
        <v>2</v>
      </c>
      <c r="J174" s="1246">
        <f>EL_02002_m</f>
        <v>0.22764000000000004</v>
      </c>
      <c r="K174" s="1246">
        <f>EL_02002_p</f>
        <v>2.9</v>
      </c>
      <c r="L174" s="1246">
        <v>0</v>
      </c>
      <c r="M174" s="1246">
        <v>0</v>
      </c>
      <c r="N174" s="1247">
        <f t="shared" si="13"/>
        <v>6.25528</v>
      </c>
      <c r="O174" s="1248"/>
    </row>
    <row r="175" spans="1:15" ht="15" x14ac:dyDescent="0.25">
      <c r="A175" s="1239">
        <v>166</v>
      </c>
      <c r="B175" s="1240" t="s">
        <v>1975</v>
      </c>
      <c r="C175" s="1241" t="str">
        <f>EL_02003</f>
        <v>EL 02003</v>
      </c>
      <c r="D175" s="1242" t="s">
        <v>23</v>
      </c>
      <c r="E175" s="1242" t="str">
        <f>F172</f>
        <v>Battery Assembly</v>
      </c>
      <c r="F175" s="1243" t="str">
        <f>'EL Parts'!B208</f>
        <v>Front tab</v>
      </c>
      <c r="G175" s="1249"/>
      <c r="H175" s="1244">
        <f t="shared" si="12"/>
        <v>1.561561</v>
      </c>
      <c r="I175" s="1245">
        <f>EL_A0002_q*EL_02003_q</f>
        <v>5</v>
      </c>
      <c r="J175" s="1246">
        <f>EL_02003_m</f>
        <v>1.6611000000000001E-2</v>
      </c>
      <c r="K175" s="1246">
        <f>EL_02003_p</f>
        <v>1.54495</v>
      </c>
      <c r="L175" s="1246">
        <v>0</v>
      </c>
      <c r="M175" s="1246">
        <v>0</v>
      </c>
      <c r="N175" s="1247">
        <f t="shared" si="13"/>
        <v>7.8078050000000001</v>
      </c>
      <c r="O175" s="1248"/>
    </row>
    <row r="176" spans="1:15" ht="15" x14ac:dyDescent="0.25">
      <c r="A176" s="1239">
        <v>167</v>
      </c>
      <c r="B176" s="1240" t="s">
        <v>1975</v>
      </c>
      <c r="C176" s="1241" t="str">
        <f>EL_02004</f>
        <v>EL 02004</v>
      </c>
      <c r="D176" s="1242" t="s">
        <v>23</v>
      </c>
      <c r="E176" s="1242" t="str">
        <f>F172</f>
        <v>Battery Assembly</v>
      </c>
      <c r="F176" s="1243" t="str">
        <f>'EL Parts'!B230</f>
        <v>Rear tab</v>
      </c>
      <c r="G176" s="1249"/>
      <c r="H176" s="1244">
        <f t="shared" si="12"/>
        <v>1.567966</v>
      </c>
      <c r="I176" s="1245">
        <f>EL_A0002_q*EL_02004_q</f>
        <v>1</v>
      </c>
      <c r="J176" s="1246">
        <f>EL_02004_m</f>
        <v>2.0811000000000003E-2</v>
      </c>
      <c r="K176" s="1246">
        <f>EL_02004_p</f>
        <v>1.5471550000000001</v>
      </c>
      <c r="L176" s="1246">
        <v>0</v>
      </c>
      <c r="M176" s="1246">
        <v>0</v>
      </c>
      <c r="N176" s="1247">
        <f t="shared" si="13"/>
        <v>1.567966</v>
      </c>
      <c r="O176" s="1248"/>
    </row>
    <row r="177" spans="1:15" ht="15" x14ac:dyDescent="0.25">
      <c r="A177" s="1239">
        <v>168</v>
      </c>
      <c r="B177" s="1240" t="s">
        <v>1975</v>
      </c>
      <c r="C177" s="1241" t="str">
        <f>EL_02005</f>
        <v>EL 02005</v>
      </c>
      <c r="D177" s="1242" t="s">
        <v>23</v>
      </c>
      <c r="E177" s="1242" t="str">
        <f>F172</f>
        <v>Battery Assembly</v>
      </c>
      <c r="F177" s="1243" t="str">
        <f>'EL Parts'!B252</f>
        <v>Master Switch mount</v>
      </c>
      <c r="G177" s="1249"/>
      <c r="H177" s="1244">
        <f t="shared" si="12"/>
        <v>2.8121899999999997</v>
      </c>
      <c r="I177" s="1245">
        <f>EL_A0002_q*EL_02005_q</f>
        <v>1</v>
      </c>
      <c r="J177" s="1246">
        <f>EL_02005_m</f>
        <v>0.51218999999999992</v>
      </c>
      <c r="K177" s="1246">
        <f>EL_02005_p</f>
        <v>2.2999999999999998</v>
      </c>
      <c r="L177" s="1246">
        <v>0</v>
      </c>
      <c r="M177" s="1246">
        <v>0</v>
      </c>
      <c r="N177" s="1247">
        <f t="shared" si="13"/>
        <v>2.8121899999999997</v>
      </c>
      <c r="O177" s="1248"/>
    </row>
    <row r="178" spans="1:15" ht="15" x14ac:dyDescent="0.25">
      <c r="A178" s="1230">
        <v>169</v>
      </c>
      <c r="B178" s="1231" t="s">
        <v>1975</v>
      </c>
      <c r="C178" s="1232" t="str">
        <f>EL_A0003</f>
        <v>EL A0003</v>
      </c>
      <c r="D178" s="1232" t="s">
        <v>23</v>
      </c>
      <c r="E178" s="1232"/>
      <c r="F178" s="1233" t="str">
        <f>'EL Assemblies'!B157</f>
        <v>Forward harness wiring</v>
      </c>
      <c r="G178" s="1232"/>
      <c r="H178" s="1234">
        <f t="shared" si="12"/>
        <v>31.278333333333332</v>
      </c>
      <c r="I178" s="1235">
        <f>EL_A0002_q</f>
        <v>1</v>
      </c>
      <c r="J178" s="1236">
        <f>EL_A0003_m</f>
        <v>27.6</v>
      </c>
      <c r="K178" s="1236">
        <f>EL_A0003_p</f>
        <v>3.105</v>
      </c>
      <c r="L178" s="1236">
        <f>EL_A0003_f</f>
        <v>0.24</v>
      </c>
      <c r="M178" s="1236">
        <f>EL_A0003_t</f>
        <v>0.33333333333333331</v>
      </c>
      <c r="N178" s="1237">
        <f t="shared" si="13"/>
        <v>31.278333333333332</v>
      </c>
      <c r="O178" s="1238"/>
    </row>
    <row r="179" spans="1:15" ht="15" x14ac:dyDescent="0.25">
      <c r="A179" s="1239">
        <v>170</v>
      </c>
      <c r="B179" s="1240" t="s">
        <v>1975</v>
      </c>
      <c r="C179" s="1241" t="str">
        <f>EL_03001</f>
        <v>EL 03001</v>
      </c>
      <c r="D179" s="1242" t="s">
        <v>23</v>
      </c>
      <c r="E179" s="1242" t="str">
        <f>F178</f>
        <v>Forward harness wiring</v>
      </c>
      <c r="F179" s="1243" t="str">
        <f>'EL Parts'!B278</f>
        <v>Ground tab</v>
      </c>
      <c r="G179" s="1242"/>
      <c r="H179" s="1244">
        <f t="shared" si="12"/>
        <v>1.552411</v>
      </c>
      <c r="I179" s="1245">
        <f>EL_A0002_q*EL_02001_q</f>
        <v>1</v>
      </c>
      <c r="J179" s="1246">
        <f>EL_03001_m</f>
        <v>1.0611000000000001E-2</v>
      </c>
      <c r="K179" s="1246">
        <f>EL_03001_p</f>
        <v>1.5418000000000001</v>
      </c>
      <c r="L179" s="1246">
        <v>0</v>
      </c>
      <c r="M179" s="1246">
        <v>0</v>
      </c>
      <c r="N179" s="1247">
        <f t="shared" si="13"/>
        <v>1.552411</v>
      </c>
      <c r="O179" s="1248"/>
    </row>
    <row r="180" spans="1:15" ht="15" x14ac:dyDescent="0.25">
      <c r="A180" s="1230">
        <v>171</v>
      </c>
      <c r="B180" s="1231" t="s">
        <v>1975</v>
      </c>
      <c r="C180" s="1232" t="str">
        <f>EL_A0004</f>
        <v>EL A0004</v>
      </c>
      <c r="D180" s="1232" t="s">
        <v>23</v>
      </c>
      <c r="E180" s="1232"/>
      <c r="F180" s="1233" t="str">
        <f>'EL Assemblies'!B197</f>
        <v>Shifting system wiring harness</v>
      </c>
      <c r="G180" s="1232"/>
      <c r="H180" s="1234">
        <f t="shared" si="12"/>
        <v>43.69</v>
      </c>
      <c r="I180" s="1235">
        <f>EL_A0002_q</f>
        <v>1</v>
      </c>
      <c r="J180" s="1236">
        <f>EL_A0004_m</f>
        <v>16.849999999999998</v>
      </c>
      <c r="K180" s="1236">
        <f>EL_A0004_p</f>
        <v>26.839999999999996</v>
      </c>
      <c r="L180" s="1236">
        <v>0</v>
      </c>
      <c r="M180" s="1236">
        <v>0</v>
      </c>
      <c r="N180" s="1237">
        <f t="shared" si="13"/>
        <v>43.69</v>
      </c>
      <c r="O180" s="1238"/>
    </row>
    <row r="181" spans="1:15" ht="15" x14ac:dyDescent="0.25">
      <c r="A181" s="1239">
        <v>172</v>
      </c>
      <c r="B181" s="1240" t="s">
        <v>1975</v>
      </c>
      <c r="C181" s="1241" t="str">
        <f>EL_04001</f>
        <v>EL 04001</v>
      </c>
      <c r="D181" s="1242" t="s">
        <v>23</v>
      </c>
      <c r="E181" s="1242" t="str">
        <f>F180</f>
        <v>Shifting system wiring harness</v>
      </c>
      <c r="F181" s="1243" t="str">
        <f>'EL Parts'!B297</f>
        <v>Paddles connector mount</v>
      </c>
      <c r="G181" s="1242"/>
      <c r="H181" s="1244">
        <f t="shared" si="12"/>
        <v>1.5352842</v>
      </c>
      <c r="I181" s="1245">
        <f>EL_A0002_q*EL_02001_q</f>
        <v>1</v>
      </c>
      <c r="J181" s="1246">
        <f>EL_04001_m</f>
        <v>3.5284200000000009E-2</v>
      </c>
      <c r="K181" s="1246">
        <f>EL_04001_p</f>
        <v>1.5</v>
      </c>
      <c r="L181" s="1246">
        <v>0</v>
      </c>
      <c r="M181" s="1246">
        <v>0</v>
      </c>
      <c r="N181" s="1247">
        <f t="shared" si="13"/>
        <v>1.5352842</v>
      </c>
      <c r="O181" s="1248"/>
    </row>
    <row r="182" spans="1:15" ht="15" x14ac:dyDescent="0.25">
      <c r="A182" s="1230">
        <v>173</v>
      </c>
      <c r="B182" s="1231" t="s">
        <v>1975</v>
      </c>
      <c r="C182" s="1232" t="str">
        <f>EL_A0005</f>
        <v>EL A0005</v>
      </c>
      <c r="D182" s="1232" t="s">
        <v>23</v>
      </c>
      <c r="E182" s="1232"/>
      <c r="F182" s="1233" t="str">
        <f>'EL Assemblies'!B232</f>
        <v>Gearbox actuator wiring harness</v>
      </c>
      <c r="G182" s="1232"/>
      <c r="H182" s="1234">
        <f t="shared" si="12"/>
        <v>20.82</v>
      </c>
      <c r="I182" s="1235">
        <f>EL_A0002_q</f>
        <v>1</v>
      </c>
      <c r="J182" s="1236">
        <f>EL_A0005_m</f>
        <v>9.4999999999999982</v>
      </c>
      <c r="K182" s="1236">
        <f>EL_A0005_p</f>
        <v>11.32</v>
      </c>
      <c r="L182" s="1236">
        <v>0</v>
      </c>
      <c r="M182" s="1236">
        <v>0</v>
      </c>
      <c r="N182" s="1237">
        <f t="shared" si="13"/>
        <v>20.82</v>
      </c>
      <c r="O182" s="1238"/>
    </row>
    <row r="183" spans="1:15" ht="15.75" thickBot="1" x14ac:dyDescent="0.3">
      <c r="A183" s="1230">
        <v>174</v>
      </c>
      <c r="B183" s="1231" t="s">
        <v>1975</v>
      </c>
      <c r="C183" s="1232" t="str">
        <f>EL_A0006</f>
        <v>EL A0006</v>
      </c>
      <c r="D183" s="1232" t="s">
        <v>23</v>
      </c>
      <c r="E183" s="1232"/>
      <c r="F183" s="1233" t="str">
        <f>'EL Assemblies'!B259</f>
        <v>Rear Firewall</v>
      </c>
      <c r="G183" s="1232"/>
      <c r="H183" s="1234">
        <f t="shared" si="12"/>
        <v>1116.2499999999998</v>
      </c>
      <c r="I183" s="1235">
        <f>EL_A0002_q</f>
        <v>1</v>
      </c>
      <c r="J183" s="1236">
        <f>EL_A0006_m</f>
        <v>956.99999999999989</v>
      </c>
      <c r="K183" s="1236">
        <f>EL_A0006_p</f>
        <v>158.38</v>
      </c>
      <c r="L183" s="1236">
        <f>EL_A0006_f</f>
        <v>0.87</v>
      </c>
      <c r="M183" s="1236">
        <v>0</v>
      </c>
      <c r="N183" s="1237">
        <f t="shared" si="13"/>
        <v>1116.2499999999998</v>
      </c>
      <c r="O183" s="1238"/>
    </row>
    <row r="184" spans="1:15" ht="15.75" thickTop="1" thickBot="1" x14ac:dyDescent="0.25">
      <c r="A184" s="40"/>
      <c r="B184" s="39" t="s">
        <v>8</v>
      </c>
      <c r="C184" s="38"/>
      <c r="D184" s="38"/>
      <c r="E184" s="38"/>
      <c r="F184" s="39" t="s">
        <v>20</v>
      </c>
      <c r="G184" s="38"/>
      <c r="H184" s="37"/>
      <c r="I184" s="36"/>
      <c r="J184" s="35">
        <f>SUMPRODUCT($I166:$I183,J166:J183)</f>
        <v>1510.7659056399998</v>
      </c>
      <c r="K184" s="35">
        <f>SUMPRODUCT($I166:$I183,K166:K183)</f>
        <v>373.70128260000001</v>
      </c>
      <c r="L184" s="35">
        <f>SUMPRODUCT($I166:$I183,L166:L183)</f>
        <v>5.870000000000001</v>
      </c>
      <c r="M184" s="35">
        <f>SUMPRODUCT($I166:$I183,M166:M183)</f>
        <v>7.3513333333333328</v>
      </c>
      <c r="N184" s="35">
        <f>SUM(N166:N183)</f>
        <v>1897.6885215733332</v>
      </c>
      <c r="O184" s="34"/>
    </row>
    <row r="185" spans="1:15" ht="15.75" thickTop="1" x14ac:dyDescent="0.25">
      <c r="A185" s="1341">
        <v>175</v>
      </c>
      <c r="B185" s="1342" t="s">
        <v>2210</v>
      </c>
      <c r="C185" s="1343" t="str">
        <f>MS_A0001</f>
        <v>MS A0001</v>
      </c>
      <c r="D185" s="1343" t="s">
        <v>23</v>
      </c>
      <c r="E185" s="1343"/>
      <c r="F185" s="1360" t="str">
        <f>'MS Assemblies'!B4</f>
        <v>Firewall</v>
      </c>
      <c r="G185" s="1343"/>
      <c r="H185" s="1344">
        <f t="shared" ref="H185:H204" si="14">SUM(J185:M185)</f>
        <v>30.312916666666666</v>
      </c>
      <c r="I185" s="1344">
        <f>MS_A0001_q</f>
        <v>1</v>
      </c>
      <c r="J185" s="1344">
        <f>MS_A0001_m</f>
        <v>0.1</v>
      </c>
      <c r="K185" s="1344">
        <f>MS_A0001_p</f>
        <v>20.346250000000001</v>
      </c>
      <c r="L185" s="1344">
        <f>MS_A0001_f</f>
        <v>1.2</v>
      </c>
      <c r="M185" s="1344">
        <f>MS_A0001_t</f>
        <v>8.6666666666666661</v>
      </c>
      <c r="N185" s="1344">
        <f t="shared" ref="N185:N204" si="15">H185*I185</f>
        <v>30.312916666666666</v>
      </c>
      <c r="O185" s="1345"/>
    </row>
    <row r="186" spans="1:15" ht="15" x14ac:dyDescent="0.25">
      <c r="A186" s="1346">
        <v>176</v>
      </c>
      <c r="B186" s="1347" t="s">
        <v>2210</v>
      </c>
      <c r="C186" s="1348" t="str">
        <f>MS_01001</f>
        <v>MS 01001</v>
      </c>
      <c r="D186" s="1349" t="s">
        <v>23</v>
      </c>
      <c r="E186" s="1349" t="str">
        <f>F185</f>
        <v>Firewall</v>
      </c>
      <c r="F186" s="1361" t="str">
        <f>'MS Parts'!B5</f>
        <v>Firewall Main Plate</v>
      </c>
      <c r="G186" s="1349"/>
      <c r="H186" s="1350">
        <f t="shared" si="14"/>
        <v>17.810189504</v>
      </c>
      <c r="I186" s="1350">
        <f>MS_01001_q</f>
        <v>1</v>
      </c>
      <c r="J186" s="1350">
        <f>MS_01001_m</f>
        <v>6.0901895039999996</v>
      </c>
      <c r="K186" s="1350">
        <f>MS_01001_p</f>
        <v>11.719999999999999</v>
      </c>
      <c r="L186" s="1350">
        <v>0</v>
      </c>
      <c r="M186" s="1350">
        <v>0</v>
      </c>
      <c r="N186" s="1350">
        <f t="shared" si="15"/>
        <v>17.810189504</v>
      </c>
      <c r="O186" s="1351"/>
    </row>
    <row r="187" spans="1:15" ht="15" x14ac:dyDescent="0.25">
      <c r="A187" s="1346">
        <v>177</v>
      </c>
      <c r="B187" s="1347" t="s">
        <v>2210</v>
      </c>
      <c r="C187" s="1348" t="str">
        <f t="shared" ref="C187" si="16">MS_01002</f>
        <v>MS 01002</v>
      </c>
      <c r="D187" s="1349" t="s">
        <v>23</v>
      </c>
      <c r="E187" s="1349" t="str">
        <f>F185</f>
        <v>Firewall</v>
      </c>
      <c r="F187" s="1361" t="str">
        <f>'MS Parts'!B33</f>
        <v>Firewall Bottom Side Plate</v>
      </c>
      <c r="G187" s="1349"/>
      <c r="H187" s="1350">
        <f t="shared" si="14"/>
        <v>5.092841452</v>
      </c>
      <c r="I187" s="1350">
        <f>MS_01002_q</f>
        <v>2</v>
      </c>
      <c r="J187" s="1350">
        <f>MS_01002_m</f>
        <v>0.73284145200000006</v>
      </c>
      <c r="K187" s="1350">
        <f>MS_01002_p</f>
        <v>4.3600000000000003</v>
      </c>
      <c r="L187" s="1350">
        <v>0</v>
      </c>
      <c r="M187" s="1350">
        <v>0</v>
      </c>
      <c r="N187" s="1350">
        <f t="shared" si="15"/>
        <v>10.185682904</v>
      </c>
      <c r="O187" s="1351"/>
    </row>
    <row r="188" spans="1:15" ht="15" x14ac:dyDescent="0.25">
      <c r="A188" s="1346">
        <v>178</v>
      </c>
      <c r="B188" s="1347" t="s">
        <v>2210</v>
      </c>
      <c r="C188" s="1348" t="str">
        <f>MS_01003</f>
        <v>MS 01003</v>
      </c>
      <c r="D188" s="1349" t="s">
        <v>23</v>
      </c>
      <c r="E188" s="1349" t="str">
        <f>F185</f>
        <v>Firewall</v>
      </c>
      <c r="F188" s="1361" t="str">
        <f>'MS Parts'!B58</f>
        <v>Firewall Top Side Plate</v>
      </c>
      <c r="G188" s="1349"/>
      <c r="H188" s="1350">
        <f t="shared" si="14"/>
        <v>5.8083013120000002</v>
      </c>
      <c r="I188" s="1350">
        <f>MS_01003_q</f>
        <v>2</v>
      </c>
      <c r="J188" s="1350">
        <f>MS_01003_m</f>
        <v>1.0883013120000005</v>
      </c>
      <c r="K188" s="1350">
        <f>MS_01003_p</f>
        <v>4.72</v>
      </c>
      <c r="L188" s="1350">
        <v>0</v>
      </c>
      <c r="M188" s="1350">
        <v>0</v>
      </c>
      <c r="N188" s="1350">
        <f t="shared" si="15"/>
        <v>11.616602624</v>
      </c>
      <c r="O188" s="1351"/>
    </row>
    <row r="189" spans="1:15" ht="15" x14ac:dyDescent="0.25">
      <c r="A189" s="1346">
        <v>179</v>
      </c>
      <c r="B189" s="1347" t="s">
        <v>2210</v>
      </c>
      <c r="C189" s="1348" t="str">
        <f>MS_01004</f>
        <v>MS 01004</v>
      </c>
      <c r="D189" s="1349" t="s">
        <v>23</v>
      </c>
      <c r="E189" s="1349" t="str">
        <f>F185</f>
        <v>Firewall</v>
      </c>
      <c r="F189" s="1361" t="str">
        <f>'MS Parts'!B83</f>
        <v>Firewall Hole Plate</v>
      </c>
      <c r="G189" s="1349"/>
      <c r="H189" s="1350">
        <f t="shared" si="14"/>
        <v>3.5446966999999998</v>
      </c>
      <c r="I189" s="1350">
        <f>MS_01004_q</f>
        <v>1</v>
      </c>
      <c r="J189" s="1350">
        <f>MS_01004_m</f>
        <v>0.24869670000000002</v>
      </c>
      <c r="K189" s="1350">
        <f>MS_01004_p</f>
        <v>3.2959999999999998</v>
      </c>
      <c r="L189" s="1350">
        <v>0</v>
      </c>
      <c r="M189" s="1350">
        <v>0</v>
      </c>
      <c r="N189" s="1350">
        <f t="shared" si="15"/>
        <v>3.5446966999999998</v>
      </c>
      <c r="O189" s="1351"/>
    </row>
    <row r="190" spans="1:15" ht="15" x14ac:dyDescent="0.25">
      <c r="A190" s="1346">
        <v>180</v>
      </c>
      <c r="B190" s="1347" t="s">
        <v>2210</v>
      </c>
      <c r="C190" s="1348" t="str">
        <f>MS_01005</f>
        <v>MS 01005</v>
      </c>
      <c r="D190" s="1349" t="s">
        <v>23</v>
      </c>
      <c r="E190" s="1349" t="str">
        <f>F185</f>
        <v>Firewall</v>
      </c>
      <c r="F190" s="1361" t="str">
        <f>'MS Parts'!B107</f>
        <v>Firewall Top Plate</v>
      </c>
      <c r="G190" s="1349"/>
      <c r="H190" s="1350">
        <f t="shared" si="14"/>
        <v>8.1545504559999991</v>
      </c>
      <c r="I190" s="1350">
        <f>MS_01005_q</f>
        <v>1</v>
      </c>
      <c r="J190" s="1350">
        <f>MS_01005_m</f>
        <v>1.2145504560000002</v>
      </c>
      <c r="K190" s="1350">
        <f>MS_01005_p</f>
        <v>6.9399999999999995</v>
      </c>
      <c r="L190" s="1350">
        <v>0</v>
      </c>
      <c r="M190" s="1350">
        <v>0</v>
      </c>
      <c r="N190" s="1350">
        <f t="shared" si="15"/>
        <v>8.1545504559999991</v>
      </c>
      <c r="O190" s="1351"/>
    </row>
    <row r="191" spans="1:15" ht="15" x14ac:dyDescent="0.25">
      <c r="A191" s="1346">
        <v>181</v>
      </c>
      <c r="B191" s="1347" t="s">
        <v>2210</v>
      </c>
      <c r="C191" s="1348" t="str">
        <f>MS_01006</f>
        <v>MS 01006</v>
      </c>
      <c r="D191" s="1349" t="s">
        <v>23</v>
      </c>
      <c r="E191" s="1349" t="str">
        <f>F185</f>
        <v>Firewall</v>
      </c>
      <c r="F191" s="1361" t="str">
        <f>'MS Parts'!B133</f>
        <v>Firewall Head Side Plate</v>
      </c>
      <c r="G191" s="1349"/>
      <c r="H191" s="1350">
        <f t="shared" si="14"/>
        <v>10.863555840000002</v>
      </c>
      <c r="I191" s="1350">
        <f>MS_01006_q</f>
        <v>1</v>
      </c>
      <c r="J191" s="1350">
        <f>MS_01006_m</f>
        <v>0.5135558400000001</v>
      </c>
      <c r="K191" s="1350">
        <f>MS_01006_p</f>
        <v>10.350000000000001</v>
      </c>
      <c r="L191" s="1350">
        <v>0</v>
      </c>
      <c r="M191" s="1350">
        <v>0</v>
      </c>
      <c r="N191" s="1350">
        <f t="shared" si="15"/>
        <v>10.863555840000002</v>
      </c>
      <c r="O191" s="1351"/>
    </row>
    <row r="192" spans="1:15" ht="15" x14ac:dyDescent="0.25">
      <c r="A192" s="1346">
        <v>182</v>
      </c>
      <c r="B192" s="1347" t="s">
        <v>2210</v>
      </c>
      <c r="C192" s="1348" t="str">
        <f>MS_01007</f>
        <v>MS 01007</v>
      </c>
      <c r="D192" s="1349" t="s">
        <v>23</v>
      </c>
      <c r="E192" s="1349" t="str">
        <f>F185</f>
        <v>Firewall</v>
      </c>
      <c r="F192" s="1361" t="str">
        <f>'MS Parts'!B158</f>
        <v>Firewall Tab</v>
      </c>
      <c r="G192" s="1349"/>
      <c r="H192" s="1350">
        <f t="shared" si="14"/>
        <v>0.55291324000000008</v>
      </c>
      <c r="I192" s="1350">
        <f>MS_01007_q</f>
        <v>26</v>
      </c>
      <c r="J192" s="1350">
        <f>MS_01007_m</f>
        <v>8.9132400000000011E-3</v>
      </c>
      <c r="K192" s="1350">
        <f>MS_01007_p</f>
        <v>0.54400000000000004</v>
      </c>
      <c r="L192" s="1350">
        <v>0</v>
      </c>
      <c r="M192" s="1350">
        <v>0</v>
      </c>
      <c r="N192" s="1350">
        <f t="shared" si="15"/>
        <v>14.375744240000003</v>
      </c>
      <c r="O192" s="1351"/>
    </row>
    <row r="193" spans="1:15" ht="15" x14ac:dyDescent="0.25">
      <c r="A193" s="1341">
        <v>183</v>
      </c>
      <c r="B193" s="1342" t="s">
        <v>2210</v>
      </c>
      <c r="C193" s="1343" t="str">
        <f>MS_A0002</f>
        <v>MS A0002</v>
      </c>
      <c r="D193" s="1343" t="s">
        <v>23</v>
      </c>
      <c r="E193" s="1343"/>
      <c r="F193" s="1360" t="str">
        <f>'MS Assemblies'!B52</f>
        <v>Harness</v>
      </c>
      <c r="G193" s="1343"/>
      <c r="H193" s="1344">
        <f t="shared" si="14"/>
        <v>60.089166666666664</v>
      </c>
      <c r="I193" s="1344">
        <f>MS_A0002_q</f>
        <v>1</v>
      </c>
      <c r="J193" s="1344">
        <f>MS_A0002_m</f>
        <v>46.2</v>
      </c>
      <c r="K193" s="1344">
        <f>MS_A0002_p</f>
        <v>10.182499999999999</v>
      </c>
      <c r="L193" s="1344">
        <f>MS_A0002_f</f>
        <v>3.04</v>
      </c>
      <c r="M193" s="1344">
        <f>MS_A0002_t</f>
        <v>0.66666666666666663</v>
      </c>
      <c r="N193" s="1344">
        <f t="shared" si="15"/>
        <v>60.089166666666664</v>
      </c>
      <c r="O193" s="1345"/>
    </row>
    <row r="194" spans="1:15" ht="15" x14ac:dyDescent="0.25">
      <c r="A194" s="1346">
        <v>184</v>
      </c>
      <c r="B194" s="1347" t="s">
        <v>2210</v>
      </c>
      <c r="C194" s="1348" t="str">
        <f>MS_02001</f>
        <v>MS 02001</v>
      </c>
      <c r="D194" s="1349" t="s">
        <v>23</v>
      </c>
      <c r="E194" s="1349" t="str">
        <f>F193</f>
        <v>Harness</v>
      </c>
      <c r="F194" s="1361" t="str">
        <f>'MS Parts'!B181</f>
        <v>Harness Tab</v>
      </c>
      <c r="G194" s="1349"/>
      <c r="H194" s="1350">
        <f t="shared" si="14"/>
        <v>1.2486790400000001</v>
      </c>
      <c r="I194" s="1350">
        <f>MS_02001_q</f>
        <v>2</v>
      </c>
      <c r="J194" s="1350">
        <f>MS_02001_m</f>
        <v>9.1679040000000017E-2</v>
      </c>
      <c r="K194" s="1350">
        <f>MS_02001_p</f>
        <v>1.157</v>
      </c>
      <c r="L194" s="1350">
        <v>0</v>
      </c>
      <c r="M194" s="1350">
        <v>0</v>
      </c>
      <c r="N194" s="1350">
        <f t="shared" si="15"/>
        <v>2.4973580800000001</v>
      </c>
      <c r="O194" s="1351"/>
    </row>
    <row r="195" spans="1:15" ht="15" x14ac:dyDescent="0.25">
      <c r="A195" s="1341">
        <v>185</v>
      </c>
      <c r="B195" s="1342" t="s">
        <v>2210</v>
      </c>
      <c r="C195" s="1343" t="str">
        <f>MS_A0003</f>
        <v>MS A0003</v>
      </c>
      <c r="D195" s="1343" t="s">
        <v>23</v>
      </c>
      <c r="E195" s="1343"/>
      <c r="F195" s="1360" t="str">
        <f>'MS Assemblies'!B95</f>
        <v>Headrest</v>
      </c>
      <c r="G195" s="1343"/>
      <c r="H195" s="1344">
        <f t="shared" si="14"/>
        <v>62.464583333333344</v>
      </c>
      <c r="I195" s="1344">
        <f>MS_A0003_q</f>
        <v>1</v>
      </c>
      <c r="J195" s="1344">
        <f>MS_A0003_m</f>
        <v>11.52</v>
      </c>
      <c r="K195" s="1344">
        <f>MS_A0003_p</f>
        <v>48.331250000000011</v>
      </c>
      <c r="L195" s="1344">
        <f>MS_A0003_f</f>
        <v>1.28</v>
      </c>
      <c r="M195" s="1344">
        <f>MS_A0003_t</f>
        <v>1.3333333333333333</v>
      </c>
      <c r="N195" s="1344">
        <f t="shared" si="15"/>
        <v>62.464583333333344</v>
      </c>
      <c r="O195" s="1345"/>
    </row>
    <row r="196" spans="1:15" ht="15" x14ac:dyDescent="0.25">
      <c r="A196" s="1346">
        <v>186</v>
      </c>
      <c r="B196" s="1347" t="s">
        <v>2210</v>
      </c>
      <c r="C196" s="1348" t="str">
        <f>MS_03001</f>
        <v>MS 03001</v>
      </c>
      <c r="D196" s="1349" t="s">
        <v>23</v>
      </c>
      <c r="E196" s="1349" t="str">
        <f>F195</f>
        <v>Headrest</v>
      </c>
      <c r="F196" s="1361" t="str">
        <f>'MS Parts'!B204</f>
        <v>Headrest Plate</v>
      </c>
      <c r="G196" s="1349"/>
      <c r="H196" s="1350">
        <f t="shared" si="14"/>
        <v>8.0538755999999996</v>
      </c>
      <c r="I196" s="1350">
        <f>MS_03001_q</f>
        <v>1</v>
      </c>
      <c r="J196" s="1350">
        <f>MS_03001_m</f>
        <v>2.6838755999999999</v>
      </c>
      <c r="K196" s="1350">
        <f>MS_03001_p</f>
        <v>5.3699999999999992</v>
      </c>
      <c r="L196" s="1350">
        <v>0</v>
      </c>
      <c r="M196" s="1350">
        <v>0</v>
      </c>
      <c r="N196" s="1350">
        <f t="shared" si="15"/>
        <v>8.0538755999999996</v>
      </c>
      <c r="O196" s="1351"/>
    </row>
    <row r="197" spans="1:15" ht="15" x14ac:dyDescent="0.25">
      <c r="A197" s="1346">
        <v>187</v>
      </c>
      <c r="B197" s="1347" t="s">
        <v>2210</v>
      </c>
      <c r="C197" s="1348" t="str">
        <f>MS_03002</f>
        <v>MS 03002</v>
      </c>
      <c r="D197" s="1349" t="s">
        <v>23</v>
      </c>
      <c r="E197" s="1349" t="str">
        <f>F195</f>
        <v>Headrest</v>
      </c>
      <c r="F197" s="1361" t="str">
        <f>'MS Parts'!B230</f>
        <v>Headrest Top Tabs</v>
      </c>
      <c r="G197" s="1349"/>
      <c r="H197" s="1350">
        <f t="shared" si="14"/>
        <v>0.96332825</v>
      </c>
      <c r="I197" s="1350">
        <f>MS_03002_q</f>
        <v>2</v>
      </c>
      <c r="J197" s="1350">
        <f>MS_03002_m</f>
        <v>4.3328250000000006E-2</v>
      </c>
      <c r="K197" s="1350">
        <f>MS_03002_p</f>
        <v>0.92</v>
      </c>
      <c r="L197" s="1350">
        <v>0</v>
      </c>
      <c r="M197" s="1350">
        <v>0</v>
      </c>
      <c r="N197" s="1350">
        <f t="shared" si="15"/>
        <v>1.9266565</v>
      </c>
      <c r="O197" s="1351"/>
    </row>
    <row r="198" spans="1:15" ht="15" x14ac:dyDescent="0.25">
      <c r="A198" s="1346">
        <v>188</v>
      </c>
      <c r="B198" s="1347" t="s">
        <v>2210</v>
      </c>
      <c r="C198" s="1348" t="str">
        <f>MS_03003</f>
        <v>MS 03003</v>
      </c>
      <c r="D198" s="1349" t="s">
        <v>23</v>
      </c>
      <c r="E198" s="1349" t="str">
        <f>F195</f>
        <v>Headrest</v>
      </c>
      <c r="F198" s="1361" t="str">
        <f>'MS Parts'!B254</f>
        <v>Headrest Bottom Tabs</v>
      </c>
      <c r="G198" s="1349"/>
      <c r="H198" s="1350">
        <f t="shared" si="14"/>
        <v>1.0195596800000002</v>
      </c>
      <c r="I198" s="1350">
        <f>MS_03003_q</f>
        <v>2</v>
      </c>
      <c r="J198" s="1350">
        <f>MS_03003_m</f>
        <v>3.0559679999999999E-2</v>
      </c>
      <c r="K198" s="1350">
        <f>MS_03003_p</f>
        <v>0.9890000000000001</v>
      </c>
      <c r="L198" s="1350">
        <v>0</v>
      </c>
      <c r="M198" s="1350">
        <v>0</v>
      </c>
      <c r="N198" s="1350">
        <f t="shared" si="15"/>
        <v>2.0391193600000004</v>
      </c>
      <c r="O198" s="1351"/>
    </row>
    <row r="199" spans="1:15" ht="15" x14ac:dyDescent="0.25">
      <c r="A199" s="1341">
        <v>189</v>
      </c>
      <c r="B199" s="1342" t="s">
        <v>2210</v>
      </c>
      <c r="C199" s="1343" t="str">
        <f>MS_A0004</f>
        <v>MS A0004</v>
      </c>
      <c r="D199" s="1343" t="s">
        <v>23</v>
      </c>
      <c r="E199" s="1343"/>
      <c r="F199" s="1360" t="str">
        <f>'MS Assemblies'!B144</f>
        <v>Safety</v>
      </c>
      <c r="G199" s="1343"/>
      <c r="H199" s="1344">
        <f t="shared" si="14"/>
        <v>0.42000000000000004</v>
      </c>
      <c r="I199" s="1344">
        <f>MS_A0004_q</f>
        <v>1</v>
      </c>
      <c r="J199" s="1344">
        <v>0</v>
      </c>
      <c r="K199" s="1344">
        <f>MS_A0004_p</f>
        <v>0.26</v>
      </c>
      <c r="L199" s="1344">
        <f>MS_A0004_f</f>
        <v>0.16</v>
      </c>
      <c r="M199" s="1344">
        <v>0</v>
      </c>
      <c r="N199" s="1344">
        <f t="shared" si="15"/>
        <v>0.42000000000000004</v>
      </c>
      <c r="O199" s="1345"/>
    </row>
    <row r="200" spans="1:15" ht="15" x14ac:dyDescent="0.25">
      <c r="A200" s="1346">
        <v>190</v>
      </c>
      <c r="B200" s="1347" t="s">
        <v>2210</v>
      </c>
      <c r="C200" s="1348" t="str">
        <f>MS_04001</f>
        <v>MS 04001</v>
      </c>
      <c r="D200" s="1349" t="s">
        <v>23</v>
      </c>
      <c r="E200" s="1349" t="str">
        <f>F199</f>
        <v>Safety</v>
      </c>
      <c r="F200" s="1361" t="str">
        <f>'MS Parts'!B278</f>
        <v>Roll Bar Padding</v>
      </c>
      <c r="G200" s="1349"/>
      <c r="H200" s="1350">
        <f t="shared" si="14"/>
        <v>1.2486790400000001</v>
      </c>
      <c r="I200" s="1350">
        <f>MS_02001_q</f>
        <v>2</v>
      </c>
      <c r="J200" s="1350">
        <f>MS_02001_m</f>
        <v>9.1679040000000017E-2</v>
      </c>
      <c r="K200" s="1350">
        <f>MS_02001_p</f>
        <v>1.157</v>
      </c>
      <c r="L200" s="1350">
        <v>0</v>
      </c>
      <c r="M200" s="1350">
        <v>0</v>
      </c>
      <c r="N200" s="1350">
        <f t="shared" si="15"/>
        <v>2.4973580800000001</v>
      </c>
      <c r="O200" s="1351"/>
    </row>
    <row r="201" spans="1:15" ht="15" x14ac:dyDescent="0.25">
      <c r="A201" s="1341">
        <v>191</v>
      </c>
      <c r="B201" s="1342" t="s">
        <v>2210</v>
      </c>
      <c r="C201" s="1343" t="str">
        <f>MS_A0005</f>
        <v>MS A0005</v>
      </c>
      <c r="D201" s="1343" t="s">
        <v>23</v>
      </c>
      <c r="E201" s="1343"/>
      <c r="F201" s="1360" t="str">
        <f>'MS Assemblies'!B166</f>
        <v>Seat</v>
      </c>
      <c r="G201" s="1343"/>
      <c r="H201" s="1344">
        <f t="shared" si="14"/>
        <v>18.292916666666667</v>
      </c>
      <c r="I201" s="1344">
        <f>MS_A0005_q</f>
        <v>1</v>
      </c>
      <c r="J201" s="1344">
        <f>MS_A0005_m</f>
        <v>2.6</v>
      </c>
      <c r="K201" s="1344">
        <f>MS_A0005_p</f>
        <v>10.826249999999998</v>
      </c>
      <c r="L201" s="1344">
        <f>MS_A0005_f</f>
        <v>2.2000000000000002</v>
      </c>
      <c r="M201" s="1344">
        <f>MS_A0005_t</f>
        <v>2.6666666666666665</v>
      </c>
      <c r="N201" s="1344">
        <f t="shared" si="15"/>
        <v>18.292916666666667</v>
      </c>
      <c r="O201" s="1345"/>
    </row>
    <row r="202" spans="1:15" ht="15" x14ac:dyDescent="0.25">
      <c r="A202" s="1346">
        <v>192</v>
      </c>
      <c r="B202" s="1347" t="s">
        <v>2210</v>
      </c>
      <c r="C202" s="1348" t="str">
        <f>MS_05001</f>
        <v>MS 05001</v>
      </c>
      <c r="D202" s="1349" t="s">
        <v>23</v>
      </c>
      <c r="E202" s="1349" t="str">
        <f>F201</f>
        <v>Seat</v>
      </c>
      <c r="F202" s="1361" t="str">
        <f>'MS Parts'!B297</f>
        <v>Composite seat structure</v>
      </c>
      <c r="G202" s="1349"/>
      <c r="H202" s="1350">
        <f t="shared" si="14"/>
        <v>198.86666666666665</v>
      </c>
      <c r="I202" s="1350">
        <f>MS_05001_q</f>
        <v>1</v>
      </c>
      <c r="J202" s="1350">
        <f>MS_05001_m</f>
        <v>94.399999999999991</v>
      </c>
      <c r="K202" s="1350">
        <f>MS_05001_p</f>
        <v>103</v>
      </c>
      <c r="L202" s="1350">
        <v>0</v>
      </c>
      <c r="M202" s="1350">
        <f>MS_05001_t</f>
        <v>1.4666666666666666</v>
      </c>
      <c r="N202" s="1350">
        <f t="shared" si="15"/>
        <v>198.86666666666665</v>
      </c>
      <c r="O202" s="1351"/>
    </row>
    <row r="203" spans="1:15" ht="15" x14ac:dyDescent="0.25">
      <c r="A203" s="1346">
        <v>193</v>
      </c>
      <c r="B203" s="1347" t="s">
        <v>2210</v>
      </c>
      <c r="C203" s="1348" t="str">
        <f>MS_05002</f>
        <v>MS 05002</v>
      </c>
      <c r="D203" s="1349" t="s">
        <v>23</v>
      </c>
      <c r="E203" s="1349" t="str">
        <f>F201</f>
        <v>Seat</v>
      </c>
      <c r="F203" s="1361" t="str">
        <f>'MS Parts'!B328</f>
        <v>Lower Seat Tabs</v>
      </c>
      <c r="G203" s="1349"/>
      <c r="H203" s="1350">
        <f t="shared" si="14"/>
        <v>1.7097400000000003</v>
      </c>
      <c r="I203" s="1350">
        <f>MS_05002_q</f>
        <v>2</v>
      </c>
      <c r="J203" s="1350">
        <f>MS_05002_m</f>
        <v>7.0739999999999997E-2</v>
      </c>
      <c r="K203" s="1350">
        <f>MS_05002_p</f>
        <v>1.6390000000000002</v>
      </c>
      <c r="L203" s="1350">
        <v>0</v>
      </c>
      <c r="M203" s="1350">
        <v>0</v>
      </c>
      <c r="N203" s="1350">
        <f t="shared" si="15"/>
        <v>3.4194800000000005</v>
      </c>
      <c r="O203" s="1351"/>
    </row>
    <row r="204" spans="1:15" ht="15.75" thickBot="1" x14ac:dyDescent="0.3">
      <c r="A204" s="1346">
        <v>194</v>
      </c>
      <c r="B204" s="1347" t="s">
        <v>2210</v>
      </c>
      <c r="C204" s="1348" t="str">
        <f>MS_05003</f>
        <v>MS 05003</v>
      </c>
      <c r="D204" s="1349" t="s">
        <v>23</v>
      </c>
      <c r="E204" s="1349" t="str">
        <f>F201</f>
        <v>Seat</v>
      </c>
      <c r="F204" s="1361" t="str">
        <f>'MS Parts'!B352</f>
        <v>Back Seat Tabs</v>
      </c>
      <c r="G204" s="1349"/>
      <c r="H204" s="1350">
        <f t="shared" si="14"/>
        <v>2.1069360599999998</v>
      </c>
      <c r="I204" s="1350">
        <f>MS_05003_q</f>
        <v>2</v>
      </c>
      <c r="J204" s="1350">
        <f>MS_05003_m</f>
        <v>5.7936060000000004E-2</v>
      </c>
      <c r="K204" s="1350">
        <f>MS_05003_p</f>
        <v>2.0489999999999999</v>
      </c>
      <c r="L204" s="1350">
        <v>0</v>
      </c>
      <c r="M204" s="1350">
        <v>0</v>
      </c>
      <c r="N204" s="1350">
        <f t="shared" si="15"/>
        <v>4.2138721199999996</v>
      </c>
      <c r="O204" s="1351"/>
    </row>
    <row r="205" spans="1:15" ht="15.75" thickTop="1" thickBot="1" x14ac:dyDescent="0.25">
      <c r="A205" s="1352"/>
      <c r="B205" s="1353" t="s">
        <v>2210</v>
      </c>
      <c r="C205" s="1354"/>
      <c r="D205" s="1354"/>
      <c r="E205" s="1354"/>
      <c r="F205" s="1353" t="s">
        <v>20</v>
      </c>
      <c r="G205" s="1354"/>
      <c r="H205" s="1355"/>
      <c r="I205" s="1356"/>
      <c r="J205" s="1357">
        <f>SUMPRODUCT($I185:$I204,J185:J204)</f>
        <v>170.21674200799998</v>
      </c>
      <c r="K205" s="1357">
        <f>SUMPRODUCT($I185:$I204,K185:K204)</f>
        <v>278.74825000000004</v>
      </c>
      <c r="L205" s="1357">
        <f>SUMPRODUCT($I185:$I204,L185:L204)</f>
        <v>7.8800000000000008</v>
      </c>
      <c r="M205" s="1357">
        <f>SUMPRODUCT($I185:$I204,M185:M204)</f>
        <v>14.799999999999999</v>
      </c>
      <c r="N205" s="1357">
        <f>SUM(N185:N204)</f>
        <v>471.64499200800003</v>
      </c>
      <c r="O205" s="1358"/>
    </row>
    <row r="206" spans="1:15" ht="15.75" thickTop="1" x14ac:dyDescent="0.25">
      <c r="A206" s="706">
        <v>195</v>
      </c>
      <c r="B206" s="707" t="s">
        <v>6</v>
      </c>
      <c r="C206" s="708" t="str">
        <f>ST_A0001</f>
        <v>ST A0001</v>
      </c>
      <c r="D206" s="708" t="s">
        <v>23</v>
      </c>
      <c r="E206" s="708"/>
      <c r="F206" s="709" t="str">
        <f>ST_A0001_n</f>
        <v>Steering Column</v>
      </c>
      <c r="G206" s="708"/>
      <c r="H206" s="710">
        <f t="shared" ref="H206:H210" si="17">SUM(J206:M206)</f>
        <v>59.13333333333334</v>
      </c>
      <c r="I206" s="711">
        <f>ST_A0001_q</f>
        <v>1</v>
      </c>
      <c r="J206" s="712">
        <f>ST_A0001_m</f>
        <v>55.22</v>
      </c>
      <c r="K206" s="712">
        <f>ST_A0001_p</f>
        <v>2.88</v>
      </c>
      <c r="L206" s="712">
        <f>ST_A0001_f</f>
        <v>0.2</v>
      </c>
      <c r="M206" s="712">
        <f>ST_A0001_t</f>
        <v>0.83333333333333326</v>
      </c>
      <c r="N206" s="713">
        <f t="shared" ref="N206:N233" si="18">H206*I206</f>
        <v>59.13333333333334</v>
      </c>
      <c r="O206" s="714"/>
    </row>
    <row r="207" spans="1:15" ht="15" x14ac:dyDescent="0.25">
      <c r="A207" s="715">
        <v>196</v>
      </c>
      <c r="B207" s="716" t="s">
        <v>6</v>
      </c>
      <c r="C207" s="717" t="str">
        <f>ST_01001</f>
        <v>ST 01001</v>
      </c>
      <c r="D207" s="718" t="s">
        <v>23</v>
      </c>
      <c r="E207" s="718" t="str">
        <f>F206</f>
        <v>Steering Column</v>
      </c>
      <c r="F207" s="719" t="str">
        <f>ST_01001_n</f>
        <v>Steering Wheel Mount</v>
      </c>
      <c r="G207" s="718"/>
      <c r="H207" s="720">
        <f t="shared" si="17"/>
        <v>10.527136733333334</v>
      </c>
      <c r="I207" s="721">
        <f>ST_A0001_q*ST_01001_q</f>
        <v>1</v>
      </c>
      <c r="J207" s="722">
        <f>ST_01001_m</f>
        <v>1.4438034000000002</v>
      </c>
      <c r="K207" s="722">
        <f>ST_01001_p</f>
        <v>7.75</v>
      </c>
      <c r="L207" s="722">
        <v>0</v>
      </c>
      <c r="M207" s="722">
        <f>ST_01001_t</f>
        <v>1.3333333333333333</v>
      </c>
      <c r="N207" s="723">
        <f t="shared" si="18"/>
        <v>10.527136733333334</v>
      </c>
      <c r="O207" s="724"/>
    </row>
    <row r="208" spans="1:15" ht="15" x14ac:dyDescent="0.25">
      <c r="A208" s="715">
        <v>197</v>
      </c>
      <c r="B208" s="716" t="s">
        <v>6</v>
      </c>
      <c r="C208" s="717" t="str">
        <f>ST_01002</f>
        <v>ST 01002</v>
      </c>
      <c r="D208" s="718" t="s">
        <v>23</v>
      </c>
      <c r="E208" s="718" t="str">
        <f>F206</f>
        <v>Steering Column</v>
      </c>
      <c r="F208" s="719" t="str">
        <f>ST_01002_n</f>
        <v>First Column Tube</v>
      </c>
      <c r="G208" s="718"/>
      <c r="H208" s="720">
        <f t="shared" si="17"/>
        <v>4.6967391063624992</v>
      </c>
      <c r="I208" s="721">
        <f>ST_A0001_q*ST_01002_q</f>
        <v>1</v>
      </c>
      <c r="J208" s="722">
        <f>ST_01002_m</f>
        <v>0.1027391063625</v>
      </c>
      <c r="K208" s="722">
        <f>ST_01002_p</f>
        <v>4.5939999999999994</v>
      </c>
      <c r="L208" s="722">
        <v>0</v>
      </c>
      <c r="M208" s="722">
        <v>0</v>
      </c>
      <c r="N208" s="723">
        <f t="shared" si="18"/>
        <v>4.6967391063624992</v>
      </c>
      <c r="O208" s="724"/>
    </row>
    <row r="209" spans="1:15" ht="15" x14ac:dyDescent="0.25">
      <c r="A209" s="715">
        <v>198</v>
      </c>
      <c r="B209" s="716" t="s">
        <v>6</v>
      </c>
      <c r="C209" s="717" t="str">
        <f>ST_01003</f>
        <v>ST 01003</v>
      </c>
      <c r="D209" s="718" t="s">
        <v>23</v>
      </c>
      <c r="E209" s="718" t="str">
        <f>F206</f>
        <v>Steering Column</v>
      </c>
      <c r="F209" s="719" t="str">
        <f>ST_01003_n</f>
        <v>Second Column Tube</v>
      </c>
      <c r="G209" s="718"/>
      <c r="H209" s="720">
        <f t="shared" si="17"/>
        <v>1.38907725085</v>
      </c>
      <c r="I209" s="721">
        <f>ST_A0001_q*ST_01003_q</f>
        <v>1</v>
      </c>
      <c r="J209" s="722">
        <f>ST_01003_m</f>
        <v>0.38907725084999994</v>
      </c>
      <c r="K209" s="722">
        <f>ST_01003_p</f>
        <v>1</v>
      </c>
      <c r="L209" s="722">
        <v>0</v>
      </c>
      <c r="M209" s="722">
        <v>0</v>
      </c>
      <c r="N209" s="723">
        <f t="shared" si="18"/>
        <v>1.38907725085</v>
      </c>
      <c r="O209" s="724"/>
    </row>
    <row r="210" spans="1:15" ht="15" x14ac:dyDescent="0.25">
      <c r="A210" s="715">
        <v>199</v>
      </c>
      <c r="B210" s="716" t="s">
        <v>6</v>
      </c>
      <c r="C210" s="717" t="str">
        <f>ST_01004</f>
        <v>ST 01004</v>
      </c>
      <c r="D210" s="718" t="s">
        <v>23</v>
      </c>
      <c r="E210" s="718" t="str">
        <f>F206</f>
        <v>Steering Column</v>
      </c>
      <c r="F210" s="719" t="str">
        <f>ST_01004_n</f>
        <v>Sleeve</v>
      </c>
      <c r="G210" s="718"/>
      <c r="H210" s="720">
        <f t="shared" si="17"/>
        <v>2.3493042693750001</v>
      </c>
      <c r="I210" s="721">
        <f>ST_A0001_q*ST_01004_q</f>
        <v>2</v>
      </c>
      <c r="J210" s="722">
        <f>ST_01004_m</f>
        <v>0.159304269375</v>
      </c>
      <c r="K210" s="722">
        <f>ST_01004_p</f>
        <v>2.19</v>
      </c>
      <c r="L210" s="722">
        <v>0</v>
      </c>
      <c r="M210" s="722">
        <v>0</v>
      </c>
      <c r="N210" s="723">
        <f t="shared" si="18"/>
        <v>4.6986085387500003</v>
      </c>
      <c r="O210" s="724"/>
    </row>
    <row r="211" spans="1:15" ht="15" x14ac:dyDescent="0.25">
      <c r="A211" s="715">
        <v>200</v>
      </c>
      <c r="B211" s="716" t="s">
        <v>6</v>
      </c>
      <c r="C211" s="717" t="str">
        <f>ST_01005</f>
        <v>ST 01005</v>
      </c>
      <c r="D211" s="718" t="s">
        <v>23</v>
      </c>
      <c r="E211" s="718" t="str">
        <f>F206</f>
        <v>Steering Column</v>
      </c>
      <c r="F211" s="719" t="str">
        <f>ST_01005_n</f>
        <v>Rack Sleeve</v>
      </c>
      <c r="G211" s="718"/>
      <c r="H211" s="720">
        <f>SUM(J211:M211)</f>
        <v>4.8869019795000002</v>
      </c>
      <c r="I211" s="721">
        <f>ST_A0001_q*ST_01005_q</f>
        <v>1</v>
      </c>
      <c r="J211" s="722">
        <f>ST_01005_m</f>
        <v>1.3469019795000003</v>
      </c>
      <c r="K211" s="722">
        <f>ST_01005_p</f>
        <v>3.54</v>
      </c>
      <c r="L211" s="722">
        <v>0</v>
      </c>
      <c r="M211" s="722">
        <v>0</v>
      </c>
      <c r="N211" s="723">
        <f>H211*I211</f>
        <v>4.8869019795000002</v>
      </c>
      <c r="O211" s="724"/>
    </row>
    <row r="212" spans="1:15" ht="15" x14ac:dyDescent="0.25">
      <c r="A212" s="706">
        <v>201</v>
      </c>
      <c r="B212" s="707" t="s">
        <v>6</v>
      </c>
      <c r="C212" s="708" t="str">
        <f>ST_A0002</f>
        <v>ST A0002</v>
      </c>
      <c r="D212" s="708" t="s">
        <v>23</v>
      </c>
      <c r="E212" s="708"/>
      <c r="F212" s="709" t="str">
        <f>ST_A0002_n</f>
        <v>Steering Rack assembly</v>
      </c>
      <c r="G212" s="708"/>
      <c r="H212" s="710">
        <f>SUM(J212:M212)</f>
        <v>4.6016666666666666</v>
      </c>
      <c r="I212" s="711">
        <f>ST_A0002_q</f>
        <v>1</v>
      </c>
      <c r="J212" s="712">
        <f>ST_A0002_m</f>
        <v>0.5</v>
      </c>
      <c r="K212" s="712">
        <f>ST_A0002_p</f>
        <v>1.5149999999999999</v>
      </c>
      <c r="L212" s="712">
        <f>ST_A0002_f</f>
        <v>1.9200000000000002</v>
      </c>
      <c r="M212" s="712">
        <f>ST_A0002_t</f>
        <v>0.66666666666666663</v>
      </c>
      <c r="N212" s="713">
        <f>H212*I212</f>
        <v>4.6016666666666666</v>
      </c>
      <c r="O212" s="714"/>
    </row>
    <row r="213" spans="1:15" ht="15" x14ac:dyDescent="0.25">
      <c r="A213" s="715">
        <v>202</v>
      </c>
      <c r="B213" s="716" t="s">
        <v>6</v>
      </c>
      <c r="C213" s="717" t="str">
        <f>ST_02001</f>
        <v>ST 02001</v>
      </c>
      <c r="D213" s="718" t="s">
        <v>23</v>
      </c>
      <c r="E213" s="718" t="str">
        <f>F212</f>
        <v>Steering Rack assembly</v>
      </c>
      <c r="F213" s="719" t="str">
        <f>ST_02001_n</f>
        <v>Rack</v>
      </c>
      <c r="G213" s="718"/>
      <c r="H213" s="720">
        <f>SUM(J213:M213)</f>
        <v>3.6159270000000001</v>
      </c>
      <c r="I213" s="721">
        <f>ST_A0002_q*ST_02001_q</f>
        <v>1</v>
      </c>
      <c r="J213" s="722">
        <f>ST_02001_m</f>
        <v>1.6659270000000002</v>
      </c>
      <c r="K213" s="722">
        <f>ST_02001_p</f>
        <v>1.95</v>
      </c>
      <c r="L213" s="722">
        <v>0</v>
      </c>
      <c r="M213" s="722">
        <v>0</v>
      </c>
      <c r="N213" s="723">
        <f t="shared" si="18"/>
        <v>3.6159270000000001</v>
      </c>
      <c r="O213" s="724"/>
    </row>
    <row r="214" spans="1:15" ht="15" x14ac:dyDescent="0.25">
      <c r="A214" s="715">
        <v>203</v>
      </c>
      <c r="B214" s="716" t="s">
        <v>6</v>
      </c>
      <c r="C214" s="717" t="str">
        <f>ST_02002</f>
        <v>ST 02002</v>
      </c>
      <c r="D214" s="718" t="s">
        <v>23</v>
      </c>
      <c r="E214" s="718" t="str">
        <f>F212</f>
        <v>Steering Rack assembly</v>
      </c>
      <c r="F214" s="719" t="str">
        <f>ST_02002_n</f>
        <v>Rack gear</v>
      </c>
      <c r="G214" s="725"/>
      <c r="H214" s="720">
        <f t="shared" ref="H214:H233" si="19">SUM(J214:M214)</f>
        <v>10.285340625000002</v>
      </c>
      <c r="I214" s="721">
        <f>ST_A0002_q*ST_02002_q</f>
        <v>1</v>
      </c>
      <c r="J214" s="722">
        <f>ST_02002_m</f>
        <v>1.7353406250000003</v>
      </c>
      <c r="K214" s="722">
        <f>ST_02002_p</f>
        <v>8.5500000000000007</v>
      </c>
      <c r="L214" s="722">
        <v>0</v>
      </c>
      <c r="M214" s="722">
        <v>0</v>
      </c>
      <c r="N214" s="723">
        <f t="shared" si="18"/>
        <v>10.285340625000002</v>
      </c>
      <c r="O214" s="724"/>
    </row>
    <row r="215" spans="1:15" ht="15" x14ac:dyDescent="0.25">
      <c r="A215" s="715">
        <v>204</v>
      </c>
      <c r="B215" s="716" t="s">
        <v>6</v>
      </c>
      <c r="C215" s="717" t="str">
        <f>ST_02003</f>
        <v>ST 02003</v>
      </c>
      <c r="D215" s="718" t="s">
        <v>23</v>
      </c>
      <c r="E215" s="718" t="str">
        <f>F212</f>
        <v>Steering Rack assembly</v>
      </c>
      <c r="F215" s="719" t="str">
        <f>ST_02003_n</f>
        <v>Rack Housing</v>
      </c>
      <c r="G215" s="718"/>
      <c r="H215" s="720">
        <f t="shared" si="19"/>
        <v>14.786666666666669</v>
      </c>
      <c r="I215" s="721">
        <f>ST_A0002_q*ST_02003_q</f>
        <v>1</v>
      </c>
      <c r="J215" s="722">
        <f>ST_02003_m</f>
        <v>4.2</v>
      </c>
      <c r="K215" s="722">
        <f>ST_02003_p</f>
        <v>3.92</v>
      </c>
      <c r="L215" s="722">
        <v>0</v>
      </c>
      <c r="M215" s="722">
        <f>ST_02003_t</f>
        <v>6.666666666666667</v>
      </c>
      <c r="N215" s="723">
        <f t="shared" si="18"/>
        <v>14.786666666666669</v>
      </c>
      <c r="O215" s="724"/>
    </row>
    <row r="216" spans="1:15" ht="15" x14ac:dyDescent="0.25">
      <c r="A216" s="715">
        <v>205</v>
      </c>
      <c r="B216" s="716" t="s">
        <v>6</v>
      </c>
      <c r="C216" s="717" t="str">
        <f>ST_02004</f>
        <v>ST 02004</v>
      </c>
      <c r="D216" s="718" t="s">
        <v>23</v>
      </c>
      <c r="E216" s="718" t="str">
        <f>F212</f>
        <v>Steering Rack assembly</v>
      </c>
      <c r="F216" s="719" t="str">
        <f>ST_02004_n</f>
        <v>Lower Rack Mount</v>
      </c>
      <c r="G216" s="718"/>
      <c r="H216" s="720">
        <f t="shared" si="19"/>
        <v>3.5164437500000001</v>
      </c>
      <c r="I216" s="721">
        <f>ST_A0002_q*ST_02004_q</f>
        <v>2</v>
      </c>
      <c r="J216" s="722">
        <f>ST_02004_m</f>
        <v>0.50844374999999997</v>
      </c>
      <c r="K216" s="722">
        <f>ST_02004_p</f>
        <v>3.008</v>
      </c>
      <c r="L216" s="722">
        <v>0</v>
      </c>
      <c r="M216" s="722">
        <v>0</v>
      </c>
      <c r="N216" s="723">
        <f t="shared" si="18"/>
        <v>7.0328875000000002</v>
      </c>
      <c r="O216" s="724"/>
    </row>
    <row r="217" spans="1:15" ht="15" x14ac:dyDescent="0.25">
      <c r="A217" s="715">
        <v>206</v>
      </c>
      <c r="B217" s="716" t="s">
        <v>6</v>
      </c>
      <c r="C217" s="717" t="str">
        <f>ST_02005</f>
        <v>ST 02005</v>
      </c>
      <c r="D217" s="718" t="s">
        <v>23</v>
      </c>
      <c r="E217" s="718" t="str">
        <f>F212</f>
        <v>Steering Rack assembly</v>
      </c>
      <c r="F217" s="719" t="str">
        <f>ST_02005_n</f>
        <v>Mount Spacer</v>
      </c>
      <c r="G217" s="718"/>
      <c r="H217" s="720">
        <f t="shared" si="19"/>
        <v>2.3454214599999998</v>
      </c>
      <c r="I217" s="721">
        <f>ST_A0002_q*ST_02005_q</f>
        <v>4</v>
      </c>
      <c r="J217" s="722">
        <f>ST_02005_m</f>
        <v>3.7421459999999997E-2</v>
      </c>
      <c r="K217" s="722">
        <f>ST_02005_p</f>
        <v>2.3079999999999998</v>
      </c>
      <c r="L217" s="722">
        <v>0</v>
      </c>
      <c r="M217" s="722">
        <v>0</v>
      </c>
      <c r="N217" s="723">
        <f t="shared" si="18"/>
        <v>9.3816858399999994</v>
      </c>
      <c r="O217" s="724"/>
    </row>
    <row r="218" spans="1:15" ht="15" x14ac:dyDescent="0.25">
      <c r="A218" s="715">
        <v>207</v>
      </c>
      <c r="B218" s="716" t="s">
        <v>6</v>
      </c>
      <c r="C218" s="717" t="str">
        <f>ST_02006</f>
        <v>ST 02006</v>
      </c>
      <c r="D218" s="718" t="s">
        <v>23</v>
      </c>
      <c r="E218" s="718" t="str">
        <f>F212</f>
        <v>Steering Rack assembly</v>
      </c>
      <c r="F218" s="719" t="str">
        <f>ST_02006_n</f>
        <v>Upper Rack Mount</v>
      </c>
      <c r="G218" s="718"/>
      <c r="H218" s="720">
        <f t="shared" si="19"/>
        <v>2.2312192800000004</v>
      </c>
      <c r="I218" s="721">
        <f>ST_A0002_q*ST_02006_q</f>
        <v>2</v>
      </c>
      <c r="J218" s="722">
        <f>ST_02006_m</f>
        <v>2.3219279999999998E-2</v>
      </c>
      <c r="K218" s="722">
        <f>ST_02006_p</f>
        <v>2.2080000000000002</v>
      </c>
      <c r="L218" s="722">
        <v>0</v>
      </c>
      <c r="M218" s="722">
        <v>0</v>
      </c>
      <c r="N218" s="723">
        <f t="shared" si="18"/>
        <v>4.4624385600000007</v>
      </c>
      <c r="O218" s="724"/>
    </row>
    <row r="219" spans="1:15" ht="15" x14ac:dyDescent="0.25">
      <c r="A219" s="715">
        <v>208</v>
      </c>
      <c r="B219" s="716" t="s">
        <v>6</v>
      </c>
      <c r="C219" s="717" t="str">
        <f>ST_02007</f>
        <v>ST 02007</v>
      </c>
      <c r="D219" s="718" t="s">
        <v>23</v>
      </c>
      <c r="E219" s="718" t="str">
        <f>F212</f>
        <v>Steering Rack assembly</v>
      </c>
      <c r="F219" s="719" t="str">
        <f>ST_02007_n</f>
        <v>Rack Stop</v>
      </c>
      <c r="G219" s="718"/>
      <c r="H219" s="720">
        <f t="shared" si="19"/>
        <v>4.1353908959999996</v>
      </c>
      <c r="I219" s="721">
        <f>ST_A0002_q*ST_02007_q</f>
        <v>2</v>
      </c>
      <c r="J219" s="722">
        <f>ST_02007_m</f>
        <v>0.42259089599999994</v>
      </c>
      <c r="K219" s="722">
        <f>ST_02007_p</f>
        <v>3.7127999999999997</v>
      </c>
      <c r="L219" s="722">
        <v>0</v>
      </c>
      <c r="M219" s="722">
        <v>0</v>
      </c>
      <c r="N219" s="723">
        <f t="shared" si="18"/>
        <v>8.2707817919999993</v>
      </c>
      <c r="O219" s="724"/>
    </row>
    <row r="220" spans="1:15" ht="15" x14ac:dyDescent="0.25">
      <c r="A220" s="706">
        <v>209</v>
      </c>
      <c r="B220" s="707" t="s">
        <v>6</v>
      </c>
      <c r="C220" s="708" t="str">
        <f>ST_A0003</f>
        <v>ST A0003</v>
      </c>
      <c r="D220" s="708" t="s">
        <v>23</v>
      </c>
      <c r="E220" s="708"/>
      <c r="F220" s="709" t="str">
        <f>ST_A0003_n</f>
        <v>Quick Release</v>
      </c>
      <c r="G220" s="708"/>
      <c r="H220" s="710">
        <f t="shared" si="19"/>
        <v>12.513333333333334</v>
      </c>
      <c r="I220" s="711">
        <f>ST_A0003_q</f>
        <v>1</v>
      </c>
      <c r="J220" s="712">
        <f>ST_A0003_m</f>
        <v>10.75</v>
      </c>
      <c r="K220" s="712">
        <f>ST_A0003_p</f>
        <v>1.25</v>
      </c>
      <c r="L220" s="712">
        <f>ST_A0003_f</f>
        <v>0.18</v>
      </c>
      <c r="M220" s="712">
        <f>ST_A0003_t</f>
        <v>0.33333333333333331</v>
      </c>
      <c r="N220" s="713">
        <f t="shared" si="18"/>
        <v>12.513333333333334</v>
      </c>
      <c r="O220" s="714"/>
    </row>
    <row r="221" spans="1:15" ht="15" x14ac:dyDescent="0.25">
      <c r="A221" s="715">
        <v>210</v>
      </c>
      <c r="B221" s="716" t="s">
        <v>6</v>
      </c>
      <c r="C221" s="717" t="str">
        <f>ST_03001</f>
        <v>ST 03001</v>
      </c>
      <c r="D221" s="718" t="s">
        <v>23</v>
      </c>
      <c r="E221" s="718" t="str">
        <f>F220</f>
        <v>Quick Release</v>
      </c>
      <c r="F221" s="719" t="str">
        <f>ST_03001_n</f>
        <v>Quick Release Mount</v>
      </c>
      <c r="G221" s="718"/>
      <c r="H221" s="720">
        <f t="shared" si="19"/>
        <v>5.9925924500000001</v>
      </c>
      <c r="I221" s="721">
        <f>ST_A0003_q*ST_03001_q</f>
        <v>1</v>
      </c>
      <c r="J221" s="722">
        <f>ST_03001_m</f>
        <v>0.63259244999999997</v>
      </c>
      <c r="K221" s="722">
        <f>ST_03001_p</f>
        <v>5.36</v>
      </c>
      <c r="L221" s="722">
        <v>0</v>
      </c>
      <c r="M221" s="722">
        <v>0</v>
      </c>
      <c r="N221" s="723">
        <f>H221*I221</f>
        <v>5.9925924500000001</v>
      </c>
      <c r="O221" s="724"/>
    </row>
    <row r="222" spans="1:15" ht="15" x14ac:dyDescent="0.25">
      <c r="A222" s="715">
        <v>211</v>
      </c>
      <c r="B222" s="716" t="s">
        <v>6</v>
      </c>
      <c r="C222" s="717" t="str">
        <f>ST_03002</f>
        <v>ST 03002</v>
      </c>
      <c r="D222" s="718" t="s">
        <v>23</v>
      </c>
      <c r="E222" s="718" t="str">
        <f>F220</f>
        <v>Quick Release</v>
      </c>
      <c r="F222" s="719" t="str">
        <f>ST_03002_n</f>
        <v>Quick Release Sliding Part</v>
      </c>
      <c r="G222" s="725"/>
      <c r="H222" s="720">
        <f>SUM(J222:M222)</f>
        <v>11.077237381849999</v>
      </c>
      <c r="I222" s="721">
        <f>ST_A0003_q*ST_03002_q</f>
        <v>1</v>
      </c>
      <c r="J222" s="722">
        <f>ST_03002_m</f>
        <v>2.4772373818499998</v>
      </c>
      <c r="K222" s="722">
        <f>ST_03002_p</f>
        <v>8.6</v>
      </c>
      <c r="L222" s="722">
        <v>0</v>
      </c>
      <c r="M222" s="722">
        <v>0</v>
      </c>
      <c r="N222" s="723">
        <f>H222*I222</f>
        <v>11.077237381849999</v>
      </c>
      <c r="O222" s="724"/>
    </row>
    <row r="223" spans="1:15" ht="15" x14ac:dyDescent="0.25">
      <c r="A223" s="715">
        <v>212</v>
      </c>
      <c r="B223" s="716" t="s">
        <v>6</v>
      </c>
      <c r="C223" s="717" t="str">
        <f>ST_03003</f>
        <v>ST 03003</v>
      </c>
      <c r="D223" s="718" t="s">
        <v>23</v>
      </c>
      <c r="E223" s="718" t="str">
        <f>F220</f>
        <v>Quick Release</v>
      </c>
      <c r="F223" s="719" t="str">
        <f>ST_03003_n</f>
        <v>Quick Release Fixed Part</v>
      </c>
      <c r="G223" s="718"/>
      <c r="H223" s="720">
        <f>SUM(J223:M223)</f>
        <v>9.77723738185</v>
      </c>
      <c r="I223" s="721">
        <f>ST_A0003_q*ST_03003_q</f>
        <v>1</v>
      </c>
      <c r="J223" s="722">
        <f>ST_03003_m</f>
        <v>2.4772373818499998</v>
      </c>
      <c r="K223" s="722">
        <f>ST_03003_p</f>
        <v>7.3</v>
      </c>
      <c r="L223" s="722">
        <v>0</v>
      </c>
      <c r="M223" s="722">
        <v>0</v>
      </c>
      <c r="N223" s="723">
        <f>H223*I223</f>
        <v>9.77723738185</v>
      </c>
      <c r="O223" s="724"/>
    </row>
    <row r="224" spans="1:15" ht="15" x14ac:dyDescent="0.25">
      <c r="A224" s="706">
        <v>213</v>
      </c>
      <c r="B224" s="707" t="s">
        <v>6</v>
      </c>
      <c r="C224" s="708" t="str">
        <f>ST_A0004</f>
        <v>ST A0004</v>
      </c>
      <c r="D224" s="708" t="s">
        <v>23</v>
      </c>
      <c r="E224" s="708"/>
      <c r="F224" s="709" t="str">
        <f>ST_A0004_n</f>
        <v>Tie Rod Assembly</v>
      </c>
      <c r="G224" s="708"/>
      <c r="H224" s="710">
        <f t="shared" si="19"/>
        <v>7.7079999999999993</v>
      </c>
      <c r="I224" s="711">
        <f>ST_A0004_q</f>
        <v>2</v>
      </c>
      <c r="J224" s="712">
        <f>ST_A0004_m</f>
        <v>3.88</v>
      </c>
      <c r="K224" s="712">
        <f>ST_A0004_p</f>
        <v>3.448</v>
      </c>
      <c r="L224" s="712">
        <f>ST_A0004_f</f>
        <v>0.38</v>
      </c>
      <c r="M224" s="712">
        <v>0</v>
      </c>
      <c r="N224" s="713">
        <f t="shared" si="18"/>
        <v>15.415999999999999</v>
      </c>
      <c r="O224" s="714"/>
    </row>
    <row r="225" spans="1:15" ht="15" x14ac:dyDescent="0.25">
      <c r="A225" s="715">
        <v>214</v>
      </c>
      <c r="B225" s="716" t="s">
        <v>6</v>
      </c>
      <c r="C225" s="717" t="str">
        <f>ST_04001</f>
        <v>ST 04001</v>
      </c>
      <c r="D225" s="718" t="s">
        <v>23</v>
      </c>
      <c r="E225" s="718" t="str">
        <f>F224</f>
        <v>Tie Rod Assembly</v>
      </c>
      <c r="F225" s="719" t="str">
        <f>ST_04001_n</f>
        <v>Tie Rod Tube</v>
      </c>
      <c r="G225" s="718"/>
      <c r="H225" s="720">
        <f t="shared" si="19"/>
        <v>14.131512074377609</v>
      </c>
      <c r="I225" s="721">
        <f>ST_A0004_q*ST_04001_q</f>
        <v>2</v>
      </c>
      <c r="J225" s="722">
        <f>ST_04001_m</f>
        <v>12.561344066113429</v>
      </c>
      <c r="K225" s="722">
        <f>ST_04001_p</f>
        <v>1.5701680082641789</v>
      </c>
      <c r="L225" s="722">
        <v>0</v>
      </c>
      <c r="M225" s="722">
        <v>0</v>
      </c>
      <c r="N225" s="723">
        <f t="shared" si="18"/>
        <v>28.263024148755218</v>
      </c>
      <c r="O225" s="724"/>
    </row>
    <row r="226" spans="1:15" ht="15" x14ac:dyDescent="0.25">
      <c r="A226" s="715">
        <v>215</v>
      </c>
      <c r="B226" s="716" t="s">
        <v>6</v>
      </c>
      <c r="C226" s="717" t="str">
        <f>ST_04002</f>
        <v>ST 04002</v>
      </c>
      <c r="D226" s="718" t="s">
        <v>23</v>
      </c>
      <c r="E226" s="718" t="str">
        <f>F224</f>
        <v>Tie Rod Assembly</v>
      </c>
      <c r="F226" s="719" t="str">
        <f>ST_04002_n</f>
        <v>Upright Tapered Spacer</v>
      </c>
      <c r="G226" s="725"/>
      <c r="H226" s="720">
        <f t="shared" si="19"/>
        <v>1.6742769052800002</v>
      </c>
      <c r="I226" s="721">
        <f>ST_A0004_q*ST_04002_q</f>
        <v>4</v>
      </c>
      <c r="J226" s="722">
        <f>ST_04002_m</f>
        <v>2.0316905280000002E-2</v>
      </c>
      <c r="K226" s="722">
        <f>ST_04002_p</f>
        <v>1.6539600000000001</v>
      </c>
      <c r="L226" s="722">
        <v>0</v>
      </c>
      <c r="M226" s="722">
        <v>0</v>
      </c>
      <c r="N226" s="723">
        <f t="shared" si="18"/>
        <v>6.6971076211200007</v>
      </c>
      <c r="O226" s="724"/>
    </row>
    <row r="227" spans="1:15" ht="15" x14ac:dyDescent="0.25">
      <c r="A227" s="715">
        <v>216</v>
      </c>
      <c r="B227" s="716" t="s">
        <v>6</v>
      </c>
      <c r="C227" s="717" t="str">
        <f>ST_04003</f>
        <v>ST 04003</v>
      </c>
      <c r="D227" s="718" t="s">
        <v>23</v>
      </c>
      <c r="E227" s="718" t="str">
        <f>F224</f>
        <v>Tie Rod Assembly</v>
      </c>
      <c r="F227" s="719" t="str">
        <f>ST_04003_n</f>
        <v>Rack Tapered Spacer</v>
      </c>
      <c r="G227" s="718"/>
      <c r="H227" s="720">
        <f t="shared" si="19"/>
        <v>1.6730769052800003</v>
      </c>
      <c r="I227" s="721">
        <f>ST_A0004_q*ST_04003_q</f>
        <v>4</v>
      </c>
      <c r="J227" s="722">
        <f>ST_04003_m</f>
        <v>2.0316905280000002E-2</v>
      </c>
      <c r="K227" s="722">
        <f>ST_04003_p</f>
        <v>1.6527600000000002</v>
      </c>
      <c r="L227" s="722">
        <v>0</v>
      </c>
      <c r="M227" s="722">
        <v>0</v>
      </c>
      <c r="N227" s="723">
        <f t="shared" si="18"/>
        <v>6.6923076211200012</v>
      </c>
      <c r="O227" s="724"/>
    </row>
    <row r="228" spans="1:15" ht="15" x14ac:dyDescent="0.25">
      <c r="A228" s="715">
        <v>217</v>
      </c>
      <c r="B228" s="716" t="s">
        <v>6</v>
      </c>
      <c r="C228" s="717" t="str">
        <f>ST_04004</f>
        <v>ST 04004</v>
      </c>
      <c r="D228" s="718" t="s">
        <v>23</v>
      </c>
      <c r="E228" s="718" t="str">
        <f>F224</f>
        <v>Tie Rod Assembly</v>
      </c>
      <c r="F228" s="719" t="str">
        <f>ST_04004_n</f>
        <v>Tie Rod Insert</v>
      </c>
      <c r="G228" s="718"/>
      <c r="H228" s="720">
        <f t="shared" si="19"/>
        <v>2.9527811127747987</v>
      </c>
      <c r="I228" s="721">
        <f>ST_A0004_q*ST_04004_q</f>
        <v>4</v>
      </c>
      <c r="J228" s="722">
        <f>ST_04004_m</f>
        <v>5.2781112774798716E-2</v>
      </c>
      <c r="K228" s="722">
        <f>ST_04004_p</f>
        <v>2.9</v>
      </c>
      <c r="L228" s="722">
        <v>0</v>
      </c>
      <c r="M228" s="722">
        <v>0</v>
      </c>
      <c r="N228" s="723">
        <f t="shared" si="18"/>
        <v>11.811124451099195</v>
      </c>
      <c r="O228" s="724"/>
    </row>
    <row r="229" spans="1:15" ht="15" x14ac:dyDescent="0.25">
      <c r="A229" s="706">
        <v>218</v>
      </c>
      <c r="B229" s="707" t="s">
        <v>6</v>
      </c>
      <c r="C229" s="708" t="str">
        <f>ST_A0005</f>
        <v>ST A0005</v>
      </c>
      <c r="D229" s="708" t="s">
        <v>23</v>
      </c>
      <c r="E229" s="708"/>
      <c r="F229" s="709" t="str">
        <f>ST_A0005_n</f>
        <v>Steering Wheel</v>
      </c>
      <c r="G229" s="708"/>
      <c r="H229" s="710">
        <f t="shared" si="19"/>
        <v>453.03000000000003</v>
      </c>
      <c r="I229" s="711">
        <f>ST_A0005_q</f>
        <v>1</v>
      </c>
      <c r="J229" s="712">
        <f>ST_A0005_m</f>
        <v>451</v>
      </c>
      <c r="K229" s="712">
        <f>ST_A0005_p</f>
        <v>1.73</v>
      </c>
      <c r="L229" s="712">
        <f>ST_A0005_f</f>
        <v>0.30000000000000004</v>
      </c>
      <c r="M229" s="712">
        <v>0</v>
      </c>
      <c r="N229" s="713">
        <f t="shared" si="18"/>
        <v>453.03000000000003</v>
      </c>
      <c r="O229" s="714"/>
    </row>
    <row r="230" spans="1:15" ht="15" x14ac:dyDescent="0.25">
      <c r="A230" s="715">
        <v>219</v>
      </c>
      <c r="B230" s="716" t="s">
        <v>6</v>
      </c>
      <c r="C230" s="717" t="str">
        <f>ST_05001</f>
        <v>ST 05001</v>
      </c>
      <c r="D230" s="718" t="s">
        <v>23</v>
      </c>
      <c r="E230" s="718" t="str">
        <f>F229</f>
        <v>Steering Wheel</v>
      </c>
      <c r="F230" s="719" t="str">
        <f>ST_05001_n</f>
        <v>Steering Wheel Body</v>
      </c>
      <c r="G230" s="718"/>
      <c r="H230" s="720">
        <f t="shared" si="19"/>
        <v>5.9576949999999993</v>
      </c>
      <c r="I230" s="721">
        <f>ST_A0005_q*ST_05001_q</f>
        <v>1</v>
      </c>
      <c r="J230" s="722">
        <f>ST_05001_m</f>
        <v>2.5996950000000001</v>
      </c>
      <c r="K230" s="722">
        <f>ST_05001_p</f>
        <v>3.3579999999999997</v>
      </c>
      <c r="L230" s="722">
        <v>0</v>
      </c>
      <c r="M230" s="722">
        <v>0</v>
      </c>
      <c r="N230" s="723">
        <f t="shared" si="18"/>
        <v>5.9576949999999993</v>
      </c>
      <c r="O230" s="724"/>
    </row>
    <row r="231" spans="1:15" ht="15" x14ac:dyDescent="0.25">
      <c r="A231" s="715">
        <v>220</v>
      </c>
      <c r="B231" s="716" t="s">
        <v>6</v>
      </c>
      <c r="C231" s="717" t="str">
        <f>ST_05002</f>
        <v>ST 05002</v>
      </c>
      <c r="D231" s="718" t="s">
        <v>23</v>
      </c>
      <c r="E231" s="718" t="str">
        <f>F229</f>
        <v>Steering Wheel</v>
      </c>
      <c r="F231" s="719" t="str">
        <f>ST_05002_n</f>
        <v>Spacer</v>
      </c>
      <c r="G231" s="725"/>
      <c r="H231" s="720">
        <f t="shared" si="19"/>
        <v>5.2738223039999994</v>
      </c>
      <c r="I231" s="721">
        <f>ST_A0005_q*ST_05002_q</f>
        <v>1</v>
      </c>
      <c r="J231" s="722">
        <f>ST_05002_m</f>
        <v>2.3159183039999998</v>
      </c>
      <c r="K231" s="722">
        <f>ST_05002_p</f>
        <v>2.9579040000000001</v>
      </c>
      <c r="L231" s="722">
        <v>0</v>
      </c>
      <c r="M231" s="722">
        <v>0</v>
      </c>
      <c r="N231" s="723">
        <f t="shared" si="18"/>
        <v>5.2738223039999994</v>
      </c>
      <c r="O231" s="724"/>
    </row>
    <row r="232" spans="1:15" ht="15" x14ac:dyDescent="0.25">
      <c r="A232" s="715">
        <v>221</v>
      </c>
      <c r="B232" s="716" t="s">
        <v>6</v>
      </c>
      <c r="C232" s="717" t="str">
        <f>ST_05003</f>
        <v>ST 05003</v>
      </c>
      <c r="D232" s="718" t="s">
        <v>23</v>
      </c>
      <c r="E232" s="718" t="str">
        <f>F229</f>
        <v>Steering Wheel</v>
      </c>
      <c r="F232" s="719" t="str">
        <f>ST_05003_n</f>
        <v>Spacer</v>
      </c>
      <c r="G232" s="718"/>
      <c r="H232" s="720">
        <f t="shared" si="19"/>
        <v>3.987201024</v>
      </c>
      <c r="I232" s="721">
        <f>ST_A0005_q*ST_05003_q</f>
        <v>1</v>
      </c>
      <c r="J232" s="722">
        <f>ST_05003_m</f>
        <v>1.0292970239999999</v>
      </c>
      <c r="K232" s="722">
        <f>ST_05003_p</f>
        <v>2.9579040000000001</v>
      </c>
      <c r="L232" s="722">
        <v>0</v>
      </c>
      <c r="M232" s="722">
        <v>0</v>
      </c>
      <c r="N232" s="723">
        <f t="shared" si="18"/>
        <v>3.987201024</v>
      </c>
      <c r="O232" s="724"/>
    </row>
    <row r="233" spans="1:15" ht="15.75" thickBot="1" x14ac:dyDescent="0.3">
      <c r="A233" s="715">
        <v>222</v>
      </c>
      <c r="B233" s="716" t="s">
        <v>6</v>
      </c>
      <c r="C233" s="717" t="str">
        <f>ST_05004</f>
        <v>ST 05004</v>
      </c>
      <c r="D233" s="718" t="s">
        <v>23</v>
      </c>
      <c r="E233" s="718" t="str">
        <f>F229</f>
        <v>Steering Wheel</v>
      </c>
      <c r="F233" s="719" t="str">
        <f>ST_05004_n</f>
        <v>Steering Wheel Handle</v>
      </c>
      <c r="G233" s="718"/>
      <c r="H233" s="720">
        <f t="shared" si="19"/>
        <v>0.35299999999999998</v>
      </c>
      <c r="I233" s="721">
        <f>ST_A0005_q*ST_05004_q</f>
        <v>4</v>
      </c>
      <c r="J233" s="722">
        <f>ST_05004_m</f>
        <v>3.3000000000000002E-2</v>
      </c>
      <c r="K233" s="722">
        <f>ST_05004_p</f>
        <v>0.32</v>
      </c>
      <c r="L233" s="722">
        <v>0</v>
      </c>
      <c r="M233" s="722">
        <v>0</v>
      </c>
      <c r="N233" s="723">
        <f t="shared" si="18"/>
        <v>1.4119999999999999</v>
      </c>
      <c r="O233" s="724"/>
    </row>
    <row r="234" spans="1:15" ht="15.75" thickTop="1" thickBot="1" x14ac:dyDescent="0.25">
      <c r="A234" s="40"/>
      <c r="B234" s="39" t="s">
        <v>6</v>
      </c>
      <c r="C234" s="38"/>
      <c r="D234" s="38"/>
      <c r="E234" s="38"/>
      <c r="F234" s="39" t="s">
        <v>20</v>
      </c>
      <c r="G234" s="38"/>
      <c r="H234" s="37"/>
      <c r="I234" s="36"/>
      <c r="J234" s="35">
        <f>SUMPRODUCT($I206:$I233,J206:J233)</f>
        <v>575.65091695972853</v>
      </c>
      <c r="K234" s="35">
        <f>SUMPRODUCT($I206:$I233,K206:K233)</f>
        <v>136.82562401652837</v>
      </c>
      <c r="L234" s="35">
        <f>SUMPRODUCT($I206:$I233,L206:L233)</f>
        <v>3.3600000000000003</v>
      </c>
      <c r="M234" s="35">
        <f>SUMPRODUCT($I206:$I233,M206:M233)</f>
        <v>9.8333333333333339</v>
      </c>
      <c r="N234" s="35">
        <f>SUM(N206:N233)</f>
        <v>725.66987430959023</v>
      </c>
      <c r="O234" s="34"/>
    </row>
    <row r="235" spans="1:15" ht="15.75" thickTop="1" x14ac:dyDescent="0.25">
      <c r="A235" s="1601">
        <v>223</v>
      </c>
      <c r="B235" s="1602" t="s">
        <v>5</v>
      </c>
      <c r="C235" s="1603" t="str">
        <f>SU_A0001</f>
        <v>SU A0001</v>
      </c>
      <c r="D235" s="1603" t="s">
        <v>23</v>
      </c>
      <c r="E235" s="1603"/>
      <c r="F235" s="1604" t="str">
        <f>'SU Assemblies'!B4</f>
        <v>Lower Front A-Arm</v>
      </c>
      <c r="G235" s="1603"/>
      <c r="H235" s="1605">
        <f>SUM(J235:M235)</f>
        <v>39.047033333333339</v>
      </c>
      <c r="I235" s="1606">
        <f>SU_A0001_q</f>
        <v>2</v>
      </c>
      <c r="J235" s="1607">
        <f>SU_A0001_m</f>
        <v>20.86</v>
      </c>
      <c r="K235" s="1607">
        <f>SU_A0001_p</f>
        <v>16.033700000000003</v>
      </c>
      <c r="L235" s="1607">
        <f>SU_A0001_f</f>
        <v>0.82000000000000006</v>
      </c>
      <c r="M235" s="1607">
        <f>SU_A0001_t</f>
        <v>1.3333333333333333</v>
      </c>
      <c r="N235" s="1608">
        <f>H235*I235</f>
        <v>78.094066666666677</v>
      </c>
      <c r="O235" s="1609"/>
    </row>
    <row r="236" spans="1:15" ht="15" x14ac:dyDescent="0.25">
      <c r="A236" s="1610">
        <v>224</v>
      </c>
      <c r="B236" s="1611" t="s">
        <v>5</v>
      </c>
      <c r="C236" s="1612" t="str">
        <f>SU_01001</f>
        <v>SU 01001</v>
      </c>
      <c r="D236" s="1613" t="s">
        <v>23</v>
      </c>
      <c r="E236" s="1613" t="str">
        <f>F235</f>
        <v>Lower Front A-Arm</v>
      </c>
      <c r="F236" s="1614" t="str">
        <f>'SU Parts'!B5</f>
        <v>Simple Insert</v>
      </c>
      <c r="G236" s="1613"/>
      <c r="H236" s="1615">
        <f t="shared" ref="H236:H319" si="20">SUM(J236:M236)</f>
        <v>3.8023183829599998</v>
      </c>
      <c r="I236" s="1616">
        <f>SU_A0001_q*SU_01001_q</f>
        <v>4</v>
      </c>
      <c r="J236" s="1617">
        <f>SU_01001_m</f>
        <v>0.35031838296000001</v>
      </c>
      <c r="K236" s="1617">
        <f>SU_01001_p</f>
        <v>3.452</v>
      </c>
      <c r="L236" s="1617">
        <v>0</v>
      </c>
      <c r="M236" s="1617">
        <v>0</v>
      </c>
      <c r="N236" s="1618">
        <f t="shared" ref="N236:N319" si="21">H236*I236</f>
        <v>15.209273531839999</v>
      </c>
      <c r="O236" s="1619"/>
    </row>
    <row r="237" spans="1:15" ht="15" x14ac:dyDescent="0.25">
      <c r="A237" s="1610">
        <v>225</v>
      </c>
      <c r="B237" s="1611" t="s">
        <v>5</v>
      </c>
      <c r="C237" s="1612" t="str">
        <f>SU_01002</f>
        <v>SU 01002</v>
      </c>
      <c r="D237" s="1613" t="s">
        <v>23</v>
      </c>
      <c r="E237" s="1613" t="str">
        <f>F235</f>
        <v>Lower Front A-Arm</v>
      </c>
      <c r="F237" s="1614" t="str">
        <f>'SU Parts'!B28</f>
        <v>Double Lower Front Insert</v>
      </c>
      <c r="G237" s="1613"/>
      <c r="H237" s="1615">
        <f t="shared" si="20"/>
        <v>11.981299999999999</v>
      </c>
      <c r="I237" s="1616">
        <f>SU_A0001_q*SU_01002_q</f>
        <v>2</v>
      </c>
      <c r="J237" s="1617">
        <f>SU_01002_m</f>
        <v>1.7073000000000003</v>
      </c>
      <c r="K237" s="1617">
        <f>SU_01002_p</f>
        <v>10.273999999999999</v>
      </c>
      <c r="L237" s="1617">
        <v>0</v>
      </c>
      <c r="M237" s="1617">
        <v>0</v>
      </c>
      <c r="N237" s="1618">
        <f t="shared" si="21"/>
        <v>23.962599999999998</v>
      </c>
      <c r="O237" s="1619"/>
    </row>
    <row r="238" spans="1:15" ht="15" x14ac:dyDescent="0.25">
      <c r="A238" s="1610">
        <v>226</v>
      </c>
      <c r="B238" s="1611" t="s">
        <v>5</v>
      </c>
      <c r="C238" s="1612" t="str">
        <f>SU_01003</f>
        <v>SU 01003</v>
      </c>
      <c r="D238" s="1613" t="s">
        <v>23</v>
      </c>
      <c r="E238" s="1613" t="str">
        <f>F235</f>
        <v>Lower Front A-Arm</v>
      </c>
      <c r="F238" s="1614" t="str">
        <f>'SU Parts'!B57</f>
        <v>Cylinder</v>
      </c>
      <c r="G238" s="1613"/>
      <c r="H238" s="1615">
        <f t="shared" si="20"/>
        <v>0.46433106400000002</v>
      </c>
      <c r="I238" s="1616">
        <f>SU_A0001_q*SU_01003_q</f>
        <v>4</v>
      </c>
      <c r="J238" s="1617">
        <f>SU_01003_m</f>
        <v>6.4331064000000007E-2</v>
      </c>
      <c r="K238" s="1617">
        <f>SU_01003_p</f>
        <v>0.4</v>
      </c>
      <c r="L238" s="1617">
        <v>0</v>
      </c>
      <c r="M238" s="1617">
        <v>0</v>
      </c>
      <c r="N238" s="1618">
        <f t="shared" si="21"/>
        <v>1.8573242560000001</v>
      </c>
      <c r="O238" s="1619"/>
    </row>
    <row r="239" spans="1:15" ht="15" x14ac:dyDescent="0.25">
      <c r="A239" s="1610">
        <v>227</v>
      </c>
      <c r="B239" s="1611" t="s">
        <v>5</v>
      </c>
      <c r="C239" s="1612" t="str">
        <f>SU_01004</f>
        <v>SU 01004</v>
      </c>
      <c r="D239" s="1613" t="s">
        <v>23</v>
      </c>
      <c r="E239" s="1613" t="str">
        <f>F235</f>
        <v>Lower Front A-Arm</v>
      </c>
      <c r="F239" s="1614" t="str">
        <f>'SU Parts'!B75</f>
        <v>Front Lower Front A-Arm Carbon Tube</v>
      </c>
      <c r="G239" s="1613"/>
      <c r="H239" s="1615">
        <f t="shared" si="20"/>
        <v>12.904405983885434</v>
      </c>
      <c r="I239" s="1616">
        <f>SU_A0001_q*SU_01004_q</f>
        <v>2</v>
      </c>
      <c r="J239" s="1617">
        <f>SU_01004_m</f>
        <v>11.470583096787053</v>
      </c>
      <c r="K239" s="1617">
        <f>SU_01004_p</f>
        <v>1.4338228870983813</v>
      </c>
      <c r="L239" s="1617">
        <v>0</v>
      </c>
      <c r="M239" s="1617">
        <v>0</v>
      </c>
      <c r="N239" s="1618">
        <f t="shared" si="21"/>
        <v>25.808811967770868</v>
      </c>
      <c r="O239" s="1619"/>
    </row>
    <row r="240" spans="1:15" ht="15" x14ac:dyDescent="0.25">
      <c r="A240" s="1610">
        <v>228</v>
      </c>
      <c r="B240" s="1611" t="s">
        <v>5</v>
      </c>
      <c r="C240" s="1612" t="str">
        <f>SU_01005</f>
        <v>SU 01005</v>
      </c>
      <c r="D240" s="1613" t="s">
        <v>23</v>
      </c>
      <c r="E240" s="1613" t="str">
        <f>F235</f>
        <v>Lower Front A-Arm</v>
      </c>
      <c r="F240" s="1614" t="str">
        <f>'SU Parts'!B96</f>
        <v>Rear Lower Front A-Arm Carbon Tube</v>
      </c>
      <c r="G240" s="1613"/>
      <c r="H240" s="1615">
        <f t="shared" si="20"/>
        <v>13.300246658237745</v>
      </c>
      <c r="I240" s="1616">
        <f>SU_A0001_q*SU_01005_q</f>
        <v>2</v>
      </c>
      <c r="J240" s="1617">
        <f>SU_01005_m</f>
        <v>11.822441473989107</v>
      </c>
      <c r="K240" s="1617">
        <f>SU_01005_p</f>
        <v>1.4778051842486384</v>
      </c>
      <c r="L240" s="1617">
        <v>0</v>
      </c>
      <c r="M240" s="1617">
        <v>0</v>
      </c>
      <c r="N240" s="1618">
        <f t="shared" si="21"/>
        <v>26.60049331647549</v>
      </c>
      <c r="O240" s="1619"/>
    </row>
    <row r="241" spans="1:15" ht="15" x14ac:dyDescent="0.25">
      <c r="A241" s="1610">
        <v>229</v>
      </c>
      <c r="B241" s="1611" t="s">
        <v>5</v>
      </c>
      <c r="C241" s="1612" t="str">
        <f>SU_01006</f>
        <v>SU 01006</v>
      </c>
      <c r="D241" s="1613" t="s">
        <v>23</v>
      </c>
      <c r="E241" s="1613" t="str">
        <f>F235</f>
        <v>Lower Front A-Arm</v>
      </c>
      <c r="F241" s="1614" t="str">
        <f>'SU Parts'!B117</f>
        <v>Spacer</v>
      </c>
      <c r="G241" s="1613"/>
      <c r="H241" s="1615">
        <f t="shared" si="20"/>
        <v>1.4886947612000705</v>
      </c>
      <c r="I241" s="1616">
        <f>SU_A0001_q*SU_01006_q</f>
        <v>12</v>
      </c>
      <c r="J241" s="1617">
        <f>SU_01006_m</f>
        <v>1.0889576951432157E-2</v>
      </c>
      <c r="K241" s="1617">
        <f>SU_01005_p</f>
        <v>1.4778051842486384</v>
      </c>
      <c r="L241" s="1617">
        <v>0</v>
      </c>
      <c r="M241" s="1617">
        <v>0</v>
      </c>
      <c r="N241" s="1618">
        <f t="shared" si="21"/>
        <v>17.864337134400845</v>
      </c>
      <c r="O241" s="1619"/>
    </row>
    <row r="242" spans="1:15" ht="15" x14ac:dyDescent="0.25">
      <c r="A242" s="1610">
        <v>230</v>
      </c>
      <c r="B242" s="1611" t="s">
        <v>5</v>
      </c>
      <c r="C242" s="1612" t="str">
        <f>SU_01007</f>
        <v>SU 01007</v>
      </c>
      <c r="D242" s="1613" t="s">
        <v>23</v>
      </c>
      <c r="E242" s="1613" t="str">
        <f>F235</f>
        <v>Lower Front A-Arm</v>
      </c>
      <c r="F242" s="1614" t="str">
        <f>'SU Parts'!B138</f>
        <v>Front Lower Front A-Arm Mount</v>
      </c>
      <c r="G242" s="1613"/>
      <c r="H242" s="1615">
        <f t="shared" si="20"/>
        <v>6.3450718749999995</v>
      </c>
      <c r="I242" s="1616">
        <f>SU_A0001_q*SU_01007_q</f>
        <v>2</v>
      </c>
      <c r="J242" s="1617">
        <f>SU_01007_m</f>
        <v>0.4310718750000001</v>
      </c>
      <c r="K242" s="1617">
        <f>SU_01007_p</f>
        <v>5.9139999999999997</v>
      </c>
      <c r="L242" s="1617">
        <v>0</v>
      </c>
      <c r="M242" s="1617">
        <v>0</v>
      </c>
      <c r="N242" s="1618">
        <f t="shared" si="21"/>
        <v>12.690143749999999</v>
      </c>
      <c r="O242" s="1619"/>
    </row>
    <row r="243" spans="1:15" ht="15" x14ac:dyDescent="0.25">
      <c r="A243" s="1610">
        <v>231</v>
      </c>
      <c r="B243" s="1611" t="s">
        <v>5</v>
      </c>
      <c r="C243" s="1612" t="str">
        <f>SU_01008</f>
        <v>SU 01008</v>
      </c>
      <c r="D243" s="1613" t="s">
        <v>23</v>
      </c>
      <c r="E243" s="1613" t="str">
        <f>F235</f>
        <v>Lower Front A-Arm</v>
      </c>
      <c r="F243" s="1614" t="str">
        <f>'SU Parts'!B162</f>
        <v>Rear Lower Front A-Arm Mount</v>
      </c>
      <c r="G243" s="1613"/>
      <c r="H243" s="1615">
        <f t="shared" si="20"/>
        <v>6.56201875</v>
      </c>
      <c r="I243" s="1616">
        <f>SU_A0001_q*SU_01008_q</f>
        <v>2</v>
      </c>
      <c r="J243" s="1617">
        <f>SU_01008_m</f>
        <v>0.42001875000000011</v>
      </c>
      <c r="K243" s="1617">
        <f>SU_01008_p</f>
        <v>6.1420000000000003</v>
      </c>
      <c r="L243" s="1617">
        <v>0</v>
      </c>
      <c r="M243" s="1617">
        <v>0</v>
      </c>
      <c r="N243" s="1618">
        <f t="shared" si="21"/>
        <v>13.1240375</v>
      </c>
      <c r="O243" s="1619"/>
    </row>
    <row r="244" spans="1:15" ht="15" x14ac:dyDescent="0.25">
      <c r="A244" s="1601">
        <v>232</v>
      </c>
      <c r="B244" s="1602" t="s">
        <v>5</v>
      </c>
      <c r="C244" s="1603" t="str">
        <f>SU_A0002</f>
        <v>SU A0002</v>
      </c>
      <c r="D244" s="1603" t="s">
        <v>23</v>
      </c>
      <c r="E244" s="1603"/>
      <c r="F244" s="1604" t="str">
        <f>'SU Assemblies'!B65</f>
        <v>Upper Front A-Arm</v>
      </c>
      <c r="G244" s="1603"/>
      <c r="H244" s="1605">
        <f t="shared" si="20"/>
        <v>38.82703333333334</v>
      </c>
      <c r="I244" s="1606">
        <f>SU_A0002_q</f>
        <v>2</v>
      </c>
      <c r="J244" s="1607">
        <f>SU_A0002_m</f>
        <v>20.86</v>
      </c>
      <c r="K244" s="1607">
        <f>SU_A0002_p</f>
        <v>16.033700000000003</v>
      </c>
      <c r="L244" s="1607">
        <f>SU_A0002_f</f>
        <v>0.60000000000000009</v>
      </c>
      <c r="M244" s="1607">
        <f>SU_A0002_t</f>
        <v>1.3333333333333333</v>
      </c>
      <c r="N244" s="1608">
        <f t="shared" si="21"/>
        <v>77.654066666666679</v>
      </c>
      <c r="O244" s="1609"/>
    </row>
    <row r="245" spans="1:15" ht="15" x14ac:dyDescent="0.25">
      <c r="A245" s="1610">
        <v>233</v>
      </c>
      <c r="B245" s="1611" t="s">
        <v>5</v>
      </c>
      <c r="C245" s="1612" t="str">
        <f>SU_02001</f>
        <v>SU 02001</v>
      </c>
      <c r="D245" s="1613" t="s">
        <v>23</v>
      </c>
      <c r="E245" s="1613" t="str">
        <f>F244</f>
        <v>Upper Front A-Arm</v>
      </c>
      <c r="F245" s="1614" t="str">
        <f>'SU Parts'!B187</f>
        <v>Simple Insert</v>
      </c>
      <c r="G245" s="1613"/>
      <c r="H245" s="1615">
        <f t="shared" si="20"/>
        <v>3.8036110707199997</v>
      </c>
      <c r="I245" s="1616">
        <f>SU_A0002_q*SU_02001_q</f>
        <v>4</v>
      </c>
      <c r="J245" s="1617">
        <f>SU_02001_m</f>
        <v>0.35161107071999997</v>
      </c>
      <c r="K245" s="1617">
        <f>SU_02001_p</f>
        <v>3.452</v>
      </c>
      <c r="L245" s="1617">
        <v>0</v>
      </c>
      <c r="M245" s="1617">
        <v>0</v>
      </c>
      <c r="N245" s="1618">
        <f t="shared" si="21"/>
        <v>15.214444282879999</v>
      </c>
      <c r="O245" s="1619"/>
    </row>
    <row r="246" spans="1:15" ht="15" x14ac:dyDescent="0.25">
      <c r="A246" s="1610">
        <v>234</v>
      </c>
      <c r="B246" s="1611" t="s">
        <v>5</v>
      </c>
      <c r="C246" s="1612" t="str">
        <f>SU_02002</f>
        <v>SU 02002</v>
      </c>
      <c r="D246" s="1613" t="s">
        <v>23</v>
      </c>
      <c r="E246" s="1613" t="str">
        <f>F244</f>
        <v>Upper Front A-Arm</v>
      </c>
      <c r="F246" s="1614" t="str">
        <f>'SU Parts'!B210</f>
        <v>Double Upper Front Insert</v>
      </c>
      <c r="G246" s="1620"/>
      <c r="H246" s="1615">
        <f t="shared" si="20"/>
        <v>6.9247104000000004</v>
      </c>
      <c r="I246" s="1616">
        <f>SU_A0002_q*SU_02002_q</f>
        <v>2</v>
      </c>
      <c r="J246" s="1617">
        <f>SU_02002_m</f>
        <v>2.1307103999999999</v>
      </c>
      <c r="K246" s="1617">
        <f>SU_02002_p</f>
        <v>4.7940000000000005</v>
      </c>
      <c r="L246" s="1617">
        <v>0</v>
      </c>
      <c r="M246" s="1617">
        <v>0</v>
      </c>
      <c r="N246" s="1618">
        <f t="shared" si="21"/>
        <v>13.849420800000001</v>
      </c>
      <c r="O246" s="1619"/>
    </row>
    <row r="247" spans="1:15" ht="15" x14ac:dyDescent="0.25">
      <c r="A247" s="1610">
        <v>235</v>
      </c>
      <c r="B247" s="1611" t="s">
        <v>5</v>
      </c>
      <c r="C247" s="1612" t="str">
        <f>SU_02003</f>
        <v>SU 02003</v>
      </c>
      <c r="D247" s="1613" t="s">
        <v>23</v>
      </c>
      <c r="E247" s="1613" t="str">
        <f>F244</f>
        <v>Upper Front A-Arm</v>
      </c>
      <c r="F247" s="1614" t="str">
        <f>'SU Parts'!B236</f>
        <v>Cylinder</v>
      </c>
      <c r="G247" s="1613"/>
      <c r="H247" s="1615">
        <f t="shared" si="20"/>
        <v>0.46433106400000002</v>
      </c>
      <c r="I247" s="1616">
        <f>SU_A0002_q*SU_02003_q</f>
        <v>4</v>
      </c>
      <c r="J247" s="1617">
        <f>SU_02003_m</f>
        <v>6.4331064000000007E-2</v>
      </c>
      <c r="K247" s="1617">
        <f>SU_02003_p</f>
        <v>0.4</v>
      </c>
      <c r="L247" s="1617">
        <v>0</v>
      </c>
      <c r="M247" s="1617">
        <v>0</v>
      </c>
      <c r="N247" s="1618">
        <f t="shared" si="21"/>
        <v>1.8573242560000001</v>
      </c>
      <c r="O247" s="1619"/>
    </row>
    <row r="248" spans="1:15" ht="15" x14ac:dyDescent="0.25">
      <c r="A248" s="1610">
        <v>236</v>
      </c>
      <c r="B248" s="1611" t="s">
        <v>5</v>
      </c>
      <c r="C248" s="1612" t="str">
        <f>SU_02004</f>
        <v>SU 02004</v>
      </c>
      <c r="D248" s="1613" t="s">
        <v>23</v>
      </c>
      <c r="E248" s="1613" t="str">
        <f>F244</f>
        <v>Upper Front A-Arm</v>
      </c>
      <c r="F248" s="1614" t="str">
        <f>'SU Parts'!B254</f>
        <v>Front Upper Front A-Arm Carbon Tube</v>
      </c>
      <c r="G248" s="1613"/>
      <c r="H248" s="1615">
        <f t="shared" si="20"/>
        <v>9.3022558472793762</v>
      </c>
      <c r="I248" s="1616">
        <f>SU_A0002_q*SU_02004_q</f>
        <v>2</v>
      </c>
      <c r="J248" s="1617">
        <f>SU_02004_m</f>
        <v>8.2686718642483346</v>
      </c>
      <c r="K248" s="1617">
        <f>SU_02004_p</f>
        <v>1.0335839830310418</v>
      </c>
      <c r="L248" s="1617">
        <v>0</v>
      </c>
      <c r="M248" s="1617">
        <v>0</v>
      </c>
      <c r="N248" s="1618">
        <f t="shared" si="21"/>
        <v>18.604511694558752</v>
      </c>
      <c r="O248" s="1619"/>
    </row>
    <row r="249" spans="1:15" ht="15" x14ac:dyDescent="0.25">
      <c r="A249" s="1610">
        <v>237</v>
      </c>
      <c r="B249" s="1611" t="s">
        <v>5</v>
      </c>
      <c r="C249" s="1612" t="str">
        <f>SU_02005</f>
        <v>SU 02005</v>
      </c>
      <c r="D249" s="1613" t="s">
        <v>23</v>
      </c>
      <c r="E249" s="1613" t="str">
        <f>F244</f>
        <v>Upper Front A-Arm</v>
      </c>
      <c r="F249" s="1614" t="str">
        <f>'SU Parts'!B275</f>
        <v>Rear Upper Front A-Arm Carbon Tube</v>
      </c>
      <c r="G249" s="1613"/>
      <c r="H249" s="1615">
        <f t="shared" si="20"/>
        <v>9.4605921170203011</v>
      </c>
      <c r="I249" s="1616">
        <f>SU_A0002_q*SU_02005_q</f>
        <v>2</v>
      </c>
      <c r="J249" s="1617">
        <f>SU_02005_m</f>
        <v>8.4094152151291564</v>
      </c>
      <c r="K249" s="1617">
        <f>SU_02005_p</f>
        <v>1.0511769018911445</v>
      </c>
      <c r="L249" s="1617">
        <v>0</v>
      </c>
      <c r="M249" s="1617">
        <v>0</v>
      </c>
      <c r="N249" s="1618">
        <f t="shared" si="21"/>
        <v>18.921184234040602</v>
      </c>
      <c r="O249" s="1619"/>
    </row>
    <row r="250" spans="1:15" ht="15" x14ac:dyDescent="0.25">
      <c r="A250" s="1610">
        <v>238</v>
      </c>
      <c r="B250" s="1611" t="s">
        <v>5</v>
      </c>
      <c r="C250" s="1612" t="str">
        <f>SU_02006</f>
        <v>SU 02006</v>
      </c>
      <c r="D250" s="1613" t="s">
        <v>23</v>
      </c>
      <c r="E250" s="1613" t="str">
        <f>F244</f>
        <v>Upper Front A-Arm</v>
      </c>
      <c r="F250" s="1614" t="str">
        <f>'SU Parts'!B296</f>
        <v>Spacer</v>
      </c>
      <c r="G250" s="1613"/>
      <c r="H250" s="1615">
        <f t="shared" si="20"/>
        <v>1.6884895769514321</v>
      </c>
      <c r="I250" s="1616">
        <f>SU_A0002_q*SU_02006_q</f>
        <v>12</v>
      </c>
      <c r="J250" s="1617">
        <f>SU_02006_m</f>
        <v>1.0889576951432157E-2</v>
      </c>
      <c r="K250" s="1617">
        <f>SU_02006_p</f>
        <v>1.6776</v>
      </c>
      <c r="L250" s="1617">
        <v>0</v>
      </c>
      <c r="M250" s="1617">
        <v>0</v>
      </c>
      <c r="N250" s="1618">
        <f t="shared" si="21"/>
        <v>20.261874923417185</v>
      </c>
      <c r="O250" s="1619"/>
    </row>
    <row r="251" spans="1:15" ht="15" x14ac:dyDescent="0.25">
      <c r="A251" s="1610">
        <v>239</v>
      </c>
      <c r="B251" s="1611" t="s">
        <v>5</v>
      </c>
      <c r="C251" s="1612" t="str">
        <f>SU_02007</f>
        <v>SU 02007</v>
      </c>
      <c r="D251" s="1613" t="s">
        <v>23</v>
      </c>
      <c r="E251" s="1613" t="str">
        <f>F244</f>
        <v>Upper Front A-Arm</v>
      </c>
      <c r="F251" s="1614" t="str">
        <f>'SU Parts'!B317</f>
        <v>Front Upper Front A-Arm Mount</v>
      </c>
      <c r="G251" s="1613"/>
      <c r="H251" s="1615">
        <f t="shared" si="20"/>
        <v>5.8081630000000004</v>
      </c>
      <c r="I251" s="1616">
        <f>SU_A0002_q*SU_02007_q</f>
        <v>2</v>
      </c>
      <c r="J251" s="1617">
        <f>SU_02007_m</f>
        <v>0.35016299999999995</v>
      </c>
      <c r="K251" s="1617">
        <f>SU_02007_p</f>
        <v>5.4580000000000002</v>
      </c>
      <c r="L251" s="1617">
        <v>0</v>
      </c>
      <c r="M251" s="1617">
        <v>0</v>
      </c>
      <c r="N251" s="1618">
        <f t="shared" si="21"/>
        <v>11.616326000000001</v>
      </c>
      <c r="O251" s="1619"/>
    </row>
    <row r="252" spans="1:15" ht="15" x14ac:dyDescent="0.25">
      <c r="A252" s="1610">
        <v>240</v>
      </c>
      <c r="B252" s="1611" t="s">
        <v>5</v>
      </c>
      <c r="C252" s="1612" t="str">
        <f>SU_02008</f>
        <v>SU 02008</v>
      </c>
      <c r="D252" s="1613" t="s">
        <v>23</v>
      </c>
      <c r="E252" s="1613" t="str">
        <f>F244</f>
        <v>Upper Front A-Arm</v>
      </c>
      <c r="F252" s="1614" t="str">
        <f>'SU Parts'!B341</f>
        <v>Rear Upper Front A-Arm Mount</v>
      </c>
      <c r="G252" s="1613"/>
      <c r="H252" s="1615">
        <f t="shared" si="20"/>
        <v>5.8754950000000008</v>
      </c>
      <c r="I252" s="1616">
        <f>SU_A0002_q*SU_02008_q</f>
        <v>2</v>
      </c>
      <c r="J252" s="1617">
        <f>SU_02008_m</f>
        <v>0.47749500000000006</v>
      </c>
      <c r="K252" s="1617">
        <f>SU_02008_p</f>
        <v>5.3980000000000006</v>
      </c>
      <c r="L252" s="1617">
        <v>0</v>
      </c>
      <c r="M252" s="1617">
        <v>0</v>
      </c>
      <c r="N252" s="1618">
        <f t="shared" si="21"/>
        <v>11.750990000000002</v>
      </c>
      <c r="O252" s="1619"/>
    </row>
    <row r="253" spans="1:15" ht="15" x14ac:dyDescent="0.25">
      <c r="A253" s="1601">
        <v>241</v>
      </c>
      <c r="B253" s="1602" t="s">
        <v>5</v>
      </c>
      <c r="C253" s="1603" t="str">
        <f>SU_A0003</f>
        <v>SU A0003</v>
      </c>
      <c r="D253" s="1603" t="s">
        <v>23</v>
      </c>
      <c r="E253" s="1603"/>
      <c r="F253" s="1604" t="str">
        <f>'SU Assemblies'!B125</f>
        <v>Lower Rear A-Arm</v>
      </c>
      <c r="G253" s="1603"/>
      <c r="H253" s="1605">
        <f t="shared" si="20"/>
        <v>38.82703333333334</v>
      </c>
      <c r="I253" s="1606">
        <f>SU_A0003_q</f>
        <v>2</v>
      </c>
      <c r="J253" s="1607">
        <f>SU_A0003_m</f>
        <v>20.86</v>
      </c>
      <c r="K253" s="1607">
        <f>SU_A0003_p</f>
        <v>16.033700000000003</v>
      </c>
      <c r="L253" s="1607">
        <f>SU_A0003_f</f>
        <v>0.60000000000000009</v>
      </c>
      <c r="M253" s="1607">
        <f>SU_A0003_t</f>
        <v>1.3333333333333333</v>
      </c>
      <c r="N253" s="1608">
        <f t="shared" si="21"/>
        <v>77.654066666666679</v>
      </c>
      <c r="O253" s="1609"/>
    </row>
    <row r="254" spans="1:15" ht="15" x14ac:dyDescent="0.25">
      <c r="A254" s="1610">
        <v>242</v>
      </c>
      <c r="B254" s="1611" t="s">
        <v>5</v>
      </c>
      <c r="C254" s="1612" t="str">
        <f>SU_03001</f>
        <v>SU 03001</v>
      </c>
      <c r="D254" s="1613" t="s">
        <v>23</v>
      </c>
      <c r="E254" s="1613" t="str">
        <f>F253</f>
        <v>Lower Rear A-Arm</v>
      </c>
      <c r="F254" s="1614" t="str">
        <f>'SU Parts'!B366</f>
        <v>Simple Insert</v>
      </c>
      <c r="G254" s="1613"/>
      <c r="H254" s="1615">
        <f t="shared" si="20"/>
        <v>3.7758890374999998</v>
      </c>
      <c r="I254" s="1616">
        <f>SU_A0003_q*SU_03001_q</f>
        <v>4</v>
      </c>
      <c r="J254" s="1617">
        <f>SU_03001_m</f>
        <v>0.32388903750000009</v>
      </c>
      <c r="K254" s="1617">
        <f>SU_03001_p</f>
        <v>3.452</v>
      </c>
      <c r="L254" s="1617">
        <v>0</v>
      </c>
      <c r="M254" s="1617">
        <v>0</v>
      </c>
      <c r="N254" s="1618">
        <f t="shared" si="21"/>
        <v>15.103556149999999</v>
      </c>
      <c r="O254" s="1619"/>
    </row>
    <row r="255" spans="1:15" ht="15" x14ac:dyDescent="0.25">
      <c r="A255" s="1610">
        <v>243</v>
      </c>
      <c r="B255" s="1611" t="s">
        <v>5</v>
      </c>
      <c r="C255" s="1612" t="str">
        <f>SU_03002</f>
        <v>SU 03002</v>
      </c>
      <c r="D255" s="1613" t="s">
        <v>23</v>
      </c>
      <c r="E255" s="1613" t="str">
        <f>F253</f>
        <v>Lower Rear A-Arm</v>
      </c>
      <c r="F255" s="1614" t="str">
        <f>'SU Parts'!B389</f>
        <v>Double Lower Rear Insert</v>
      </c>
      <c r="G255" s="1620"/>
      <c r="H255" s="1615">
        <f t="shared" si="20"/>
        <v>6.7992800000000004</v>
      </c>
      <c r="I255" s="1616">
        <f>SU_A0003_q*SU_03002_q</f>
        <v>2</v>
      </c>
      <c r="J255" s="1617">
        <f>SU_03002_m</f>
        <v>0.45528000000000007</v>
      </c>
      <c r="K255" s="1617">
        <f>SU_03002_p</f>
        <v>6.3440000000000003</v>
      </c>
      <c r="L255" s="1617">
        <v>0</v>
      </c>
      <c r="M255" s="1617">
        <v>0</v>
      </c>
      <c r="N255" s="1618">
        <f t="shared" si="21"/>
        <v>13.598560000000001</v>
      </c>
      <c r="O255" s="1619"/>
    </row>
    <row r="256" spans="1:15" ht="15" x14ac:dyDescent="0.25">
      <c r="A256" s="1610">
        <v>244</v>
      </c>
      <c r="B256" s="1611" t="s">
        <v>5</v>
      </c>
      <c r="C256" s="1612" t="str">
        <f>SU_03003</f>
        <v>SU 03003</v>
      </c>
      <c r="D256" s="1613" t="s">
        <v>23</v>
      </c>
      <c r="E256" s="1613" t="str">
        <f>F253</f>
        <v>Lower Rear A-Arm</v>
      </c>
      <c r="F256" s="1614" t="str">
        <f>'SU Parts'!B415</f>
        <v>Cylinder</v>
      </c>
      <c r="G256" s="1613"/>
      <c r="H256" s="1615">
        <f t="shared" si="20"/>
        <v>0.46456844800000002</v>
      </c>
      <c r="I256" s="1616">
        <f>SU_A0003_q*SU_03003_q</f>
        <v>4</v>
      </c>
      <c r="J256" s="1617">
        <f>SU_03003_m</f>
        <v>6.4568448000000014E-2</v>
      </c>
      <c r="K256" s="1617">
        <f>SU_03003_p</f>
        <v>0.4</v>
      </c>
      <c r="L256" s="1617">
        <v>0</v>
      </c>
      <c r="M256" s="1617">
        <v>0</v>
      </c>
      <c r="N256" s="1618">
        <f t="shared" si="21"/>
        <v>1.8582737920000001</v>
      </c>
      <c r="O256" s="1619"/>
    </row>
    <row r="257" spans="1:15" ht="15" x14ac:dyDescent="0.25">
      <c r="A257" s="1610">
        <v>245</v>
      </c>
      <c r="B257" s="1611" t="s">
        <v>5</v>
      </c>
      <c r="C257" s="1612" t="str">
        <f>SU_03004</f>
        <v>SU 03004</v>
      </c>
      <c r="D257" s="1613" t="s">
        <v>23</v>
      </c>
      <c r="E257" s="1613" t="str">
        <f>F253</f>
        <v>Lower Rear A-Arm</v>
      </c>
      <c r="F257" s="1614" t="str">
        <f>'SU Parts'!B433</f>
        <v>Front Lower Rear A-Arm Carbon Tube</v>
      </c>
      <c r="G257" s="1613"/>
      <c r="H257" s="1615">
        <f t="shared" si="20"/>
        <v>11.598131758522795</v>
      </c>
      <c r="I257" s="1616">
        <f>SU_A0003_q*SU_03004_q</f>
        <v>2</v>
      </c>
      <c r="J257" s="1617">
        <f>SU_03004_m</f>
        <v>10.309450452020263</v>
      </c>
      <c r="K257" s="1617">
        <f>SU_03004_p</f>
        <v>1.2886813065025329</v>
      </c>
      <c r="L257" s="1617">
        <v>0</v>
      </c>
      <c r="M257" s="1617">
        <v>0</v>
      </c>
      <c r="N257" s="1618">
        <f t="shared" si="21"/>
        <v>23.19626351704559</v>
      </c>
      <c r="O257" s="1619"/>
    </row>
    <row r="258" spans="1:15" ht="15" x14ac:dyDescent="0.25">
      <c r="A258" s="1610">
        <v>246</v>
      </c>
      <c r="B258" s="1611" t="s">
        <v>5</v>
      </c>
      <c r="C258" s="1612" t="str">
        <f>SU_03005</f>
        <v>SU 03005</v>
      </c>
      <c r="D258" s="1613" t="s">
        <v>23</v>
      </c>
      <c r="E258" s="1613" t="str">
        <f>F253</f>
        <v>Lower Rear A-Arm</v>
      </c>
      <c r="F258" s="1614" t="str">
        <f>'SU Parts'!B454</f>
        <v>Rear Lower Rear A-Arm Carbon Tube</v>
      </c>
      <c r="G258" s="1613"/>
      <c r="H258" s="1615">
        <f t="shared" si="20"/>
        <v>11.08353888186479</v>
      </c>
      <c r="I258" s="1616">
        <f>SU_A0003_q*SU_03005_q</f>
        <v>2</v>
      </c>
      <c r="J258" s="1617">
        <f>SU_03005_m</f>
        <v>9.8520345616575913</v>
      </c>
      <c r="K258" s="1617">
        <f>SU_03005_p</f>
        <v>1.2315043202071989</v>
      </c>
      <c r="L258" s="1617">
        <v>0</v>
      </c>
      <c r="M258" s="1617">
        <v>0</v>
      </c>
      <c r="N258" s="1618">
        <f t="shared" si="21"/>
        <v>22.16707776372958</v>
      </c>
      <c r="O258" s="1619"/>
    </row>
    <row r="259" spans="1:15" ht="15" x14ac:dyDescent="0.25">
      <c r="A259" s="1610">
        <v>247</v>
      </c>
      <c r="B259" s="1611" t="s">
        <v>5</v>
      </c>
      <c r="C259" s="1612" t="str">
        <f>SU_03006</f>
        <v>SU 03006</v>
      </c>
      <c r="D259" s="1613" t="s">
        <v>23</v>
      </c>
      <c r="E259" s="1613" t="str">
        <f>F253</f>
        <v>Lower Rear A-Arm</v>
      </c>
      <c r="F259" s="1614" t="str">
        <f>'SU Parts'!B475</f>
        <v>Spacer</v>
      </c>
      <c r="G259" s="1613"/>
      <c r="H259" s="1615">
        <f t="shared" si="20"/>
        <v>1.6884895769514321</v>
      </c>
      <c r="I259" s="1616">
        <f>SU_A0003_q*SU_03006_q</f>
        <v>12</v>
      </c>
      <c r="J259" s="1617">
        <f>SU_03006_m</f>
        <v>1.0889576951432157E-2</v>
      </c>
      <c r="K259" s="1617">
        <f>SU_03006_p</f>
        <v>1.6776</v>
      </c>
      <c r="L259" s="1617">
        <v>0</v>
      </c>
      <c r="M259" s="1617">
        <v>0</v>
      </c>
      <c r="N259" s="1618">
        <f t="shared" si="21"/>
        <v>20.261874923417185</v>
      </c>
      <c r="O259" s="1619"/>
    </row>
    <row r="260" spans="1:15" ht="15" x14ac:dyDescent="0.25">
      <c r="A260" s="1610">
        <v>248</v>
      </c>
      <c r="B260" s="1611" t="s">
        <v>5</v>
      </c>
      <c r="C260" s="1612" t="str">
        <f>SU_03007</f>
        <v>SU 03007</v>
      </c>
      <c r="D260" s="1613" t="s">
        <v>23</v>
      </c>
      <c r="E260" s="1613" t="str">
        <f>F253</f>
        <v>Lower Rear A-Arm</v>
      </c>
      <c r="F260" s="1614" t="str">
        <f>'SU Parts'!B496</f>
        <v>Front Lower Rear A-Arm Mount</v>
      </c>
      <c r="G260" s="1613"/>
      <c r="H260" s="1615">
        <f t="shared" si="20"/>
        <v>6.3175974999999989</v>
      </c>
      <c r="I260" s="1616">
        <f>SU_A0003_q*SU_03007_q</f>
        <v>2</v>
      </c>
      <c r="J260" s="1617">
        <f>SU_03007_m</f>
        <v>0.41559750000000001</v>
      </c>
      <c r="K260" s="1617">
        <f>SU_03007_p</f>
        <v>5.9019999999999992</v>
      </c>
      <c r="L260" s="1617">
        <v>0</v>
      </c>
      <c r="M260" s="1617">
        <v>0</v>
      </c>
      <c r="N260" s="1618">
        <f t="shared" si="21"/>
        <v>12.635194999999998</v>
      </c>
      <c r="O260" s="1619"/>
    </row>
    <row r="261" spans="1:15" ht="15" x14ac:dyDescent="0.25">
      <c r="A261" s="1610">
        <v>249</v>
      </c>
      <c r="B261" s="1611" t="s">
        <v>5</v>
      </c>
      <c r="C261" s="1612" t="str">
        <f>SU_03008</f>
        <v>SU 03008</v>
      </c>
      <c r="D261" s="1613" t="s">
        <v>23</v>
      </c>
      <c r="E261" s="1613" t="str">
        <f>F253</f>
        <v>Lower Rear A-Arm</v>
      </c>
      <c r="F261" s="1614" t="str">
        <f>'SU Parts'!B520</f>
        <v>Rear Lower Rear A-Arm Mount</v>
      </c>
      <c r="G261" s="1613"/>
      <c r="H261" s="1615">
        <f t="shared" si="20"/>
        <v>6.7843375000000012</v>
      </c>
      <c r="I261" s="1616">
        <f>SU_A0003_q*SU_03008_q</f>
        <v>2</v>
      </c>
      <c r="J261" s="1617">
        <f>SU_03008_m</f>
        <v>0.48633750000000009</v>
      </c>
      <c r="K261" s="1617">
        <f>SU_03008_p</f>
        <v>6.2980000000000009</v>
      </c>
      <c r="L261" s="1617">
        <v>0</v>
      </c>
      <c r="M261" s="1617">
        <v>0</v>
      </c>
      <c r="N261" s="1618">
        <f t="shared" si="21"/>
        <v>13.568675000000002</v>
      </c>
      <c r="O261" s="1619"/>
    </row>
    <row r="262" spans="1:15" ht="15" x14ac:dyDescent="0.25">
      <c r="A262" s="1601">
        <v>250</v>
      </c>
      <c r="B262" s="1602" t="s">
        <v>5</v>
      </c>
      <c r="C262" s="1603" t="str">
        <f>SU_A0004</f>
        <v>SU A0004</v>
      </c>
      <c r="D262" s="1603" t="s">
        <v>23</v>
      </c>
      <c r="E262" s="1603"/>
      <c r="F262" s="1604" t="str">
        <f>'SU Assemblies'!B185</f>
        <v>Upper Rear A-Arm</v>
      </c>
      <c r="G262" s="1603"/>
      <c r="H262" s="1605">
        <f t="shared" si="20"/>
        <v>39.047033333333339</v>
      </c>
      <c r="I262" s="1606">
        <f>SU_A0004_q</f>
        <v>2</v>
      </c>
      <c r="J262" s="1607">
        <f>SU_A0004_m</f>
        <v>20.86</v>
      </c>
      <c r="K262" s="1607">
        <f>SU_A0004_p</f>
        <v>16.033700000000003</v>
      </c>
      <c r="L262" s="1607">
        <f>SU_A0004_f</f>
        <v>0.82000000000000006</v>
      </c>
      <c r="M262" s="1607">
        <f>SU_A0004_t</f>
        <v>1.3333333333333333</v>
      </c>
      <c r="N262" s="1608">
        <f t="shared" si="21"/>
        <v>78.094066666666677</v>
      </c>
      <c r="O262" s="1609"/>
    </row>
    <row r="263" spans="1:15" ht="15" x14ac:dyDescent="0.25">
      <c r="A263" s="1610">
        <v>251</v>
      </c>
      <c r="B263" s="1611" t="s">
        <v>5</v>
      </c>
      <c r="C263" s="1612" t="str">
        <f>SU_04001</f>
        <v>SU 04001</v>
      </c>
      <c r="D263" s="1613" t="s">
        <v>23</v>
      </c>
      <c r="E263" s="1613" t="str">
        <f>F262</f>
        <v>Upper Rear A-Arm</v>
      </c>
      <c r="F263" s="1614" t="str">
        <f>'SU Parts'!B545</f>
        <v>Simple Insert</v>
      </c>
      <c r="G263" s="1613"/>
      <c r="H263" s="1615">
        <f t="shared" si="20"/>
        <v>3.8036110707199997</v>
      </c>
      <c r="I263" s="1616">
        <f>SU_A0004_q*SU_04001_q</f>
        <v>4</v>
      </c>
      <c r="J263" s="1617">
        <f>SU_04001_m</f>
        <v>0.35161107071999997</v>
      </c>
      <c r="K263" s="1617">
        <f>SU_04001_p</f>
        <v>3.452</v>
      </c>
      <c r="L263" s="1617">
        <v>0</v>
      </c>
      <c r="M263" s="1617">
        <v>0</v>
      </c>
      <c r="N263" s="1618">
        <f t="shared" si="21"/>
        <v>15.214444282879999</v>
      </c>
      <c r="O263" s="1619"/>
    </row>
    <row r="264" spans="1:15" ht="15" x14ac:dyDescent="0.25">
      <c r="A264" s="1610">
        <v>252</v>
      </c>
      <c r="B264" s="1611" t="s">
        <v>5</v>
      </c>
      <c r="C264" s="1612" t="str">
        <f>SU_04002</f>
        <v>SU 04002</v>
      </c>
      <c r="D264" s="1613" t="s">
        <v>23</v>
      </c>
      <c r="E264" s="1613" t="str">
        <f>F262</f>
        <v>Upper Rear A-Arm</v>
      </c>
      <c r="F264" s="1614" t="str">
        <f>'SU Parts'!B568</f>
        <v>Double Upper Rear Insert</v>
      </c>
      <c r="G264" s="1620"/>
      <c r="H264" s="1615">
        <f t="shared" si="20"/>
        <v>11.679055999999999</v>
      </c>
      <c r="I264" s="1616">
        <f>SU_A0004_q*SU_04002_q</f>
        <v>2</v>
      </c>
      <c r="J264" s="1617">
        <f>SU_04002_m</f>
        <v>1.6450559999999996</v>
      </c>
      <c r="K264" s="1617">
        <f>SU_04002_p</f>
        <v>10.033999999999999</v>
      </c>
      <c r="L264" s="1617">
        <v>0</v>
      </c>
      <c r="M264" s="1617">
        <v>0</v>
      </c>
      <c r="N264" s="1618">
        <f t="shared" si="21"/>
        <v>23.358111999999998</v>
      </c>
      <c r="O264" s="1619"/>
    </row>
    <row r="265" spans="1:15" ht="15" x14ac:dyDescent="0.25">
      <c r="A265" s="1610">
        <v>253</v>
      </c>
      <c r="B265" s="1611" t="s">
        <v>5</v>
      </c>
      <c r="C265" s="1612" t="str">
        <f>SU_04003</f>
        <v>SU 04003</v>
      </c>
      <c r="D265" s="1613" t="s">
        <v>23</v>
      </c>
      <c r="E265" s="1613" t="str">
        <f>F262</f>
        <v>Upper Rear A-Arm</v>
      </c>
      <c r="F265" s="1614" t="str">
        <f>'SU Parts'!B597</f>
        <v>Cylinder</v>
      </c>
      <c r="G265" s="1613"/>
      <c r="H265" s="1615">
        <f t="shared" si="20"/>
        <v>0.46456844800000002</v>
      </c>
      <c r="I265" s="1616">
        <f>SU_A0004_q*SU_04003_q</f>
        <v>4</v>
      </c>
      <c r="J265" s="1617">
        <f>SU_04003_m</f>
        <v>6.4568448000000014E-2</v>
      </c>
      <c r="K265" s="1617">
        <f>SU_04003_p</f>
        <v>0.4</v>
      </c>
      <c r="L265" s="1617">
        <v>0</v>
      </c>
      <c r="M265" s="1617">
        <v>0</v>
      </c>
      <c r="N265" s="1618">
        <f t="shared" si="21"/>
        <v>1.8582737920000001</v>
      </c>
      <c r="O265" s="1619"/>
    </row>
    <row r="266" spans="1:15" ht="15" x14ac:dyDescent="0.25">
      <c r="A266" s="1610">
        <v>254</v>
      </c>
      <c r="B266" s="1611" t="s">
        <v>5</v>
      </c>
      <c r="C266" s="1612" t="str">
        <f>SU_04004</f>
        <v>SU 04004</v>
      </c>
      <c r="D266" s="1613" t="s">
        <v>23</v>
      </c>
      <c r="E266" s="1613" t="str">
        <f>F262</f>
        <v>Upper Rear A-Arm</v>
      </c>
      <c r="F266" s="1614" t="str">
        <f>'SU Parts'!B615</f>
        <v>Front Upper Rear A-Arm Carbon Tube</v>
      </c>
      <c r="G266" s="1613"/>
      <c r="H266" s="1615">
        <f t="shared" si="20"/>
        <v>8.5501585660099799</v>
      </c>
      <c r="I266" s="1616">
        <f>SU_A0004_q*SU_04004_q</f>
        <v>2</v>
      </c>
      <c r="J266" s="1617">
        <f>SU_04004_m</f>
        <v>7.6001409475644266</v>
      </c>
      <c r="K266" s="1617">
        <f>SU_04004_p</f>
        <v>0.95001761844555332</v>
      </c>
      <c r="L266" s="1617">
        <v>0</v>
      </c>
      <c r="M266" s="1617">
        <v>0</v>
      </c>
      <c r="N266" s="1618">
        <f t="shared" si="21"/>
        <v>17.10031713201996</v>
      </c>
      <c r="O266" s="1619"/>
    </row>
    <row r="267" spans="1:15" ht="15" x14ac:dyDescent="0.25">
      <c r="A267" s="1610">
        <v>255</v>
      </c>
      <c r="B267" s="1611" t="s">
        <v>5</v>
      </c>
      <c r="C267" s="1612" t="str">
        <f>SU_04005</f>
        <v>SU 04005</v>
      </c>
      <c r="D267" s="1613" t="s">
        <v>23</v>
      </c>
      <c r="E267" s="1613" t="str">
        <f>F262</f>
        <v>Upper Rear A-Arm</v>
      </c>
      <c r="F267" s="1614" t="str">
        <f>'SU Parts'!B636</f>
        <v>Rear Upper Rear A-Arm Carbon Tube</v>
      </c>
      <c r="G267" s="1613"/>
      <c r="H267" s="1615">
        <f t="shared" si="20"/>
        <v>7.4022206103882704</v>
      </c>
      <c r="I267" s="1616">
        <f>SU_A0004_q*SU_04005_q</f>
        <v>2</v>
      </c>
      <c r="J267" s="1617">
        <f>SU_04005_m</f>
        <v>6.5797516536784624</v>
      </c>
      <c r="K267" s="1617">
        <f>SU_04005_p</f>
        <v>0.82246895670980791</v>
      </c>
      <c r="L267" s="1617">
        <v>0</v>
      </c>
      <c r="M267" s="1617">
        <v>0</v>
      </c>
      <c r="N267" s="1618">
        <f t="shared" si="21"/>
        <v>14.804441220776541</v>
      </c>
      <c r="O267" s="1619"/>
    </row>
    <row r="268" spans="1:15" ht="15" x14ac:dyDescent="0.25">
      <c r="A268" s="1610">
        <v>256</v>
      </c>
      <c r="B268" s="1611" t="s">
        <v>5</v>
      </c>
      <c r="C268" s="1612" t="str">
        <f>SU_04006</f>
        <v>SU 04006</v>
      </c>
      <c r="D268" s="1613" t="s">
        <v>23</v>
      </c>
      <c r="E268" s="1613" t="str">
        <f>F262</f>
        <v>Upper Rear A-Arm</v>
      </c>
      <c r="F268" s="1614" t="str">
        <f>'SU Parts'!B657</f>
        <v>Spacer</v>
      </c>
      <c r="G268" s="1613"/>
      <c r="H268" s="1615">
        <f t="shared" si="20"/>
        <v>1.6884895769514321</v>
      </c>
      <c r="I268" s="1616">
        <f>SU_A0004_q*SU_04006_q</f>
        <v>12</v>
      </c>
      <c r="J268" s="1617">
        <f>SU_04006_m</f>
        <v>1.0889576951432157E-2</v>
      </c>
      <c r="K268" s="1617">
        <f>SU_04006_p</f>
        <v>1.6776</v>
      </c>
      <c r="L268" s="1617">
        <v>0</v>
      </c>
      <c r="M268" s="1617">
        <v>0</v>
      </c>
      <c r="N268" s="1618">
        <f t="shared" si="21"/>
        <v>20.261874923417185</v>
      </c>
      <c r="O268" s="1619"/>
    </row>
    <row r="269" spans="1:15" ht="15" x14ac:dyDescent="0.25">
      <c r="A269" s="1610">
        <v>257</v>
      </c>
      <c r="B269" s="1611" t="s">
        <v>5</v>
      </c>
      <c r="C269" s="1612" t="str">
        <f>SU_04007</f>
        <v>SU 04007</v>
      </c>
      <c r="D269" s="1613" t="s">
        <v>23</v>
      </c>
      <c r="E269" s="1613" t="str">
        <f>F262</f>
        <v>Upper Rear A-Arm</v>
      </c>
      <c r="F269" s="1614" t="str">
        <f>'SU Parts'!B678</f>
        <v>Front Upper Rear A-Arm Mount</v>
      </c>
      <c r="G269" s="1613"/>
      <c r="H269" s="1615">
        <f t="shared" si="20"/>
        <v>6.4271781250000002</v>
      </c>
      <c r="I269" s="1616">
        <f>SU_A0004_q*SU_04007_q</f>
        <v>2</v>
      </c>
      <c r="J269" s="1617">
        <f>SU_04007_m</f>
        <v>0.4531781250000001</v>
      </c>
      <c r="K269" s="1617">
        <f>SU_04007_p</f>
        <v>5.9740000000000002</v>
      </c>
      <c r="L269" s="1617">
        <v>0</v>
      </c>
      <c r="M269" s="1617">
        <v>0</v>
      </c>
      <c r="N269" s="1618">
        <f t="shared" si="21"/>
        <v>12.85435625</v>
      </c>
      <c r="O269" s="1619"/>
    </row>
    <row r="270" spans="1:15" ht="15" x14ac:dyDescent="0.25">
      <c r="A270" s="1610">
        <v>258</v>
      </c>
      <c r="B270" s="1611" t="s">
        <v>5</v>
      </c>
      <c r="C270" s="1612" t="str">
        <f>SU_04008</f>
        <v>SU 04008</v>
      </c>
      <c r="D270" s="1613" t="s">
        <v>23</v>
      </c>
      <c r="E270" s="1613" t="str">
        <f>F262</f>
        <v>Upper Rear A-Arm</v>
      </c>
      <c r="F270" s="1614" t="str">
        <f>'SU Parts'!B702</f>
        <v>Rear Upper Rear A-Arm Mount</v>
      </c>
      <c r="G270" s="1613"/>
      <c r="H270" s="1615">
        <f t="shared" si="20"/>
        <v>6.3321250000000004</v>
      </c>
      <c r="I270" s="1616">
        <f>SU_A0004_q*SU_04008_q</f>
        <v>2</v>
      </c>
      <c r="J270" s="1617">
        <f>SU_04008_m</f>
        <v>0.44212500000000016</v>
      </c>
      <c r="K270" s="1617">
        <f>SU_04008_p</f>
        <v>5.8900000000000006</v>
      </c>
      <c r="L270" s="1617">
        <v>0</v>
      </c>
      <c r="M270" s="1617">
        <v>0</v>
      </c>
      <c r="N270" s="1618">
        <f t="shared" si="21"/>
        <v>12.664250000000001</v>
      </c>
      <c r="O270" s="1619"/>
    </row>
    <row r="271" spans="1:15" ht="15" x14ac:dyDescent="0.25">
      <c r="A271" s="1601">
        <v>259</v>
      </c>
      <c r="B271" s="1602" t="s">
        <v>5</v>
      </c>
      <c r="C271" s="1621" t="str">
        <f>SU_A0005</f>
        <v>SU A0005</v>
      </c>
      <c r="D271" s="1603" t="s">
        <v>23</v>
      </c>
      <c r="E271" s="1603"/>
      <c r="F271" s="1604" t="str">
        <f>'SU Assemblies'!B246</f>
        <v>Front suspension</v>
      </c>
      <c r="G271" s="1603"/>
      <c r="H271" s="1605">
        <f t="shared" si="20"/>
        <v>2.9329166666666664</v>
      </c>
      <c r="I271" s="1606">
        <f>SU_A0005_q</f>
        <v>2</v>
      </c>
      <c r="J271" s="1622">
        <f>SU_A0005_m</f>
        <v>0.05</v>
      </c>
      <c r="K271" s="1622">
        <f>SU_A0005_p</f>
        <v>1.37625</v>
      </c>
      <c r="L271" s="1622">
        <f>SU_A0005_f</f>
        <v>0.84</v>
      </c>
      <c r="M271" s="1622">
        <f>SU_A0005_t</f>
        <v>0.66666666666666663</v>
      </c>
      <c r="N271" s="1608">
        <f t="shared" si="21"/>
        <v>5.8658333333333328</v>
      </c>
      <c r="O271" s="1609"/>
    </row>
    <row r="272" spans="1:15" ht="15" x14ac:dyDescent="0.25">
      <c r="A272" s="1610">
        <v>260</v>
      </c>
      <c r="B272" s="1611" t="s">
        <v>5</v>
      </c>
      <c r="C272" s="1612" t="str">
        <f>SU_05001</f>
        <v>SU 05001</v>
      </c>
      <c r="D272" s="1613" t="s">
        <v>23</v>
      </c>
      <c r="E272" s="1613" t="s">
        <v>2437</v>
      </c>
      <c r="F272" s="1614" t="str">
        <f>'SU Parts'!B727</f>
        <v>Damper</v>
      </c>
      <c r="G272" s="1613"/>
      <c r="H272" s="1615">
        <f t="shared" si="20"/>
        <v>305</v>
      </c>
      <c r="I272" s="1616">
        <f>SU_A0005_q*SU_05001_q</f>
        <v>2</v>
      </c>
      <c r="J272" s="1617">
        <f>SU_05001_m</f>
        <v>305</v>
      </c>
      <c r="K272" s="1617">
        <v>0</v>
      </c>
      <c r="L272" s="1617">
        <v>0</v>
      </c>
      <c r="M272" s="1617">
        <v>0</v>
      </c>
      <c r="N272" s="1618">
        <f t="shared" si="21"/>
        <v>610</v>
      </c>
      <c r="O272" s="1619"/>
    </row>
    <row r="273" spans="1:15" ht="15" x14ac:dyDescent="0.25">
      <c r="A273" s="1610">
        <v>261</v>
      </c>
      <c r="B273" s="1611" t="s">
        <v>5</v>
      </c>
      <c r="C273" s="1612" t="str">
        <f>SU_05002</f>
        <v>SU 05002</v>
      </c>
      <c r="D273" s="1613" t="s">
        <v>23</v>
      </c>
      <c r="E273" s="1613" t="s">
        <v>2437</v>
      </c>
      <c r="F273" s="1614" t="str">
        <f>'SU Parts'!B742</f>
        <v>Spring</v>
      </c>
      <c r="G273" s="1613"/>
      <c r="H273" s="1615">
        <f t="shared" si="20"/>
        <v>25</v>
      </c>
      <c r="I273" s="1616">
        <f>SU_A0005_q*SU_05002_q</f>
        <v>2</v>
      </c>
      <c r="J273" s="1617">
        <f>SU_05002_m</f>
        <v>25</v>
      </c>
      <c r="K273" s="1617">
        <v>0</v>
      </c>
      <c r="L273" s="1617">
        <v>0</v>
      </c>
      <c r="M273" s="1617">
        <v>0</v>
      </c>
      <c r="N273" s="1618">
        <f t="shared" si="21"/>
        <v>50</v>
      </c>
      <c r="O273" s="1619"/>
    </row>
    <row r="274" spans="1:15" ht="15" x14ac:dyDescent="0.25">
      <c r="A274" s="1610">
        <v>262</v>
      </c>
      <c r="B274" s="1611" t="s">
        <v>5</v>
      </c>
      <c r="C274" s="1612" t="str">
        <f>SU_05003</f>
        <v>SU 05003</v>
      </c>
      <c r="D274" s="1613" t="s">
        <v>23</v>
      </c>
      <c r="E274" s="1613" t="s">
        <v>2437</v>
      </c>
      <c r="F274" s="1614" t="str">
        <f>'SU Parts'!B757</f>
        <v>Front suspension mount</v>
      </c>
      <c r="G274" s="1613"/>
      <c r="H274" s="1615">
        <f t="shared" si="20"/>
        <v>8.1179218750000004</v>
      </c>
      <c r="I274" s="1616">
        <f>SU_A0005_q*SU_05003_q</f>
        <v>2</v>
      </c>
      <c r="J274" s="1617">
        <f>SU_05003_m</f>
        <v>0.60792187500000017</v>
      </c>
      <c r="K274" s="1617">
        <f>SU_05003_p</f>
        <v>7.5100000000000007</v>
      </c>
      <c r="L274" s="1617">
        <v>0</v>
      </c>
      <c r="M274" s="1617">
        <v>0</v>
      </c>
      <c r="N274" s="1618">
        <f t="shared" si="21"/>
        <v>16.235843750000001</v>
      </c>
      <c r="O274" s="1619"/>
    </row>
    <row r="275" spans="1:15" ht="15" x14ac:dyDescent="0.25">
      <c r="A275" s="1610">
        <v>263</v>
      </c>
      <c r="B275" s="1611" t="s">
        <v>5</v>
      </c>
      <c r="C275" s="1612" t="str">
        <f>SU_05004</f>
        <v>SU 05004</v>
      </c>
      <c r="D275" s="1613" t="s">
        <v>23</v>
      </c>
      <c r="E275" s="1613" t="s">
        <v>2437</v>
      </c>
      <c r="F275" s="1614" t="str">
        <f>'SU Parts'!B782</f>
        <v>Spacer</v>
      </c>
      <c r="G275" s="1613"/>
      <c r="H275" s="1615">
        <f t="shared" si="20"/>
        <v>1.6884895769514321</v>
      </c>
      <c r="I275" s="1616">
        <f>SU_A0005_q*SU_05004_q</f>
        <v>8</v>
      </c>
      <c r="J275" s="1617">
        <f>SU_05004_m</f>
        <v>1.0889576951432157E-2</v>
      </c>
      <c r="K275" s="1617">
        <f>SU_05004_p</f>
        <v>1.6776</v>
      </c>
      <c r="L275" s="1617">
        <v>0</v>
      </c>
      <c r="M275" s="1617">
        <v>0</v>
      </c>
      <c r="N275" s="1618">
        <f t="shared" si="21"/>
        <v>13.507916615611457</v>
      </c>
      <c r="O275" s="1619"/>
    </row>
    <row r="276" spans="1:15" ht="15" x14ac:dyDescent="0.25">
      <c r="A276" s="1601">
        <v>264</v>
      </c>
      <c r="B276" s="1602" t="s">
        <v>5</v>
      </c>
      <c r="C276" s="1621" t="str">
        <f>SU_A0006</f>
        <v>SU A0006</v>
      </c>
      <c r="D276" s="1603" t="s">
        <v>23</v>
      </c>
      <c r="E276" s="1603"/>
      <c r="F276" s="1604" t="str">
        <f>'SU Assemblies'!B288</f>
        <v>Front rocker</v>
      </c>
      <c r="G276" s="1603"/>
      <c r="H276" s="1605">
        <f t="shared" si="20"/>
        <v>19.125066666666665</v>
      </c>
      <c r="I276" s="1606">
        <f>SU_A0006_q</f>
        <v>2</v>
      </c>
      <c r="J276" s="1607">
        <f>SU_A0006_m</f>
        <v>0.19</v>
      </c>
      <c r="K276" s="1607">
        <f>SU_A0006_p</f>
        <v>9.1341999999999999</v>
      </c>
      <c r="L276" s="1607">
        <f>SU_A0006_p</f>
        <v>9.1341999999999999</v>
      </c>
      <c r="M276" s="1607">
        <f>SU_A0006_t</f>
        <v>0.66666666666666663</v>
      </c>
      <c r="N276" s="1608">
        <f t="shared" si="21"/>
        <v>38.250133333333331</v>
      </c>
      <c r="O276" s="1609"/>
    </row>
    <row r="277" spans="1:15" ht="15" x14ac:dyDescent="0.25">
      <c r="A277" s="1610">
        <v>265</v>
      </c>
      <c r="B277" s="1611" t="s">
        <v>5</v>
      </c>
      <c r="C277" s="1612" t="str">
        <f>SU_06001</f>
        <v>SU 06001</v>
      </c>
      <c r="D277" s="1613" t="s">
        <v>23</v>
      </c>
      <c r="E277" s="1613" t="str">
        <f>F276</f>
        <v>Front rocker</v>
      </c>
      <c r="F277" s="1614" t="str">
        <f>'SU Parts'!B803</f>
        <v>Rocker metal sheets</v>
      </c>
      <c r="G277" s="1613"/>
      <c r="H277" s="1615">
        <f t="shared" si="20"/>
        <v>5.4529940000000003</v>
      </c>
      <c r="I277" s="1616">
        <f>SU_06001_q*SU_A0006_q</f>
        <v>4</v>
      </c>
      <c r="J277" s="1617">
        <f>SU_06001_m</f>
        <v>0.572994</v>
      </c>
      <c r="K277" s="1617">
        <f>SU_06001_p</f>
        <v>4.8800000000000008</v>
      </c>
      <c r="L277" s="1617">
        <v>0</v>
      </c>
      <c r="M277" s="1617">
        <v>0</v>
      </c>
      <c r="N277" s="1618">
        <f t="shared" si="21"/>
        <v>21.811976000000001</v>
      </c>
      <c r="O277" s="1619"/>
    </row>
    <row r="278" spans="1:15" ht="15" x14ac:dyDescent="0.25">
      <c r="A278" s="1610">
        <v>266</v>
      </c>
      <c r="B278" s="1611" t="s">
        <v>5</v>
      </c>
      <c r="C278" s="1612" t="str">
        <f>SU_06002</f>
        <v>SU 06002</v>
      </c>
      <c r="D278" s="1613" t="s">
        <v>23</v>
      </c>
      <c r="E278" s="1613" t="str">
        <f>F276</f>
        <v>Front rocker</v>
      </c>
      <c r="F278" s="1614" t="str">
        <f>'SU Parts'!B823</f>
        <v>Cylinder</v>
      </c>
      <c r="G278" s="1613"/>
      <c r="H278" s="1615">
        <f t="shared" si="20"/>
        <v>2.0214527503422883</v>
      </c>
      <c r="I278" s="1616">
        <f>SU_06002_q*SU_A0006_q</f>
        <v>2</v>
      </c>
      <c r="J278" s="1617">
        <f>SU_06002_m</f>
        <v>0.13145275034228818</v>
      </c>
      <c r="K278" s="1617">
        <f>SU_06002_p</f>
        <v>1.8900000000000001</v>
      </c>
      <c r="L278" s="1617">
        <v>0</v>
      </c>
      <c r="M278" s="1617">
        <v>0</v>
      </c>
      <c r="N278" s="1618">
        <f t="shared" si="21"/>
        <v>4.0429055006845767</v>
      </c>
      <c r="O278" s="1619"/>
    </row>
    <row r="279" spans="1:15" ht="15" x14ac:dyDescent="0.25">
      <c r="A279" s="1610">
        <v>267</v>
      </c>
      <c r="B279" s="1611" t="s">
        <v>5</v>
      </c>
      <c r="C279" s="1612" t="str">
        <f>SU_06003</f>
        <v>SU 06003</v>
      </c>
      <c r="D279" s="1613" t="s">
        <v>23</v>
      </c>
      <c r="E279" s="1613" t="str">
        <f>F276</f>
        <v>Front rocker</v>
      </c>
      <c r="F279" s="1614" t="str">
        <f>'SU Parts'!B844</f>
        <v>Bushing</v>
      </c>
      <c r="G279" s="1613"/>
      <c r="H279" s="1615">
        <f t="shared" si="20"/>
        <v>1.3200069456555323</v>
      </c>
      <c r="I279" s="1616">
        <f>SU_06003_q*SU_A0006_q</f>
        <v>4</v>
      </c>
      <c r="J279" s="1617">
        <f>SU_06003_m</f>
        <v>1.4686945655532285E-2</v>
      </c>
      <c r="K279" s="1617">
        <f>SU_06003_p</f>
        <v>1.30532</v>
      </c>
      <c r="L279" s="1617">
        <v>0</v>
      </c>
      <c r="M279" s="1617">
        <v>0</v>
      </c>
      <c r="N279" s="1618">
        <f t="shared" si="21"/>
        <v>5.2800277826221294</v>
      </c>
      <c r="O279" s="1619"/>
    </row>
    <row r="280" spans="1:15" ht="15" x14ac:dyDescent="0.25">
      <c r="A280" s="1610">
        <v>268</v>
      </c>
      <c r="B280" s="1611" t="s">
        <v>5</v>
      </c>
      <c r="C280" s="1612" t="str">
        <f>SU_06004</f>
        <v>SU 06004</v>
      </c>
      <c r="D280" s="1613" t="s">
        <v>23</v>
      </c>
      <c r="E280" s="1613" t="str">
        <f>F276</f>
        <v>Front rocker</v>
      </c>
      <c r="F280" s="1614" t="str">
        <f>'SU Parts'!B864</f>
        <v>Rocker mount</v>
      </c>
      <c r="G280" s="1613"/>
      <c r="H280" s="1615">
        <f t="shared" si="20"/>
        <v>8.1023915470000016</v>
      </c>
      <c r="I280" s="1616">
        <f>SU_06004_q*SU_A0006_q</f>
        <v>2</v>
      </c>
      <c r="J280" s="1617">
        <f>SU_06004_m</f>
        <v>0.84439154699999996</v>
      </c>
      <c r="K280" s="1617">
        <f>SU_06004_p</f>
        <v>7.2580000000000009</v>
      </c>
      <c r="L280" s="1617">
        <v>0</v>
      </c>
      <c r="M280" s="1617">
        <v>0</v>
      </c>
      <c r="N280" s="1618">
        <f t="shared" si="21"/>
        <v>16.204783094000003</v>
      </c>
      <c r="O280" s="1619"/>
    </row>
    <row r="281" spans="1:15" ht="15" x14ac:dyDescent="0.25">
      <c r="A281" s="1610">
        <v>269</v>
      </c>
      <c r="B281" s="1611" t="s">
        <v>5</v>
      </c>
      <c r="C281" s="1612" t="str">
        <f>SU_06005</f>
        <v>SU 06005</v>
      </c>
      <c r="D281" s="1613" t="s">
        <v>23</v>
      </c>
      <c r="E281" s="1613" t="str">
        <f>F276</f>
        <v>Front rocker</v>
      </c>
      <c r="F281" s="1614" t="str">
        <f>'SU Parts'!B889</f>
        <v>Push rod tube</v>
      </c>
      <c r="G281" s="1613"/>
      <c r="H281" s="1615">
        <f t="shared" si="20"/>
        <v>16.543686816165149</v>
      </c>
      <c r="I281" s="1616">
        <f>SU_06005_q*SU_A0006_q</f>
        <v>2</v>
      </c>
      <c r="J281" s="1617">
        <f>SU_06005_m</f>
        <v>14.56693681616515</v>
      </c>
      <c r="K281" s="1617">
        <f>SU_06005_p</f>
        <v>1.97675</v>
      </c>
      <c r="L281" s="1617">
        <v>0</v>
      </c>
      <c r="M281" s="1617">
        <v>0</v>
      </c>
      <c r="N281" s="1618">
        <f t="shared" si="21"/>
        <v>33.087373632330298</v>
      </c>
      <c r="O281" s="1619"/>
    </row>
    <row r="282" spans="1:15" ht="15" x14ac:dyDescent="0.25">
      <c r="A282" s="1610">
        <v>270</v>
      </c>
      <c r="B282" s="1611" t="s">
        <v>5</v>
      </c>
      <c r="C282" s="1612" t="str">
        <f>SU_06006</f>
        <v>SU 06006</v>
      </c>
      <c r="D282" s="1613" t="s">
        <v>23</v>
      </c>
      <c r="E282" s="1613" t="str">
        <f>F276</f>
        <v>Front rocker</v>
      </c>
      <c r="F282" s="1614" t="str">
        <f>'SU Parts'!B908</f>
        <v>Push rod insert</v>
      </c>
      <c r="G282" s="1613"/>
      <c r="H282" s="1615">
        <f t="shared" si="20"/>
        <v>2.9527811127747987</v>
      </c>
      <c r="I282" s="1616">
        <f>SU_06006_q*SU_A0006_q</f>
        <v>4</v>
      </c>
      <c r="J282" s="1617">
        <f>SU_06006_m</f>
        <v>5.2781112774798716E-2</v>
      </c>
      <c r="K282" s="1617">
        <f>SU_06006_p</f>
        <v>2.9</v>
      </c>
      <c r="L282" s="1617">
        <v>0</v>
      </c>
      <c r="M282" s="1617">
        <v>0</v>
      </c>
      <c r="N282" s="1618">
        <f t="shared" si="21"/>
        <v>11.811124451099195</v>
      </c>
      <c r="O282" s="1619"/>
    </row>
    <row r="283" spans="1:15" ht="15" x14ac:dyDescent="0.25">
      <c r="A283" s="1601">
        <v>271</v>
      </c>
      <c r="B283" s="1602" t="s">
        <v>5</v>
      </c>
      <c r="C283" s="1621" t="str">
        <f>SU_A0007</f>
        <v>SU A0007</v>
      </c>
      <c r="D283" s="1603" t="s">
        <v>23</v>
      </c>
      <c r="E283" s="1603"/>
      <c r="F283" s="1604" t="str">
        <f>'SU Assemblies'!B342</f>
        <v>Rear suspension</v>
      </c>
      <c r="G283" s="1603"/>
      <c r="H283" s="1605">
        <f t="shared" si="20"/>
        <v>2.7249166666666667</v>
      </c>
      <c r="I283" s="1606">
        <f>SU_A0007_q</f>
        <v>2</v>
      </c>
      <c r="J283" s="1623">
        <f>SU_A0007_m</f>
        <v>0.05</v>
      </c>
      <c r="K283" s="1623">
        <f>SU_A0007_p</f>
        <v>1.0282500000000001</v>
      </c>
      <c r="L283" s="1623">
        <f>SU_A0007_f</f>
        <v>0.98</v>
      </c>
      <c r="M283" s="1623">
        <f>SU_A0007_t</f>
        <v>0.66666666666666663</v>
      </c>
      <c r="N283" s="1608">
        <f t="shared" si="21"/>
        <v>5.4498333333333333</v>
      </c>
      <c r="O283" s="1609"/>
    </row>
    <row r="284" spans="1:15" ht="15" x14ac:dyDescent="0.25">
      <c r="A284" s="1610">
        <v>272</v>
      </c>
      <c r="B284" s="1611" t="s">
        <v>5</v>
      </c>
      <c r="C284" s="1612" t="str">
        <f>SU_07001</f>
        <v>SU 07001</v>
      </c>
      <c r="D284" s="1613" t="s">
        <v>23</v>
      </c>
      <c r="E284" s="1613" t="s">
        <v>2431</v>
      </c>
      <c r="F284" s="1614" t="str">
        <f>'SU Parts'!B931</f>
        <v>Damper</v>
      </c>
      <c r="G284" s="1613"/>
      <c r="H284" s="1615">
        <f t="shared" si="20"/>
        <v>305</v>
      </c>
      <c r="I284" s="1616">
        <f>SU_A0007_q*SU_07001_q</f>
        <v>2</v>
      </c>
      <c r="J284" s="1617">
        <f>SU_07001_m</f>
        <v>305</v>
      </c>
      <c r="K284" s="1617">
        <v>0</v>
      </c>
      <c r="L284" s="1617">
        <v>0</v>
      </c>
      <c r="M284" s="1617">
        <v>0</v>
      </c>
      <c r="N284" s="1618">
        <f t="shared" si="21"/>
        <v>610</v>
      </c>
      <c r="O284" s="1619"/>
    </row>
    <row r="285" spans="1:15" ht="15" x14ac:dyDescent="0.25">
      <c r="A285" s="1610">
        <v>273</v>
      </c>
      <c r="B285" s="1611" t="s">
        <v>5</v>
      </c>
      <c r="C285" s="1612" t="str">
        <f>SU_07002</f>
        <v>SU 07002</v>
      </c>
      <c r="D285" s="1613" t="s">
        <v>23</v>
      </c>
      <c r="E285" s="1613" t="s">
        <v>2431</v>
      </c>
      <c r="F285" s="1614" t="str">
        <f>'SU Parts'!B946</f>
        <v>Spring</v>
      </c>
      <c r="G285" s="1613"/>
      <c r="H285" s="1615">
        <f t="shared" si="20"/>
        <v>25</v>
      </c>
      <c r="I285" s="1616">
        <f>SU_A0007_q*SU_07002_q</f>
        <v>2</v>
      </c>
      <c r="J285" s="1617">
        <f>SU_07002_m</f>
        <v>25</v>
      </c>
      <c r="K285" s="1617">
        <v>0</v>
      </c>
      <c r="L285" s="1617">
        <v>0</v>
      </c>
      <c r="M285" s="1617">
        <v>0</v>
      </c>
      <c r="N285" s="1618">
        <f t="shared" si="21"/>
        <v>50</v>
      </c>
      <c r="O285" s="1619"/>
    </row>
    <row r="286" spans="1:15" ht="15" x14ac:dyDescent="0.25">
      <c r="A286" s="1610">
        <v>274</v>
      </c>
      <c r="B286" s="1611" t="s">
        <v>5</v>
      </c>
      <c r="C286" s="1612" t="str">
        <f>SU_07003</f>
        <v>SU 07003</v>
      </c>
      <c r="D286" s="1613" t="s">
        <v>23</v>
      </c>
      <c r="E286" s="1613" t="s">
        <v>2431</v>
      </c>
      <c r="F286" s="1614" t="str">
        <f>'SU Parts'!B961</f>
        <v>Rear suspension mount</v>
      </c>
      <c r="G286" s="1613"/>
      <c r="H286" s="1615">
        <f t="shared" si="20"/>
        <v>7.9894075000000004</v>
      </c>
      <c r="I286" s="1616">
        <f>SU_A0007_q*SU_07003_q</f>
        <v>2</v>
      </c>
      <c r="J286" s="1617">
        <f>SU_07003_m</f>
        <v>0.87540750000000001</v>
      </c>
      <c r="K286" s="1617">
        <f>SU_07003_p</f>
        <v>7.1140000000000008</v>
      </c>
      <c r="L286" s="1617">
        <v>0</v>
      </c>
      <c r="M286" s="1617">
        <v>0</v>
      </c>
      <c r="N286" s="1618">
        <f t="shared" si="21"/>
        <v>15.978815000000001</v>
      </c>
      <c r="O286" s="1619"/>
    </row>
    <row r="287" spans="1:15" ht="15" x14ac:dyDescent="0.25">
      <c r="A287" s="1610">
        <v>275</v>
      </c>
      <c r="B287" s="1611" t="s">
        <v>5</v>
      </c>
      <c r="C287" s="1612" t="str">
        <f>SU_07004</f>
        <v>SU 07004</v>
      </c>
      <c r="D287" s="1613" t="s">
        <v>23</v>
      </c>
      <c r="E287" s="1613" t="s">
        <v>2431</v>
      </c>
      <c r="F287" s="1614" t="str">
        <f>'SU Parts'!B986</f>
        <v>Spacer</v>
      </c>
      <c r="G287" s="1613"/>
      <c r="H287" s="1615">
        <f t="shared" si="20"/>
        <v>1.6884895769514321</v>
      </c>
      <c r="I287" s="1616">
        <f>SU_A0007_q*SU_07004_q</f>
        <v>4</v>
      </c>
      <c r="J287" s="1617">
        <f>SU_07004_m</f>
        <v>1.0889576951432157E-2</v>
      </c>
      <c r="K287" s="1617">
        <f>SU_07004_p</f>
        <v>1.6776</v>
      </c>
      <c r="L287" s="1617">
        <v>0</v>
      </c>
      <c r="M287" s="1617">
        <v>0</v>
      </c>
      <c r="N287" s="1618">
        <f t="shared" si="21"/>
        <v>6.7539583078057284</v>
      </c>
      <c r="O287" s="1619"/>
    </row>
    <row r="288" spans="1:15" ht="15" x14ac:dyDescent="0.25">
      <c r="A288" s="1601">
        <v>276</v>
      </c>
      <c r="B288" s="1602" t="s">
        <v>5</v>
      </c>
      <c r="C288" s="1621" t="str">
        <f>SU_A0008</f>
        <v>SU A0008</v>
      </c>
      <c r="D288" s="1603" t="s">
        <v>23</v>
      </c>
      <c r="E288" s="1603"/>
      <c r="F288" s="1604" t="str">
        <f>'SU Assemblies'!B386</f>
        <v>Rear rocker</v>
      </c>
      <c r="G288" s="1603"/>
      <c r="H288" s="1605">
        <f t="shared" si="20"/>
        <v>15.740866666666665</v>
      </c>
      <c r="I288" s="1606">
        <f>SU_A0008_q</f>
        <v>2</v>
      </c>
      <c r="J288" s="1624">
        <f>SU_A0008_m</f>
        <v>0.2</v>
      </c>
      <c r="K288" s="1624">
        <f>SU_A0008_p</f>
        <v>9.1341999999999999</v>
      </c>
      <c r="L288" s="1624">
        <f>SU_A0008_f</f>
        <v>5.74</v>
      </c>
      <c r="M288" s="1624">
        <f>SU_A0008_t</f>
        <v>0.66666666666666663</v>
      </c>
      <c r="N288" s="1608">
        <f t="shared" si="21"/>
        <v>31.481733333333331</v>
      </c>
      <c r="O288" s="1609"/>
    </row>
    <row r="289" spans="1:15" ht="15" x14ac:dyDescent="0.25">
      <c r="A289" s="1610">
        <v>277</v>
      </c>
      <c r="B289" s="1611" t="s">
        <v>5</v>
      </c>
      <c r="C289" s="1612" t="str">
        <f>SU_08001</f>
        <v>SU 08001</v>
      </c>
      <c r="D289" s="1613" t="s">
        <v>23</v>
      </c>
      <c r="E289" s="1613" t="str">
        <f>F288</f>
        <v>Rear rocker</v>
      </c>
      <c r="F289" s="1614" t="str">
        <f>'SU Parts'!B1007</f>
        <v>Rocker metal sheets</v>
      </c>
      <c r="G289" s="1613"/>
      <c r="H289" s="1615">
        <f t="shared" si="20"/>
        <v>5.6684929999999998</v>
      </c>
      <c r="I289" s="1616">
        <f>SU_A0008_q*SU_08001_q</f>
        <v>4</v>
      </c>
      <c r="J289" s="1617">
        <f>SU_08001_m</f>
        <v>0.66849299999999989</v>
      </c>
      <c r="K289" s="1617">
        <f>SU_08001_p</f>
        <v>5</v>
      </c>
      <c r="L289" s="1617">
        <v>0</v>
      </c>
      <c r="M289" s="1617">
        <v>0</v>
      </c>
      <c r="N289" s="1618">
        <f t="shared" si="21"/>
        <v>22.673971999999999</v>
      </c>
      <c r="O289" s="1619"/>
    </row>
    <row r="290" spans="1:15" ht="15" x14ac:dyDescent="0.25">
      <c r="A290" s="1610">
        <v>278</v>
      </c>
      <c r="B290" s="1611" t="s">
        <v>5</v>
      </c>
      <c r="C290" s="1612" t="str">
        <f>SU_08002</f>
        <v>SU 08002</v>
      </c>
      <c r="D290" s="1613" t="s">
        <v>23</v>
      </c>
      <c r="E290" s="1613" t="str">
        <f>F288</f>
        <v>Rear rocker</v>
      </c>
      <c r="F290" s="1614" t="str">
        <f>'SU Parts'!B1027</f>
        <v>Cylinder</v>
      </c>
      <c r="G290" s="1613"/>
      <c r="H290" s="1615">
        <f t="shared" si="20"/>
        <v>2.0214527503422883</v>
      </c>
      <c r="I290" s="1616">
        <f>SU_A0008_q*SU_08002_q</f>
        <v>2</v>
      </c>
      <c r="J290" s="1617">
        <f>SU_08002_m</f>
        <v>0.13145275034228818</v>
      </c>
      <c r="K290" s="1617">
        <f>SU_08002_p</f>
        <v>1.8900000000000001</v>
      </c>
      <c r="L290" s="1617">
        <v>0</v>
      </c>
      <c r="M290" s="1617">
        <v>0</v>
      </c>
      <c r="N290" s="1618">
        <f t="shared" si="21"/>
        <v>4.0429055006845767</v>
      </c>
      <c r="O290" s="1619"/>
    </row>
    <row r="291" spans="1:15" ht="15" x14ac:dyDescent="0.25">
      <c r="A291" s="1610">
        <v>279</v>
      </c>
      <c r="B291" s="1611" t="s">
        <v>5</v>
      </c>
      <c r="C291" s="1612" t="str">
        <f>SU_08003</f>
        <v>SU 08003</v>
      </c>
      <c r="D291" s="1613" t="s">
        <v>23</v>
      </c>
      <c r="E291" s="1613" t="str">
        <f>F288</f>
        <v>Rear rocker</v>
      </c>
      <c r="F291" s="1614" t="str">
        <f>'SU Parts'!B1048</f>
        <v>Bushing</v>
      </c>
      <c r="G291" s="1613"/>
      <c r="H291" s="1615">
        <f t="shared" si="20"/>
        <v>1.3200069456555323</v>
      </c>
      <c r="I291" s="1616">
        <f>SU_A0008_q*SU_08003_q</f>
        <v>4</v>
      </c>
      <c r="J291" s="1617">
        <f>SU_08003_m</f>
        <v>1.4686945655532285E-2</v>
      </c>
      <c r="K291" s="1617">
        <f>SU_08003_p</f>
        <v>1.30532</v>
      </c>
      <c r="L291" s="1617">
        <v>0</v>
      </c>
      <c r="M291" s="1617">
        <v>0</v>
      </c>
      <c r="N291" s="1618">
        <f t="shared" si="21"/>
        <v>5.2800277826221294</v>
      </c>
      <c r="O291" s="1619"/>
    </row>
    <row r="292" spans="1:15" ht="15" x14ac:dyDescent="0.25">
      <c r="A292" s="1610">
        <v>280</v>
      </c>
      <c r="B292" s="1611" t="s">
        <v>5</v>
      </c>
      <c r="C292" s="1612" t="str">
        <f>SU_08004</f>
        <v>SU 08004</v>
      </c>
      <c r="D292" s="1613" t="s">
        <v>23</v>
      </c>
      <c r="E292" s="1613" t="str">
        <f>F288</f>
        <v>Rear rocker</v>
      </c>
      <c r="F292" s="1614" t="str">
        <f>'SU Parts'!B1068</f>
        <v>Rocker mount</v>
      </c>
      <c r="G292" s="1613"/>
      <c r="H292" s="1615">
        <f t="shared" si="20"/>
        <v>7.8336173125000013</v>
      </c>
      <c r="I292" s="1616">
        <f>SU_A0008_q*SU_08004_q</f>
        <v>2</v>
      </c>
      <c r="J292" s="1617">
        <f>SU_08004_m</f>
        <v>0.62361731250000008</v>
      </c>
      <c r="K292" s="1617">
        <f>SU_08004_p</f>
        <v>7.2100000000000009</v>
      </c>
      <c r="L292" s="1617">
        <v>0</v>
      </c>
      <c r="M292" s="1617">
        <v>0</v>
      </c>
      <c r="N292" s="1618">
        <f t="shared" si="21"/>
        <v>15.667234625000003</v>
      </c>
      <c r="O292" s="1619"/>
    </row>
    <row r="293" spans="1:15" ht="15" x14ac:dyDescent="0.25">
      <c r="A293" s="1610">
        <v>281</v>
      </c>
      <c r="B293" s="1611" t="s">
        <v>5</v>
      </c>
      <c r="C293" s="1612" t="str">
        <f>SU_08005</f>
        <v>SU 08005</v>
      </c>
      <c r="D293" s="1613" t="s">
        <v>23</v>
      </c>
      <c r="E293" s="1613" t="str">
        <f>F288</f>
        <v>Rear rocker</v>
      </c>
      <c r="F293" s="1614" t="str">
        <f>'SU Parts'!B1093</f>
        <v>Push rod tube</v>
      </c>
      <c r="G293" s="1613"/>
      <c r="H293" s="1615">
        <f t="shared" si="20"/>
        <v>6.1134331711914687</v>
      </c>
      <c r="I293" s="1616">
        <f>SU_A0008_q*SU_08005_q</f>
        <v>2</v>
      </c>
      <c r="J293" s="1617">
        <f>SU_08005_m</f>
        <v>5.3834331711914691</v>
      </c>
      <c r="K293" s="1617">
        <f>SU_08005_p</f>
        <v>0.73</v>
      </c>
      <c r="L293" s="1617">
        <v>0</v>
      </c>
      <c r="M293" s="1617">
        <v>0</v>
      </c>
      <c r="N293" s="1618">
        <f t="shared" si="21"/>
        <v>12.226866342382937</v>
      </c>
      <c r="O293" s="1619"/>
    </row>
    <row r="294" spans="1:15" ht="15" x14ac:dyDescent="0.25">
      <c r="A294" s="1610">
        <v>282</v>
      </c>
      <c r="B294" s="1611" t="s">
        <v>5</v>
      </c>
      <c r="C294" s="1612" t="str">
        <f>SU_08006</f>
        <v>SU 08006</v>
      </c>
      <c r="D294" s="1613" t="s">
        <v>23</v>
      </c>
      <c r="E294" s="1613" t="str">
        <f>F288</f>
        <v>Rear rocker</v>
      </c>
      <c r="F294" s="1614" t="str">
        <f>'SU Parts'!B1112</f>
        <v>Push rod insert</v>
      </c>
      <c r="G294" s="1613"/>
      <c r="H294" s="1615">
        <f t="shared" si="20"/>
        <v>2.9527811127747987</v>
      </c>
      <c r="I294" s="1616">
        <f>SU_A0008_q*SU_08006_q</f>
        <v>4</v>
      </c>
      <c r="J294" s="1617">
        <f>SU_08006_m</f>
        <v>5.2781112774798716E-2</v>
      </c>
      <c r="K294" s="1617">
        <f>SU_08006_p</f>
        <v>2.9</v>
      </c>
      <c r="L294" s="1617">
        <v>0</v>
      </c>
      <c r="M294" s="1617">
        <v>0</v>
      </c>
      <c r="N294" s="1618">
        <f t="shared" si="21"/>
        <v>11.811124451099195</v>
      </c>
      <c r="O294" s="1619"/>
    </row>
    <row r="295" spans="1:15" ht="15" x14ac:dyDescent="0.25">
      <c r="A295" s="1601">
        <v>283</v>
      </c>
      <c r="B295" s="1602" t="s">
        <v>5</v>
      </c>
      <c r="C295" s="1621" t="str">
        <f>SU_A0009</f>
        <v>SU A0009</v>
      </c>
      <c r="D295" s="1603" t="s">
        <v>23</v>
      </c>
      <c r="E295" s="1603"/>
      <c r="F295" s="1604" t="str">
        <f>'SU Assemblies'!B440</f>
        <v>Rear Tie Rod</v>
      </c>
      <c r="G295" s="1603"/>
      <c r="H295" s="1605">
        <f t="shared" si="20"/>
        <v>11.038366666666665</v>
      </c>
      <c r="I295" s="1606">
        <f>SU_A0009_q</f>
        <v>2</v>
      </c>
      <c r="J295" s="1624">
        <f>SU_A0009_m</f>
        <v>0.1</v>
      </c>
      <c r="K295" s="1624">
        <f>SU_A0009_p</f>
        <v>9.3316999999999997</v>
      </c>
      <c r="L295" s="1624">
        <f>SU_A0009_f</f>
        <v>0.94</v>
      </c>
      <c r="M295" s="1624">
        <f>SU_A0009_t</f>
        <v>0.66666666666666663</v>
      </c>
      <c r="N295" s="1608">
        <f t="shared" si="21"/>
        <v>22.07673333333333</v>
      </c>
      <c r="O295" s="1609"/>
    </row>
    <row r="296" spans="1:15" ht="15" x14ac:dyDescent="0.25">
      <c r="A296" s="1610">
        <v>284</v>
      </c>
      <c r="B296" s="1611" t="s">
        <v>5</v>
      </c>
      <c r="C296" s="1612" t="str">
        <f>SU_09001</f>
        <v>SU 09001</v>
      </c>
      <c r="D296" s="1613" t="s">
        <v>23</v>
      </c>
      <c r="E296" s="1613" t="str">
        <f>F295</f>
        <v>Rear Tie Rod</v>
      </c>
      <c r="F296" s="1614" t="str">
        <f>'SU Parts'!B1135</f>
        <v>Tie rod insert</v>
      </c>
      <c r="G296" s="1613"/>
      <c r="H296" s="1615">
        <f t="shared" si="20"/>
        <v>2.9527811127747987</v>
      </c>
      <c r="I296" s="1616">
        <f>SU_A0009_q*SU_09001_q</f>
        <v>4</v>
      </c>
      <c r="J296" s="1617">
        <f>SU_09001_m</f>
        <v>5.2781112774798716E-2</v>
      </c>
      <c r="K296" s="1617">
        <f>SU_09001_p</f>
        <v>2.9</v>
      </c>
      <c r="L296" s="1617">
        <v>0</v>
      </c>
      <c r="M296" s="1617">
        <v>0</v>
      </c>
      <c r="N296" s="1618">
        <f t="shared" si="21"/>
        <v>11.811124451099195</v>
      </c>
      <c r="O296" s="1619"/>
    </row>
    <row r="297" spans="1:15" ht="15" x14ac:dyDescent="0.25">
      <c r="A297" s="1610">
        <v>285</v>
      </c>
      <c r="B297" s="1611" t="s">
        <v>5</v>
      </c>
      <c r="C297" s="1612" t="str">
        <f>SU_09002</f>
        <v>SU 09002</v>
      </c>
      <c r="D297" s="1613" t="s">
        <v>23</v>
      </c>
      <c r="E297" s="1613" t="str">
        <f>F295</f>
        <v>Rear Tie Rod</v>
      </c>
      <c r="F297" s="1614" t="str">
        <f>'SU Parts'!B1158</f>
        <v>Tie Rod Tube</v>
      </c>
      <c r="G297" s="1613"/>
      <c r="H297" s="1615">
        <f t="shared" si="20"/>
        <v>23.1650866452988</v>
      </c>
      <c r="I297" s="1616">
        <f>SU_A0009_q*SU_09002_q</f>
        <v>2</v>
      </c>
      <c r="J297" s="1617">
        <f>SU_09002_m</f>
        <v>21.7900866452988</v>
      </c>
      <c r="K297" s="1617">
        <f>SU_09002_p</f>
        <v>1.375</v>
      </c>
      <c r="L297" s="1617">
        <v>0</v>
      </c>
      <c r="M297" s="1617">
        <v>0</v>
      </c>
      <c r="N297" s="1618">
        <f t="shared" si="21"/>
        <v>46.3301732905976</v>
      </c>
      <c r="O297" s="1619"/>
    </row>
    <row r="298" spans="1:15" ht="15" x14ac:dyDescent="0.25">
      <c r="A298" s="1610">
        <v>286</v>
      </c>
      <c r="B298" s="1611" t="s">
        <v>5</v>
      </c>
      <c r="C298" s="1612" t="str">
        <f>SU_09003</f>
        <v>SU 09003</v>
      </c>
      <c r="D298" s="1613" t="s">
        <v>23</v>
      </c>
      <c r="E298" s="1613" t="str">
        <f>F295</f>
        <v>Rear Tie Rod</v>
      </c>
      <c r="F298" s="1614" t="str">
        <f>'SU Parts'!B1177</f>
        <v>Tie Rod Mount</v>
      </c>
      <c r="G298" s="1613"/>
      <c r="H298" s="1615">
        <f t="shared" si="20"/>
        <v>7.9300187500000003</v>
      </c>
      <c r="I298" s="1616">
        <f>SU_A0009_q*SU_09003_q</f>
        <v>2</v>
      </c>
      <c r="J298" s="1617">
        <f>SU_09003_m</f>
        <v>0.42001875000000011</v>
      </c>
      <c r="K298" s="1617">
        <f>SU_09003_p</f>
        <v>7.5100000000000007</v>
      </c>
      <c r="L298" s="1617">
        <v>0</v>
      </c>
      <c r="M298" s="1617">
        <v>0</v>
      </c>
      <c r="N298" s="1618">
        <f t="shared" si="21"/>
        <v>15.860037500000001</v>
      </c>
      <c r="O298" s="1619"/>
    </row>
    <row r="299" spans="1:15" ht="15" x14ac:dyDescent="0.25">
      <c r="A299" s="1601">
        <v>287</v>
      </c>
      <c r="B299" s="1602" t="s">
        <v>5</v>
      </c>
      <c r="C299" s="1621" t="str">
        <f>SU_A0010</f>
        <v>SU A0010</v>
      </c>
      <c r="D299" s="1603" t="s">
        <v>23</v>
      </c>
      <c r="E299" s="1603"/>
      <c r="F299" s="1604" t="str">
        <f>'SU Assemblies'!B485</f>
        <v>Front Anti Roll System</v>
      </c>
      <c r="G299" s="1603"/>
      <c r="H299" s="1605">
        <f t="shared" si="20"/>
        <v>36.233846045923748</v>
      </c>
      <c r="I299" s="1606">
        <f>SU_A0010_q</f>
        <v>1</v>
      </c>
      <c r="J299" s="1624">
        <f>SU_A0010_m</f>
        <v>10</v>
      </c>
      <c r="K299" s="1624">
        <f>SU_A0010_p</f>
        <v>15.445399999999999</v>
      </c>
      <c r="L299" s="1624">
        <f>SU_A0010_f</f>
        <v>8.7884460459237506</v>
      </c>
      <c r="M299" s="1624">
        <f>SU_A0010_t</f>
        <v>2</v>
      </c>
      <c r="N299" s="1608">
        <f t="shared" si="21"/>
        <v>36.233846045923748</v>
      </c>
      <c r="O299" s="1609"/>
    </row>
    <row r="300" spans="1:15" ht="15" x14ac:dyDescent="0.25">
      <c r="A300" s="1610">
        <v>288</v>
      </c>
      <c r="B300" s="1611" t="s">
        <v>5</v>
      </c>
      <c r="C300" s="1612" t="str">
        <f>SU_10001</f>
        <v>SU 10001</v>
      </c>
      <c r="D300" s="1613" t="s">
        <v>23</v>
      </c>
      <c r="E300" s="1613" t="str">
        <f>F299</f>
        <v>Front Anti Roll System</v>
      </c>
      <c r="F300" s="1614" t="str">
        <f>'SU Parts'!B1202</f>
        <v>Front Sway Bar</v>
      </c>
      <c r="G300" s="1613"/>
      <c r="H300" s="1615">
        <f t="shared" si="20"/>
        <v>2.4501548140722353</v>
      </c>
      <c r="I300" s="1616">
        <f>SU_A0010_q*SU_10001_q</f>
        <v>1</v>
      </c>
      <c r="J300" s="1617">
        <f>SU_10001_m</f>
        <v>2.4501548140722353</v>
      </c>
      <c r="K300" s="1617">
        <v>0</v>
      </c>
      <c r="L300" s="1617">
        <v>0</v>
      </c>
      <c r="M300" s="1617">
        <v>0</v>
      </c>
      <c r="N300" s="1617">
        <f>H300*I300</f>
        <v>2.4501548140722353</v>
      </c>
      <c r="O300" s="1619"/>
    </row>
    <row r="301" spans="1:15" ht="15" x14ac:dyDescent="0.25">
      <c r="A301" s="1610">
        <v>289</v>
      </c>
      <c r="B301" s="1611" t="s">
        <v>5</v>
      </c>
      <c r="C301" s="1612" t="str">
        <f>SU_10002</f>
        <v>SU 10002</v>
      </c>
      <c r="D301" s="1613" t="s">
        <v>23</v>
      </c>
      <c r="E301" s="1613" t="str">
        <f>F299</f>
        <v>Front Anti Roll System</v>
      </c>
      <c r="F301" s="1614" t="str">
        <f>'SU Parts'!B1216</f>
        <v>Front Lever</v>
      </c>
      <c r="G301" s="1613"/>
      <c r="H301" s="1615">
        <f t="shared" si="20"/>
        <v>2.06393995</v>
      </c>
      <c r="I301" s="1616">
        <f>SU_A0010_q*SU_10002_q</f>
        <v>4</v>
      </c>
      <c r="J301" s="1617">
        <f>SU_10002_m</f>
        <v>0.16393995</v>
      </c>
      <c r="K301" s="1617">
        <f>SU_10002_p</f>
        <v>1.9000000000000001</v>
      </c>
      <c r="L301" s="1617">
        <v>0</v>
      </c>
      <c r="M301" s="1617">
        <v>0</v>
      </c>
      <c r="N301" s="1617">
        <f t="shared" ref="N301:N306" si="22">H301*I301</f>
        <v>8.2557597999999999</v>
      </c>
      <c r="O301" s="1619"/>
    </row>
    <row r="302" spans="1:15" ht="15" x14ac:dyDescent="0.25">
      <c r="A302" s="1610">
        <v>290</v>
      </c>
      <c r="B302" s="1611" t="s">
        <v>5</v>
      </c>
      <c r="C302" s="1612" t="str">
        <f>SU_10003</f>
        <v>SU 10003</v>
      </c>
      <c r="D302" s="1613" t="s">
        <v>23</v>
      </c>
      <c r="E302" s="1613" t="str">
        <f>F299</f>
        <v>Front Anti Roll System</v>
      </c>
      <c r="F302" s="1614" t="str">
        <f>'SU Parts'!B1235</f>
        <v xml:space="preserve">Front Roll Bar lower mount </v>
      </c>
      <c r="G302" s="1613"/>
      <c r="H302" s="1615">
        <f t="shared" si="20"/>
        <v>1.8931695999999998</v>
      </c>
      <c r="I302" s="1616">
        <f>SU_A0010_q*SU_10003_q</f>
        <v>2</v>
      </c>
      <c r="J302" s="1617">
        <f>SU_10003_m</f>
        <v>7.3569599999999999E-2</v>
      </c>
      <c r="K302" s="1617">
        <f>SU_10003_p</f>
        <v>1.8195999999999999</v>
      </c>
      <c r="L302" s="1617">
        <v>0</v>
      </c>
      <c r="M302" s="1617">
        <v>0</v>
      </c>
      <c r="N302" s="1617">
        <f t="shared" si="22"/>
        <v>3.7863391999999996</v>
      </c>
      <c r="O302" s="1619"/>
    </row>
    <row r="303" spans="1:15" ht="15" x14ac:dyDescent="0.25">
      <c r="A303" s="1610">
        <v>291</v>
      </c>
      <c r="B303" s="1611" t="s">
        <v>5</v>
      </c>
      <c r="C303" s="1612" t="str">
        <f>SU_10004</f>
        <v>SU 10004</v>
      </c>
      <c r="D303" s="1613" t="s">
        <v>23</v>
      </c>
      <c r="E303" s="1613" t="str">
        <f>F299</f>
        <v>Front Anti Roll System</v>
      </c>
      <c r="F303" s="1614" t="str">
        <f>'SU Parts'!B1254</f>
        <v>Bushing</v>
      </c>
      <c r="G303" s="1613"/>
      <c r="H303" s="1615">
        <f t="shared" si="20"/>
        <v>1.3288451250000002</v>
      </c>
      <c r="I303" s="1616">
        <f>SU_A0010_q*SU_10004_q</f>
        <v>4</v>
      </c>
      <c r="J303" s="1617">
        <f>SU_10004_m</f>
        <v>1.5013125000000002E-2</v>
      </c>
      <c r="K303" s="1617">
        <f>SU_10004_p</f>
        <v>1.3138320000000001</v>
      </c>
      <c r="L303" s="1617">
        <v>0</v>
      </c>
      <c r="M303" s="1617">
        <v>0</v>
      </c>
      <c r="N303" s="1617">
        <f t="shared" si="22"/>
        <v>5.3153805000000007</v>
      </c>
      <c r="O303" s="1619"/>
    </row>
    <row r="304" spans="1:15" ht="15" x14ac:dyDescent="0.25">
      <c r="A304" s="1610">
        <v>292</v>
      </c>
      <c r="B304" s="1611" t="s">
        <v>5</v>
      </c>
      <c r="C304" s="1612" t="str">
        <f>SU_10005</f>
        <v>SU 10005</v>
      </c>
      <c r="D304" s="1613" t="s">
        <v>23</v>
      </c>
      <c r="E304" s="1613" t="str">
        <f>F299</f>
        <v>Front Anti Roll System</v>
      </c>
      <c r="F304" s="1614" t="str">
        <f>'SU Parts'!B1273</f>
        <v>Front Roll Bar upper mount</v>
      </c>
      <c r="G304" s="1613"/>
      <c r="H304" s="1615">
        <f t="shared" si="20"/>
        <v>4.5121900000000004</v>
      </c>
      <c r="I304" s="1616">
        <f>SU_A0010_q*SU_10005_q</f>
        <v>2</v>
      </c>
      <c r="J304" s="1617">
        <f>SU_10005_m</f>
        <v>0.51219000000000003</v>
      </c>
      <c r="K304" s="1617">
        <f>SU_10005_p</f>
        <v>4</v>
      </c>
      <c r="L304" s="1617">
        <v>0</v>
      </c>
      <c r="M304" s="1617">
        <v>0</v>
      </c>
      <c r="N304" s="1617">
        <f t="shared" si="22"/>
        <v>9.0243800000000007</v>
      </c>
      <c r="O304" s="1619"/>
    </row>
    <row r="305" spans="1:15" ht="15" x14ac:dyDescent="0.25">
      <c r="A305" s="1610">
        <v>293</v>
      </c>
      <c r="B305" s="1611" t="s">
        <v>5</v>
      </c>
      <c r="C305" s="1612" t="str">
        <f>SU_10006</f>
        <v>SU 10006</v>
      </c>
      <c r="D305" s="1613" t="s">
        <v>23</v>
      </c>
      <c r="E305" s="1613" t="str">
        <f>F299</f>
        <v>Front Anti Roll System</v>
      </c>
      <c r="F305" s="1614" t="str">
        <f>'SU Parts'!B1295</f>
        <v>Rod tube</v>
      </c>
      <c r="G305" s="1613"/>
      <c r="H305" s="1615">
        <f t="shared" si="20"/>
        <v>12.078795434522036</v>
      </c>
      <c r="I305" s="1616">
        <f>SU_A0010_q*SU_10006_q</f>
        <v>2</v>
      </c>
      <c r="J305" s="1617">
        <f>SU_10006_m</f>
        <v>10.736707052908477</v>
      </c>
      <c r="K305" s="1617">
        <f>SU_10006_p</f>
        <v>1.3420883816135594</v>
      </c>
      <c r="L305" s="1617">
        <v>0</v>
      </c>
      <c r="M305" s="1617">
        <v>0</v>
      </c>
      <c r="N305" s="1617">
        <f t="shared" si="22"/>
        <v>24.157590869044071</v>
      </c>
      <c r="O305" s="1619"/>
    </row>
    <row r="306" spans="1:15" ht="15" x14ac:dyDescent="0.25">
      <c r="A306" s="1610">
        <v>294</v>
      </c>
      <c r="B306" s="1611" t="s">
        <v>5</v>
      </c>
      <c r="C306" s="1612" t="str">
        <f>SU_10007</f>
        <v>SU 10007</v>
      </c>
      <c r="D306" s="1613" t="s">
        <v>23</v>
      </c>
      <c r="E306" s="1613" t="str">
        <f>F299</f>
        <v>Front Anti Roll System</v>
      </c>
      <c r="F306" s="1614" t="str">
        <f>'SU Parts'!B1313</f>
        <v>Rod insert</v>
      </c>
      <c r="G306" s="1613"/>
      <c r="H306" s="1615">
        <f t="shared" si="20"/>
        <v>2.9416692995590514</v>
      </c>
      <c r="I306" s="1616">
        <f>SU_A0010_q*SU_10007_q</f>
        <v>4</v>
      </c>
      <c r="J306" s="1617">
        <f>SU_10007_m</f>
        <v>4.1669299559051617E-2</v>
      </c>
      <c r="K306" s="1617">
        <f>SU_10007_p</f>
        <v>2.9</v>
      </c>
      <c r="L306" s="1617">
        <v>0</v>
      </c>
      <c r="M306" s="1617">
        <v>0</v>
      </c>
      <c r="N306" s="1617">
        <f t="shared" si="22"/>
        <v>11.766677198236206</v>
      </c>
      <c r="O306" s="1619"/>
    </row>
    <row r="307" spans="1:15" ht="15" x14ac:dyDescent="0.25">
      <c r="A307" s="1601">
        <v>295</v>
      </c>
      <c r="B307" s="1602" t="s">
        <v>5</v>
      </c>
      <c r="C307" s="1621" t="str">
        <f>SU_A0011</f>
        <v>SU A0011</v>
      </c>
      <c r="D307" s="1603" t="s">
        <v>23</v>
      </c>
      <c r="E307" s="1603"/>
      <c r="F307" s="1604" t="str">
        <f>'SU Assemblies'!B541</f>
        <v>Front upright assembly</v>
      </c>
      <c r="G307" s="1603"/>
      <c r="H307" s="1605">
        <f t="shared" si="20"/>
        <v>17.510000000000002</v>
      </c>
      <c r="I307" s="1606">
        <f>SU_A0011_q</f>
        <v>2</v>
      </c>
      <c r="J307" s="1625">
        <v>0</v>
      </c>
      <c r="K307" s="1623">
        <f>SU_A0011_p</f>
        <v>16.57</v>
      </c>
      <c r="L307" s="1623">
        <f>SU_A0011_f</f>
        <v>0.94000000000000006</v>
      </c>
      <c r="M307" s="1626">
        <v>0</v>
      </c>
      <c r="N307" s="1608">
        <f t="shared" si="21"/>
        <v>35.020000000000003</v>
      </c>
      <c r="O307" s="1609"/>
    </row>
    <row r="308" spans="1:15" ht="15" x14ac:dyDescent="0.25">
      <c r="A308" s="1610">
        <v>296</v>
      </c>
      <c r="B308" s="1611" t="s">
        <v>5</v>
      </c>
      <c r="C308" s="1612" t="str">
        <f>SU_11001</f>
        <v>SU 11001</v>
      </c>
      <c r="D308" s="1613" t="s">
        <v>23</v>
      </c>
      <c r="E308" s="1613" t="s">
        <v>2363</v>
      </c>
      <c r="F308" s="1614" t="str">
        <f>'SU Parts'!B1335</f>
        <v>Front upright</v>
      </c>
      <c r="G308" s="1613"/>
      <c r="H308" s="1615">
        <f t="shared" si="20"/>
        <v>27.812275200000002</v>
      </c>
      <c r="I308" s="1616">
        <f>SU_A0011_q*SU_11001_q</f>
        <v>2</v>
      </c>
      <c r="J308" s="1617">
        <f>SU_11001_m</f>
        <v>13.1302752</v>
      </c>
      <c r="K308" s="1617">
        <f>SU_11001_p</f>
        <v>14.682</v>
      </c>
      <c r="L308" s="1617">
        <v>0</v>
      </c>
      <c r="M308" s="1617">
        <v>0</v>
      </c>
      <c r="N308" s="1618">
        <f t="shared" si="21"/>
        <v>55.624550400000004</v>
      </c>
      <c r="O308" s="1619"/>
    </row>
    <row r="309" spans="1:15" ht="15" x14ac:dyDescent="0.25">
      <c r="A309" s="1610">
        <v>297</v>
      </c>
      <c r="B309" s="1611" t="s">
        <v>5</v>
      </c>
      <c r="C309" s="1612" t="str">
        <f>SU_11002</f>
        <v>SU 11002</v>
      </c>
      <c r="D309" s="1613" t="s">
        <v>23</v>
      </c>
      <c r="E309" s="1613" t="s">
        <v>2363</v>
      </c>
      <c r="F309" s="1614" t="str">
        <f>'SU Parts'!B1359</f>
        <v>Steering tab</v>
      </c>
      <c r="G309" s="1613"/>
      <c r="H309" s="1615">
        <f t="shared" si="20"/>
        <v>5.0546223999999995</v>
      </c>
      <c r="I309" s="1616">
        <f>SU_A0011_q*SU_11002_q</f>
        <v>2</v>
      </c>
      <c r="J309" s="1617">
        <f>SU_11002_m</f>
        <v>1.1746223999999996</v>
      </c>
      <c r="K309" s="1617">
        <f>SU_11002_p</f>
        <v>3.88</v>
      </c>
      <c r="L309" s="1617">
        <v>0</v>
      </c>
      <c r="M309" s="1617">
        <v>0</v>
      </c>
      <c r="N309" s="1618">
        <f t="shared" si="21"/>
        <v>10.109244799999999</v>
      </c>
      <c r="O309" s="1619"/>
    </row>
    <row r="310" spans="1:15" ht="15" x14ac:dyDescent="0.25">
      <c r="A310" s="1610">
        <v>298</v>
      </c>
      <c r="B310" s="1611" t="s">
        <v>5</v>
      </c>
      <c r="C310" s="1612" t="str">
        <f>SU_11003</f>
        <v>SU 11003</v>
      </c>
      <c r="D310" s="1613" t="s">
        <v>23</v>
      </c>
      <c r="E310" s="1613" t="s">
        <v>2363</v>
      </c>
      <c r="F310" s="1614" t="str">
        <f>'SU Parts'!B1383</f>
        <v>Upper tab</v>
      </c>
      <c r="G310" s="1613"/>
      <c r="H310" s="1615">
        <f t="shared" si="20"/>
        <v>3.2352644000000002</v>
      </c>
      <c r="I310" s="1616">
        <f>SU_A0011_q*SU_11003_q</f>
        <v>2</v>
      </c>
      <c r="J310" s="1617">
        <f>SU_11003_m</f>
        <v>0.38926440000000001</v>
      </c>
      <c r="K310" s="1617">
        <f>SU_11003_p</f>
        <v>2.8460000000000001</v>
      </c>
      <c r="L310" s="1617">
        <v>0</v>
      </c>
      <c r="M310" s="1617">
        <v>0</v>
      </c>
      <c r="N310" s="1618">
        <f t="shared" si="21"/>
        <v>6.4705288000000003</v>
      </c>
      <c r="O310" s="1619"/>
    </row>
    <row r="311" spans="1:15" ht="15" x14ac:dyDescent="0.25">
      <c r="A311" s="1610">
        <v>299</v>
      </c>
      <c r="B311" s="1611" t="s">
        <v>5</v>
      </c>
      <c r="C311" s="1612" t="str">
        <f>SU_11004</f>
        <v>SU 11004</v>
      </c>
      <c r="D311" s="1613" t="s">
        <v>23</v>
      </c>
      <c r="E311" s="1613" t="s">
        <v>2363</v>
      </c>
      <c r="F311" s="1614" t="str">
        <f>'SU Parts'!B1405</f>
        <v>Camber adjustment shims</v>
      </c>
      <c r="G311" s="1613"/>
      <c r="H311" s="1615">
        <f t="shared" si="20"/>
        <v>1.699657</v>
      </c>
      <c r="I311" s="1616">
        <f>SU_A0011_q*SU_11004_q</f>
        <v>2</v>
      </c>
      <c r="J311" s="1617">
        <f>SU_11004_m</f>
        <v>0.15365699999999999</v>
      </c>
      <c r="K311" s="1617">
        <f>SU_11004_p</f>
        <v>1.546</v>
      </c>
      <c r="L311" s="1617">
        <v>0</v>
      </c>
      <c r="M311" s="1617">
        <v>0</v>
      </c>
      <c r="N311" s="1618">
        <f t="shared" si="21"/>
        <v>3.3993139999999999</v>
      </c>
      <c r="O311" s="1619"/>
    </row>
    <row r="312" spans="1:15" ht="15" x14ac:dyDescent="0.25">
      <c r="A312" s="1610">
        <v>300</v>
      </c>
      <c r="B312" s="1611" t="s">
        <v>5</v>
      </c>
      <c r="C312" s="1612" t="str">
        <f>SU_11005</f>
        <v>SU 11005</v>
      </c>
      <c r="D312" s="1613" t="s">
        <v>23</v>
      </c>
      <c r="E312" s="1613" t="s">
        <v>2363</v>
      </c>
      <c r="F312" s="1614" t="str">
        <f>'SU Parts'!B1425</f>
        <v>Lower spacer</v>
      </c>
      <c r="G312" s="1613"/>
      <c r="H312" s="1615">
        <f t="shared" si="20"/>
        <v>1.342501421761888</v>
      </c>
      <c r="I312" s="1616">
        <f>SU_A0011_q*SU_11005_q</f>
        <v>4</v>
      </c>
      <c r="J312" s="1617">
        <f>SU_11005_m</f>
        <v>2.2501421761887873E-2</v>
      </c>
      <c r="K312" s="1617">
        <f>SU_11005_p</f>
        <v>1.32</v>
      </c>
      <c r="L312" s="1617">
        <v>0</v>
      </c>
      <c r="M312" s="1617">
        <v>0</v>
      </c>
      <c r="N312" s="1618">
        <f t="shared" si="21"/>
        <v>5.3700056870475521</v>
      </c>
      <c r="O312" s="1619"/>
    </row>
    <row r="313" spans="1:15" ht="15" x14ac:dyDescent="0.25">
      <c r="A313" s="1610">
        <v>301</v>
      </c>
      <c r="B313" s="1611" t="s">
        <v>5</v>
      </c>
      <c r="C313" s="1612" t="str">
        <f>SU_11006</f>
        <v>SU 11006</v>
      </c>
      <c r="D313" s="1613" t="s">
        <v>23</v>
      </c>
      <c r="E313" s="1613" t="s">
        <v>2363</v>
      </c>
      <c r="F313" s="1614" t="str">
        <f>'SU Parts'!B1445</f>
        <v>Upper spacer</v>
      </c>
      <c r="G313" s="1613"/>
      <c r="H313" s="1615">
        <f t="shared" si="20"/>
        <v>1.3895031278761534</v>
      </c>
      <c r="I313" s="1616">
        <f>SU_A0011_q*SU_11006_q</f>
        <v>4</v>
      </c>
      <c r="J313" s="1617">
        <f>SU_11006_m</f>
        <v>4.9503127876153317E-2</v>
      </c>
      <c r="K313" s="1617">
        <f>SU_11006_p</f>
        <v>1.34</v>
      </c>
      <c r="L313" s="1617">
        <v>0</v>
      </c>
      <c r="M313" s="1617">
        <v>0</v>
      </c>
      <c r="N313" s="1618">
        <f t="shared" si="21"/>
        <v>5.5580125115046135</v>
      </c>
      <c r="O313" s="1619"/>
    </row>
    <row r="314" spans="1:15" ht="15" x14ac:dyDescent="0.25">
      <c r="A314" s="1601">
        <v>302</v>
      </c>
      <c r="B314" s="1602" t="s">
        <v>5</v>
      </c>
      <c r="C314" s="1621" t="str">
        <f>SU_A0012</f>
        <v>SU A0012</v>
      </c>
      <c r="D314" s="1603" t="s">
        <v>23</v>
      </c>
      <c r="E314" s="1603"/>
      <c r="F314" s="1604" t="str">
        <f>'SU Assemblies'!B586</f>
        <v>Rear upright assembly</v>
      </c>
      <c r="G314" s="1603"/>
      <c r="H314" s="1605">
        <f t="shared" si="20"/>
        <v>15.160000000000002</v>
      </c>
      <c r="I314" s="1606">
        <f>SU_A0012_q</f>
        <v>2</v>
      </c>
      <c r="J314" s="1626">
        <v>0</v>
      </c>
      <c r="K314" s="1623">
        <f>SU_A0012_p</f>
        <v>14.440000000000001</v>
      </c>
      <c r="L314" s="1623">
        <f>SU_A0012_f</f>
        <v>0.72000000000000008</v>
      </c>
      <c r="M314" s="1626">
        <v>0</v>
      </c>
      <c r="N314" s="1608">
        <f t="shared" si="21"/>
        <v>30.320000000000004</v>
      </c>
      <c r="O314" s="1609"/>
    </row>
    <row r="315" spans="1:15" ht="15" x14ac:dyDescent="0.25">
      <c r="A315" s="1610">
        <v>303</v>
      </c>
      <c r="B315" s="1611" t="s">
        <v>5</v>
      </c>
      <c r="C315" s="1612" t="str">
        <f>SU_12001</f>
        <v>SU 12001</v>
      </c>
      <c r="D315" s="1613" t="s">
        <v>23</v>
      </c>
      <c r="E315" s="1613" t="s">
        <v>2356</v>
      </c>
      <c r="F315" s="1614" t="str">
        <f>'SU Parts'!B1465</f>
        <v>Rear upright</v>
      </c>
      <c r="G315" s="1613"/>
      <c r="H315" s="1615">
        <f t="shared" si="20"/>
        <v>50.726375399999995</v>
      </c>
      <c r="I315" s="1616">
        <f>SU_A0012_q*SU_12001_q</f>
        <v>2</v>
      </c>
      <c r="J315" s="1617">
        <f>SU_12001_m</f>
        <v>20.996375400000002</v>
      </c>
      <c r="K315" s="1617">
        <f>SU_12001_p</f>
        <v>29.729999999999997</v>
      </c>
      <c r="L315" s="1617">
        <v>0</v>
      </c>
      <c r="M315" s="1617">
        <v>0</v>
      </c>
      <c r="N315" s="1618">
        <f t="shared" si="21"/>
        <v>101.45275079999999</v>
      </c>
      <c r="O315" s="1619"/>
    </row>
    <row r="316" spans="1:15" ht="15" x14ac:dyDescent="0.25">
      <c r="A316" s="1610">
        <v>304</v>
      </c>
      <c r="B316" s="1611" t="s">
        <v>5</v>
      </c>
      <c r="C316" s="1612" t="str">
        <f>SU_12002</f>
        <v>SU 12002</v>
      </c>
      <c r="D316" s="1613" t="s">
        <v>23</v>
      </c>
      <c r="E316" s="1613" t="s">
        <v>2356</v>
      </c>
      <c r="F316" s="1614" t="str">
        <f>'SU Parts'!B1489</f>
        <v>Upper tab</v>
      </c>
      <c r="G316" s="1613"/>
      <c r="H316" s="1615">
        <f t="shared" si="20"/>
        <v>3.6958321000000001</v>
      </c>
      <c r="I316" s="1616">
        <f>SU_A0012_q*SU_12002_q</f>
        <v>2</v>
      </c>
      <c r="J316" s="1617">
        <f>SU_12002_m</f>
        <v>0.52983210000000003</v>
      </c>
      <c r="K316" s="1617">
        <f>SU_12002_p</f>
        <v>3.1659999999999999</v>
      </c>
      <c r="L316" s="1617">
        <v>0</v>
      </c>
      <c r="M316" s="1617">
        <v>0</v>
      </c>
      <c r="N316" s="1618">
        <f t="shared" si="21"/>
        <v>7.3916642000000001</v>
      </c>
      <c r="O316" s="1619"/>
    </row>
    <row r="317" spans="1:15" ht="15" x14ac:dyDescent="0.25">
      <c r="A317" s="1610">
        <v>305</v>
      </c>
      <c r="B317" s="1611" t="s">
        <v>5</v>
      </c>
      <c r="C317" s="1612" t="str">
        <f>SU_12003</f>
        <v>SU 12003</v>
      </c>
      <c r="D317" s="1613" t="s">
        <v>23</v>
      </c>
      <c r="E317" s="1613" t="s">
        <v>2356</v>
      </c>
      <c r="F317" s="1614" t="str">
        <f>'SU Parts'!B1511</f>
        <v>Camber adjustment shims</v>
      </c>
      <c r="G317" s="1613"/>
      <c r="H317" s="1615">
        <f t="shared" si="20"/>
        <v>1.7551442500000001</v>
      </c>
      <c r="I317" s="1616">
        <f>SU_A0012_q*SU_12003_q</f>
        <v>2</v>
      </c>
      <c r="J317" s="1617">
        <f>SU_12003_m</f>
        <v>0.20914425</v>
      </c>
      <c r="K317" s="1617">
        <f>SU_12003_p</f>
        <v>1.546</v>
      </c>
      <c r="L317" s="1617">
        <v>0</v>
      </c>
      <c r="M317" s="1617">
        <v>0</v>
      </c>
      <c r="N317" s="1618">
        <f t="shared" si="21"/>
        <v>3.5102885000000001</v>
      </c>
      <c r="O317" s="1619"/>
    </row>
    <row r="318" spans="1:15" ht="15" x14ac:dyDescent="0.25">
      <c r="A318" s="1610">
        <v>306</v>
      </c>
      <c r="B318" s="1611" t="s">
        <v>5</v>
      </c>
      <c r="C318" s="1612" t="str">
        <f>SU_12004</f>
        <v>SU 12004</v>
      </c>
      <c r="D318" s="1613" t="s">
        <v>23</v>
      </c>
      <c r="E318" s="1613" t="s">
        <v>2356</v>
      </c>
      <c r="F318" s="1614" t="str">
        <f>'SU Parts'!B1531</f>
        <v>Lower spacer</v>
      </c>
      <c r="G318" s="1613"/>
      <c r="H318" s="1615">
        <f t="shared" si="20"/>
        <v>1.3620026539555241</v>
      </c>
      <c r="I318" s="1616">
        <f>SU_A0012_q*SU_12004_q</f>
        <v>4</v>
      </c>
      <c r="J318" s="1617">
        <f>SU_12004_m</f>
        <v>4.2002653955524029E-2</v>
      </c>
      <c r="K318" s="1617">
        <f>SU_12004_p</f>
        <v>1.32</v>
      </c>
      <c r="L318" s="1617">
        <v>0</v>
      </c>
      <c r="M318" s="1617">
        <v>0</v>
      </c>
      <c r="N318" s="1618">
        <f t="shared" si="21"/>
        <v>5.4480106158220964</v>
      </c>
      <c r="O318" s="1619"/>
    </row>
    <row r="319" spans="1:15" ht="15.75" thickBot="1" x14ac:dyDescent="0.3">
      <c r="A319" s="1610">
        <v>307</v>
      </c>
      <c r="B319" s="1611" t="s">
        <v>5</v>
      </c>
      <c r="C319" s="1612" t="str">
        <f>SU_12005</f>
        <v>SU 12005</v>
      </c>
      <c r="D319" s="1613" t="s">
        <v>23</v>
      </c>
      <c r="E319" s="1613" t="s">
        <v>2356</v>
      </c>
      <c r="F319" s="1614" t="str">
        <f>'SU Parts'!B1551</f>
        <v>Upper spacer</v>
      </c>
      <c r="G319" s="1613"/>
      <c r="H319" s="1615">
        <f t="shared" si="20"/>
        <v>1.3895031278761534</v>
      </c>
      <c r="I319" s="1616">
        <f>SU_A0012_q*SU_12005_q</f>
        <v>4</v>
      </c>
      <c r="J319" s="1617">
        <f>SU_12005_m</f>
        <v>4.9503127876153317E-2</v>
      </c>
      <c r="K319" s="1617">
        <f>SU_12005_p</f>
        <v>1.34</v>
      </c>
      <c r="L319" s="1617">
        <v>0</v>
      </c>
      <c r="M319" s="1617">
        <v>0</v>
      </c>
      <c r="N319" s="1618">
        <f t="shared" si="21"/>
        <v>5.5580125115046135</v>
      </c>
      <c r="O319" s="1619"/>
    </row>
    <row r="320" spans="1:15" ht="15.75" thickTop="1" thickBot="1" x14ac:dyDescent="0.25">
      <c r="A320" s="40"/>
      <c r="B320" s="39" t="s">
        <v>5</v>
      </c>
      <c r="C320" s="38"/>
      <c r="D320" s="38"/>
      <c r="E320" s="38"/>
      <c r="F320" s="39" t="s">
        <v>20</v>
      </c>
      <c r="G320" s="38"/>
      <c r="H320" s="37"/>
      <c r="I320" s="36"/>
      <c r="J320" s="35">
        <f>SUMPRODUCT($I235:$I319,J235:J319)</f>
        <v>1868.9721493890618</v>
      </c>
      <c r="K320" s="35">
        <f>SUMPRODUCT($I235:$I319,K235:K319)</f>
        <v>949.59754929047904</v>
      </c>
      <c r="L320" s="35">
        <f>SUMPRODUCT($I235:$I319,L235:L319)</f>
        <v>53.056846045923749</v>
      </c>
      <c r="M320" s="35">
        <f>SUMPRODUCT($I235:$I319,M235:M319)</f>
        <v>19.333333333333332</v>
      </c>
      <c r="N320" s="35">
        <f>SUM(N235:N319)</f>
        <v>2890.9598780587976</v>
      </c>
      <c r="O320" s="34"/>
    </row>
    <row r="321" spans="1:15" ht="15.75" thickTop="1" x14ac:dyDescent="0.25">
      <c r="A321" s="602">
        <v>308</v>
      </c>
      <c r="B321" s="603" t="s">
        <v>4</v>
      </c>
      <c r="C321" s="604" t="str">
        <f>WT_A0001_ref</f>
        <v>WT A0001</v>
      </c>
      <c r="D321" s="605" t="s">
        <v>23</v>
      </c>
      <c r="E321" s="605"/>
      <c r="F321" s="606" t="str">
        <f>WT_A0001</f>
        <v>Wheel assembly</v>
      </c>
      <c r="G321" s="605"/>
      <c r="H321" s="607">
        <f t="shared" ref="H321:H329" si="23">SUM(J321:M321)</f>
        <v>15.409999999999998</v>
      </c>
      <c r="I321" s="608">
        <f>WT_A0001_Qty</f>
        <v>4</v>
      </c>
      <c r="J321" s="609">
        <f>WT_A0001_m</f>
        <v>4</v>
      </c>
      <c r="K321" s="609">
        <f>WT_A0001_P</f>
        <v>4.8099999999999996</v>
      </c>
      <c r="L321" s="609">
        <f>WT_A0001_F</f>
        <v>1.6</v>
      </c>
      <c r="M321" s="609">
        <f>WT_A0001_T</f>
        <v>5</v>
      </c>
      <c r="N321" s="610">
        <f t="shared" ref="N321:N332" si="24">H321*I321</f>
        <v>61.639999999999993</v>
      </c>
      <c r="O321" s="611"/>
    </row>
    <row r="322" spans="1:15" ht="15" x14ac:dyDescent="0.25">
      <c r="A322" s="612">
        <v>309</v>
      </c>
      <c r="B322" s="613" t="s">
        <v>4</v>
      </c>
      <c r="C322" s="626" t="str">
        <f>WT_01001_ref</f>
        <v>WT 01001</v>
      </c>
      <c r="D322" s="614" t="s">
        <v>23</v>
      </c>
      <c r="E322" s="614" t="str">
        <f>F321</f>
        <v>Wheel assembly</v>
      </c>
      <c r="F322" s="615" t="str">
        <f>WT_01001</f>
        <v>Wheel</v>
      </c>
      <c r="G322" s="614"/>
      <c r="H322" s="616">
        <f>WT_01001_PC</f>
        <v>77.5</v>
      </c>
      <c r="I322" s="617">
        <v>4</v>
      </c>
      <c r="J322" s="618">
        <f>WT_01001_m</f>
        <v>77.5</v>
      </c>
      <c r="K322" s="618">
        <v>0</v>
      </c>
      <c r="L322" s="618">
        <v>0</v>
      </c>
      <c r="M322" s="618">
        <v>0</v>
      </c>
      <c r="N322" s="619">
        <f t="shared" si="24"/>
        <v>310</v>
      </c>
      <c r="O322" s="620"/>
    </row>
    <row r="323" spans="1:15" ht="15" x14ac:dyDescent="0.25">
      <c r="A323" s="612">
        <v>310</v>
      </c>
      <c r="B323" s="613" t="s">
        <v>4</v>
      </c>
      <c r="C323" s="626" t="str">
        <f>WT_01002_ref</f>
        <v>WT 01002</v>
      </c>
      <c r="D323" s="614" t="s">
        <v>23</v>
      </c>
      <c r="E323" s="614" t="str">
        <f>F321</f>
        <v>Wheel assembly</v>
      </c>
      <c r="F323" s="615" t="str">
        <f>WT_01002</f>
        <v>Tire</v>
      </c>
      <c r="G323" s="614"/>
      <c r="H323" s="616">
        <f>WT_01002_PC</f>
        <v>85</v>
      </c>
      <c r="I323" s="617">
        <v>4</v>
      </c>
      <c r="J323" s="618">
        <f>WT_01002_m</f>
        <v>85</v>
      </c>
      <c r="K323" s="618">
        <v>0</v>
      </c>
      <c r="L323" s="618">
        <v>0</v>
      </c>
      <c r="M323" s="618">
        <v>0</v>
      </c>
      <c r="N323" s="619">
        <f t="shared" si="24"/>
        <v>340</v>
      </c>
      <c r="O323" s="620"/>
    </row>
    <row r="324" spans="1:15" ht="15" x14ac:dyDescent="0.25">
      <c r="A324" s="612">
        <v>311</v>
      </c>
      <c r="B324" s="613" t="s">
        <v>4</v>
      </c>
      <c r="C324" s="626" t="str">
        <f>WT_01003_ref</f>
        <v>WT 01003</v>
      </c>
      <c r="D324" s="614" t="s">
        <v>23</v>
      </c>
      <c r="E324" s="614" t="str">
        <f>F321</f>
        <v>Wheel assembly</v>
      </c>
      <c r="F324" s="615" t="str">
        <f>WT_01003</f>
        <v>Valve stem</v>
      </c>
      <c r="G324" s="614"/>
      <c r="H324" s="616">
        <f>WT_01003_PC</f>
        <v>1</v>
      </c>
      <c r="I324" s="617">
        <v>4</v>
      </c>
      <c r="J324" s="618">
        <f>WT_01003_m</f>
        <v>1</v>
      </c>
      <c r="K324" s="618">
        <v>0</v>
      </c>
      <c r="L324" s="618">
        <v>0</v>
      </c>
      <c r="M324" s="618">
        <v>0</v>
      </c>
      <c r="N324" s="619">
        <f t="shared" si="24"/>
        <v>4</v>
      </c>
      <c r="O324" s="620"/>
    </row>
    <row r="325" spans="1:15" ht="15" x14ac:dyDescent="0.25">
      <c r="A325" s="602">
        <v>312</v>
      </c>
      <c r="B325" s="603" t="s">
        <v>4</v>
      </c>
      <c r="C325" s="604" t="str">
        <f>WT_A0002_ref</f>
        <v>WT A0002</v>
      </c>
      <c r="D325" s="605" t="s">
        <v>23</v>
      </c>
      <c r="E325" s="605"/>
      <c r="F325" s="606" t="str">
        <f>WT_A0002</f>
        <v>Front Hubs</v>
      </c>
      <c r="G325" s="621"/>
      <c r="H325" s="607">
        <f t="shared" si="23"/>
        <v>26.414999999999999</v>
      </c>
      <c r="I325" s="608">
        <f>WT_A0002_Qty</f>
        <v>2</v>
      </c>
      <c r="J325" s="609">
        <f>WT_A0002_m</f>
        <v>9.1300000000000008</v>
      </c>
      <c r="K325" s="609">
        <f>WT_A0002_p</f>
        <v>3.8050000000000002</v>
      </c>
      <c r="L325" s="609">
        <f>WT_A0002_f</f>
        <v>13.48</v>
      </c>
      <c r="M325" s="609">
        <v>0</v>
      </c>
      <c r="N325" s="610">
        <f t="shared" si="24"/>
        <v>52.83</v>
      </c>
      <c r="O325" s="611"/>
    </row>
    <row r="326" spans="1:15" ht="15" x14ac:dyDescent="0.25">
      <c r="A326" s="612">
        <v>313</v>
      </c>
      <c r="B326" s="613" t="s">
        <v>4</v>
      </c>
      <c r="C326" s="626" t="str">
        <f>WT_02001_ref</f>
        <v>WT 02001</v>
      </c>
      <c r="D326" s="614" t="s">
        <v>23</v>
      </c>
      <c r="E326" s="614" t="str">
        <f>F325</f>
        <v>Front Hubs</v>
      </c>
      <c r="F326" s="615" t="str">
        <f>WT_02001</f>
        <v>Front Hub</v>
      </c>
      <c r="G326" s="614"/>
      <c r="H326" s="616">
        <f>WT_02001_PC</f>
        <v>64.098478700906938</v>
      </c>
      <c r="I326" s="622">
        <v>2</v>
      </c>
      <c r="J326" s="618">
        <f>WT_02001_m</f>
        <v>11.648478700906947</v>
      </c>
      <c r="K326" s="618">
        <f>WT_02001_p</f>
        <v>52.449999999999996</v>
      </c>
      <c r="L326" s="618">
        <v>0</v>
      </c>
      <c r="M326" s="618">
        <v>0</v>
      </c>
      <c r="N326" s="619">
        <f t="shared" si="24"/>
        <v>128.19695740181388</v>
      </c>
      <c r="O326" s="620"/>
    </row>
    <row r="327" spans="1:15" ht="15" x14ac:dyDescent="0.25">
      <c r="A327" s="612">
        <v>314</v>
      </c>
      <c r="B327" s="613" t="s">
        <v>4</v>
      </c>
      <c r="C327" s="626" t="str">
        <f>WT_02002_ref</f>
        <v>WT 02002</v>
      </c>
      <c r="D327" s="614" t="s">
        <v>23</v>
      </c>
      <c r="E327" s="614" t="str">
        <f>F325</f>
        <v>Front Hubs</v>
      </c>
      <c r="F327" s="615" t="str">
        <f>WT_02002</f>
        <v>Bearings</v>
      </c>
      <c r="G327" s="614"/>
      <c r="H327" s="616">
        <f>WT_02002_PC</f>
        <v>122.59</v>
      </c>
      <c r="I327" s="622">
        <v>4</v>
      </c>
      <c r="J327" s="618">
        <f>WT_02002_m</f>
        <v>122.59</v>
      </c>
      <c r="K327" s="618">
        <v>0</v>
      </c>
      <c r="L327" s="618">
        <v>0</v>
      </c>
      <c r="M327" s="618">
        <v>0</v>
      </c>
      <c r="N327" s="619">
        <f t="shared" si="24"/>
        <v>490.36</v>
      </c>
      <c r="O327" s="620"/>
    </row>
    <row r="328" spans="1:15" ht="15" x14ac:dyDescent="0.25">
      <c r="A328" s="612">
        <v>315</v>
      </c>
      <c r="B328" s="613" t="s">
        <v>4</v>
      </c>
      <c r="C328" s="626" t="str">
        <f>WT_02003_ref</f>
        <v>WT 02003</v>
      </c>
      <c r="D328" s="614" t="s">
        <v>23</v>
      </c>
      <c r="E328" s="614" t="str">
        <f>F325</f>
        <v>Front Hubs</v>
      </c>
      <c r="F328" s="615" t="str">
        <f>WT_02003</f>
        <v>Front Spacer</v>
      </c>
      <c r="G328" s="614"/>
      <c r="H328" s="616">
        <f>WT_02003_PC</f>
        <v>28.157641977669254</v>
      </c>
      <c r="I328" s="622">
        <v>2</v>
      </c>
      <c r="J328" s="618">
        <f>WT_02003_m</f>
        <v>6.3076419776692525</v>
      </c>
      <c r="K328" s="618">
        <f>WT_02003_p</f>
        <v>21.85</v>
      </c>
      <c r="L328" s="618">
        <v>0</v>
      </c>
      <c r="M328" s="618">
        <v>0</v>
      </c>
      <c r="N328" s="619">
        <f t="shared" si="24"/>
        <v>56.315283955338508</v>
      </c>
      <c r="O328" s="620"/>
    </row>
    <row r="329" spans="1:15" ht="15" x14ac:dyDescent="0.25">
      <c r="A329" s="602">
        <v>316</v>
      </c>
      <c r="B329" s="603" t="s">
        <v>4</v>
      </c>
      <c r="C329" s="604" t="str">
        <f>WT_A0003_ref</f>
        <v>WT A0003</v>
      </c>
      <c r="D329" s="605" t="s">
        <v>23</v>
      </c>
      <c r="E329" s="605"/>
      <c r="F329" s="606" t="str">
        <f>WT_A0003</f>
        <v>Rear hubs</v>
      </c>
      <c r="G329" s="605"/>
      <c r="H329" s="607">
        <f t="shared" si="23"/>
        <v>26.414999999999999</v>
      </c>
      <c r="I329" s="623">
        <f>WT_A0003_Qty</f>
        <v>2</v>
      </c>
      <c r="J329" s="609">
        <f>WT_A0003_m</f>
        <v>9.1300000000000008</v>
      </c>
      <c r="K329" s="609">
        <f>WT_A0003_p</f>
        <v>3.8050000000000002</v>
      </c>
      <c r="L329" s="609">
        <f>WT_A0003_f</f>
        <v>13.48</v>
      </c>
      <c r="M329" s="609">
        <v>0</v>
      </c>
      <c r="N329" s="610">
        <f t="shared" si="24"/>
        <v>52.83</v>
      </c>
      <c r="O329" s="611"/>
    </row>
    <row r="330" spans="1:15" ht="15" x14ac:dyDescent="0.25">
      <c r="A330" s="612">
        <v>317</v>
      </c>
      <c r="B330" s="613" t="s">
        <v>4</v>
      </c>
      <c r="C330" s="626" t="str">
        <f>WT_03001_ref</f>
        <v>WT 03001</v>
      </c>
      <c r="D330" s="614" t="s">
        <v>23</v>
      </c>
      <c r="E330" s="614" t="str">
        <f>F329</f>
        <v>Rear hubs</v>
      </c>
      <c r="F330" s="615" t="str">
        <f>WT_03001</f>
        <v>Rear hub</v>
      </c>
      <c r="G330" s="614"/>
      <c r="H330" s="616">
        <f>WT_03001_PC</f>
        <v>77.234943819207018</v>
      </c>
      <c r="I330" s="622">
        <v>2</v>
      </c>
      <c r="J330" s="618">
        <f>WT_03001_m</f>
        <v>12.90494381920702</v>
      </c>
      <c r="K330" s="618">
        <f>WT_03001_p</f>
        <v>64.33</v>
      </c>
      <c r="L330" s="618">
        <v>0</v>
      </c>
      <c r="M330" s="618">
        <v>0</v>
      </c>
      <c r="N330" s="619">
        <f t="shared" si="24"/>
        <v>154.46988763841404</v>
      </c>
      <c r="O330" s="620"/>
    </row>
    <row r="331" spans="1:15" ht="15" x14ac:dyDescent="0.25">
      <c r="A331" s="612">
        <v>318</v>
      </c>
      <c r="B331" s="613" t="s">
        <v>4</v>
      </c>
      <c r="C331" s="626" t="str">
        <f>WT_03002_ref</f>
        <v>WT 03002</v>
      </c>
      <c r="D331" s="614" t="s">
        <v>23</v>
      </c>
      <c r="E331" s="614" t="str">
        <f>F329</f>
        <v>Rear hubs</v>
      </c>
      <c r="F331" s="615" t="str">
        <f>WT_03002</f>
        <v>Bearings</v>
      </c>
      <c r="G331" s="614"/>
      <c r="H331" s="616">
        <f>WT_03002_PC</f>
        <v>122.59</v>
      </c>
      <c r="I331" s="622">
        <v>4</v>
      </c>
      <c r="J331" s="618">
        <f>WT_03002_m</f>
        <v>122.59</v>
      </c>
      <c r="K331" s="618">
        <v>0</v>
      </c>
      <c r="L331" s="618">
        <v>0</v>
      </c>
      <c r="M331" s="618">
        <v>0</v>
      </c>
      <c r="N331" s="619">
        <f t="shared" si="24"/>
        <v>490.36</v>
      </c>
      <c r="O331" s="620"/>
    </row>
    <row r="332" spans="1:15" ht="15.75" thickBot="1" x14ac:dyDescent="0.3">
      <c r="A332" s="612">
        <v>319</v>
      </c>
      <c r="B332" s="613" t="s">
        <v>4</v>
      </c>
      <c r="C332" s="626" t="str">
        <f>WT_03003_ref</f>
        <v>WT 03003</v>
      </c>
      <c r="D332" s="614" t="s">
        <v>23</v>
      </c>
      <c r="E332" s="614" t="str">
        <f>F329</f>
        <v>Rear hubs</v>
      </c>
      <c r="F332" s="615" t="str">
        <f>WT_03003</f>
        <v>Rear spacer</v>
      </c>
      <c r="G332" s="624"/>
      <c r="H332" s="616">
        <f>WT_03003_PC</f>
        <v>33.825134192882096</v>
      </c>
      <c r="I332" s="622">
        <v>2</v>
      </c>
      <c r="J332" s="618">
        <f>WT_03003_m</f>
        <v>7.7751341928820983</v>
      </c>
      <c r="K332" s="618">
        <f>WT_03003_p</f>
        <v>26.05</v>
      </c>
      <c r="L332" s="618">
        <v>0</v>
      </c>
      <c r="M332" s="618">
        <v>0</v>
      </c>
      <c r="N332" s="619">
        <f t="shared" si="24"/>
        <v>67.650268385764193</v>
      </c>
      <c r="O332" s="620"/>
    </row>
    <row r="333" spans="1:15" ht="15.75" thickTop="1" thickBot="1" x14ac:dyDescent="0.25">
      <c r="A333" s="40"/>
      <c r="B333" s="39" t="s">
        <v>4</v>
      </c>
      <c r="C333" s="38"/>
      <c r="D333" s="38"/>
      <c r="E333" s="38"/>
      <c r="F333" s="39" t="s">
        <v>20</v>
      </c>
      <c r="G333" s="38"/>
      <c r="H333" s="37"/>
      <c r="I333" s="36"/>
      <c r="J333" s="35">
        <f>SUMPRODUCT($I321:$I332,J321:J332)</f>
        <v>1764.5123973813304</v>
      </c>
      <c r="K333" s="35">
        <f>SUMPRODUCT($I321:$I332,K321:K332)</f>
        <v>363.82000000000005</v>
      </c>
      <c r="L333" s="35">
        <f>SUMPRODUCT($I321:$I332,L321:L332)</f>
        <v>60.32</v>
      </c>
      <c r="M333" s="35">
        <f>SUMPRODUCT($I321:$I332,M321:M332)</f>
        <v>20</v>
      </c>
      <c r="N333" s="35">
        <f>SUM(N321:N332)</f>
        <v>2208.652397381331</v>
      </c>
      <c r="O333" s="34"/>
    </row>
    <row r="334" spans="1:15" ht="13.5" thickTop="1" x14ac:dyDescent="0.2">
      <c r="A334" s="30"/>
      <c r="B334" s="30"/>
      <c r="D334" s="25"/>
      <c r="E334" s="25"/>
      <c r="G334" s="25"/>
      <c r="H334" s="25"/>
      <c r="I334" s="32"/>
      <c r="J334" s="32"/>
      <c r="K334" s="32"/>
      <c r="L334" s="32"/>
      <c r="M334" s="32"/>
      <c r="N334" s="25"/>
    </row>
    <row r="335" spans="1:15" x14ac:dyDescent="0.2">
      <c r="A335" s="30"/>
      <c r="B335" s="30"/>
      <c r="D335" s="25"/>
      <c r="E335" s="25"/>
      <c r="G335" s="25"/>
      <c r="H335" s="25"/>
      <c r="I335" s="32"/>
      <c r="J335" s="32"/>
      <c r="K335" s="32"/>
      <c r="L335" s="32"/>
      <c r="M335" s="32"/>
      <c r="N335" s="25"/>
    </row>
    <row r="336" spans="1:15" x14ac:dyDescent="0.2">
      <c r="A336" s="30"/>
      <c r="B336" s="30"/>
      <c r="D336" s="25"/>
      <c r="E336" s="25"/>
      <c r="G336" s="25"/>
      <c r="H336" s="25"/>
      <c r="I336" s="32"/>
      <c r="J336" s="32"/>
      <c r="K336" s="32"/>
      <c r="L336" s="32"/>
      <c r="M336" s="32"/>
      <c r="N336" s="25"/>
    </row>
    <row r="337" spans="1:14" x14ac:dyDescent="0.2">
      <c r="A337" s="30"/>
      <c r="B337" s="30"/>
      <c r="D337" s="25"/>
      <c r="E337" s="25"/>
      <c r="G337" s="25"/>
      <c r="H337" s="25"/>
      <c r="I337" s="32"/>
      <c r="J337" s="32"/>
      <c r="K337" s="32"/>
      <c r="L337" s="32"/>
      <c r="M337" s="32"/>
      <c r="N337" s="25"/>
    </row>
    <row r="338" spans="1:14" x14ac:dyDescent="0.2">
      <c r="A338" s="30"/>
      <c r="B338" s="30"/>
      <c r="D338" s="25"/>
      <c r="E338" s="25"/>
      <c r="G338" s="25"/>
      <c r="H338" s="25"/>
      <c r="I338" s="32"/>
      <c r="J338" s="32"/>
      <c r="K338" s="32"/>
      <c r="L338" s="32"/>
      <c r="M338" s="32"/>
      <c r="N338" s="25"/>
    </row>
    <row r="339" spans="1:14" x14ac:dyDescent="0.2">
      <c r="A339" s="30"/>
      <c r="B339" s="30"/>
      <c r="D339" s="25"/>
      <c r="E339" s="25"/>
      <c r="G339" s="25"/>
      <c r="H339" s="25"/>
      <c r="I339" s="32"/>
      <c r="J339" s="32"/>
      <c r="K339" s="32"/>
      <c r="L339" s="32"/>
      <c r="M339" s="32"/>
      <c r="N339" s="25"/>
    </row>
    <row r="340" spans="1:14" x14ac:dyDescent="0.2">
      <c r="A340" s="30"/>
      <c r="B340" s="30"/>
      <c r="D340" s="25"/>
      <c r="E340" s="25"/>
      <c r="G340" s="25"/>
      <c r="H340" s="25"/>
      <c r="I340" s="32"/>
      <c r="J340" s="32"/>
      <c r="K340" s="32"/>
      <c r="L340" s="32"/>
      <c r="M340" s="32"/>
      <c r="N340" s="25"/>
    </row>
    <row r="341" spans="1:14" s="26" customFormat="1" x14ac:dyDescent="0.2">
      <c r="A341" s="31"/>
      <c r="B341" s="30"/>
      <c r="F341" s="28"/>
      <c r="I341" s="27"/>
      <c r="J341" s="27"/>
      <c r="K341" s="27"/>
      <c r="L341" s="27"/>
      <c r="M341" s="27"/>
    </row>
    <row r="342" spans="1:14" s="26" customFormat="1" x14ac:dyDescent="0.2">
      <c r="A342" s="31"/>
      <c r="B342" s="30"/>
      <c r="F342" s="28"/>
      <c r="I342" s="27"/>
      <c r="J342" s="27"/>
      <c r="K342" s="27"/>
      <c r="L342" s="27"/>
      <c r="M342" s="27"/>
    </row>
    <row r="343" spans="1:14" s="26" customFormat="1" x14ac:dyDescent="0.2">
      <c r="A343" s="31"/>
      <c r="B343" s="30"/>
      <c r="F343" s="28"/>
      <c r="I343" s="27"/>
      <c r="J343" s="27"/>
      <c r="K343" s="27"/>
      <c r="L343" s="27"/>
      <c r="M343" s="27"/>
    </row>
    <row r="344" spans="1:14" s="26" customFormat="1" x14ac:dyDescent="0.2">
      <c r="A344" s="31"/>
      <c r="B344" s="30"/>
      <c r="F344" s="28"/>
      <c r="I344" s="27"/>
      <c r="J344" s="27"/>
      <c r="K344" s="27"/>
      <c r="L344" s="27"/>
      <c r="M344" s="27"/>
    </row>
    <row r="345" spans="1:14" s="26" customFormat="1" x14ac:dyDescent="0.2">
      <c r="A345" s="31"/>
      <c r="B345" s="30"/>
      <c r="F345" s="28"/>
      <c r="I345" s="27"/>
      <c r="J345" s="27"/>
      <c r="K345" s="27"/>
      <c r="L345" s="27"/>
      <c r="M345" s="27"/>
    </row>
    <row r="346" spans="1:14" s="26" customFormat="1" x14ac:dyDescent="0.2">
      <c r="A346" s="31"/>
      <c r="B346" s="30"/>
      <c r="F346" s="28"/>
      <c r="I346" s="27"/>
      <c r="J346" s="27"/>
      <c r="K346" s="27"/>
      <c r="L346" s="27"/>
      <c r="M346" s="27"/>
    </row>
    <row r="347" spans="1:14" s="26" customFormat="1" x14ac:dyDescent="0.2">
      <c r="A347" s="31"/>
      <c r="B347" s="30"/>
      <c r="F347" s="28"/>
      <c r="I347" s="27"/>
      <c r="J347" s="27"/>
      <c r="K347" s="27"/>
      <c r="L347" s="27"/>
      <c r="M347" s="27"/>
    </row>
    <row r="348" spans="1:14" s="26" customFormat="1" x14ac:dyDescent="0.2">
      <c r="A348" s="31"/>
      <c r="B348" s="30"/>
      <c r="F348" s="28"/>
      <c r="I348" s="27"/>
      <c r="J348" s="27"/>
      <c r="K348" s="27"/>
      <c r="L348" s="27"/>
      <c r="M348" s="27"/>
    </row>
    <row r="349" spans="1:14" s="26" customFormat="1" x14ac:dyDescent="0.2">
      <c r="A349" s="31"/>
      <c r="B349" s="30"/>
      <c r="F349" s="28"/>
      <c r="I349" s="27"/>
      <c r="J349" s="27"/>
      <c r="K349" s="27"/>
      <c r="L349" s="27"/>
      <c r="M349" s="27"/>
    </row>
    <row r="350" spans="1:14" s="26" customFormat="1" x14ac:dyDescent="0.2">
      <c r="A350" s="31"/>
      <c r="B350" s="30"/>
      <c r="F350" s="28"/>
      <c r="I350" s="27"/>
      <c r="J350" s="27"/>
      <c r="K350" s="27"/>
      <c r="L350" s="27"/>
      <c r="M350" s="27"/>
    </row>
    <row r="351" spans="1:14" s="29" customFormat="1" x14ac:dyDescent="0.2">
      <c r="A351" s="31"/>
      <c r="B351" s="30"/>
      <c r="C351" s="26"/>
      <c r="D351" s="26"/>
      <c r="E351" s="26"/>
      <c r="F351" s="28"/>
      <c r="G351" s="26"/>
      <c r="H351" s="26"/>
      <c r="I351" s="27"/>
      <c r="J351" s="27"/>
      <c r="K351" s="27"/>
      <c r="L351" s="27"/>
      <c r="M351" s="27"/>
      <c r="N351" s="26"/>
    </row>
    <row r="352" spans="1:14" s="29" customFormat="1" x14ac:dyDescent="0.2">
      <c r="A352" s="31"/>
      <c r="B352" s="30"/>
      <c r="C352" s="26"/>
      <c r="D352" s="26"/>
      <c r="E352" s="26"/>
      <c r="F352" s="28"/>
      <c r="G352" s="26"/>
      <c r="H352" s="26"/>
      <c r="I352" s="27"/>
      <c r="J352" s="27"/>
      <c r="K352" s="27"/>
      <c r="L352" s="27"/>
      <c r="M352" s="27"/>
      <c r="N352" s="26"/>
    </row>
    <row r="353" spans="1:14" s="29" customFormat="1" x14ac:dyDescent="0.2">
      <c r="A353" s="31"/>
      <c r="B353" s="30"/>
      <c r="C353" s="26"/>
      <c r="D353" s="26"/>
      <c r="E353" s="26"/>
      <c r="F353" s="28"/>
      <c r="G353" s="26"/>
      <c r="H353" s="26"/>
      <c r="I353" s="27"/>
      <c r="J353" s="27"/>
      <c r="K353" s="27"/>
      <c r="L353" s="27"/>
      <c r="M353" s="27"/>
      <c r="N353" s="26"/>
    </row>
    <row r="354" spans="1:14" s="29" customFormat="1" x14ac:dyDescent="0.2">
      <c r="A354" s="31"/>
      <c r="B354" s="30"/>
      <c r="C354" s="26"/>
      <c r="D354" s="26"/>
      <c r="E354" s="26"/>
      <c r="F354" s="28"/>
      <c r="G354" s="26"/>
      <c r="H354" s="26"/>
      <c r="I354" s="27"/>
      <c r="J354" s="27"/>
      <c r="K354" s="27"/>
      <c r="L354" s="27"/>
      <c r="M354" s="27"/>
      <c r="N354" s="26"/>
    </row>
    <row r="355" spans="1:14" s="29" customFormat="1" x14ac:dyDescent="0.2">
      <c r="A355" s="31"/>
      <c r="B355" s="30"/>
      <c r="C355" s="26"/>
      <c r="D355" s="26"/>
      <c r="E355" s="26"/>
      <c r="F355" s="28"/>
      <c r="G355" s="26"/>
      <c r="H355" s="26"/>
      <c r="I355" s="27"/>
      <c r="J355" s="27"/>
      <c r="K355" s="27"/>
      <c r="L355" s="27"/>
      <c r="M355" s="27"/>
      <c r="N355" s="26"/>
    </row>
    <row r="356" spans="1:14" s="29" customFormat="1" x14ac:dyDescent="0.2">
      <c r="A356" s="31"/>
      <c r="B356" s="30"/>
      <c r="C356" s="26"/>
      <c r="D356" s="26"/>
      <c r="E356" s="26"/>
      <c r="F356" s="28"/>
      <c r="G356" s="26"/>
      <c r="H356" s="26"/>
      <c r="I356" s="27"/>
      <c r="J356" s="27"/>
      <c r="K356" s="27"/>
      <c r="L356" s="27"/>
      <c r="M356" s="27"/>
      <c r="N356" s="26"/>
    </row>
    <row r="357" spans="1:14" s="29" customFormat="1" x14ac:dyDescent="0.2">
      <c r="A357" s="31"/>
      <c r="B357" s="30"/>
      <c r="C357" s="26"/>
      <c r="D357" s="26"/>
      <c r="E357" s="26"/>
      <c r="F357" s="28"/>
      <c r="G357" s="26"/>
      <c r="H357" s="26"/>
      <c r="I357" s="27"/>
      <c r="J357" s="27"/>
      <c r="K357" s="27"/>
      <c r="L357" s="27"/>
      <c r="M357" s="27"/>
      <c r="N357" s="26"/>
    </row>
    <row r="358" spans="1:14" s="29" customFormat="1" x14ac:dyDescent="0.2">
      <c r="A358" s="31"/>
      <c r="B358" s="30"/>
      <c r="C358" s="26"/>
      <c r="D358" s="26"/>
      <c r="E358" s="26"/>
      <c r="F358" s="28"/>
      <c r="G358" s="26"/>
      <c r="H358" s="26"/>
      <c r="I358" s="27"/>
      <c r="J358" s="27"/>
      <c r="K358" s="27"/>
      <c r="L358" s="27"/>
      <c r="M358" s="27"/>
      <c r="N358" s="26"/>
    </row>
    <row r="359" spans="1:14" s="29" customFormat="1" x14ac:dyDescent="0.2">
      <c r="A359" s="31"/>
      <c r="B359" s="30"/>
      <c r="C359" s="26"/>
      <c r="D359" s="26"/>
      <c r="E359" s="26"/>
      <c r="F359" s="28"/>
      <c r="G359" s="26"/>
      <c r="H359" s="26"/>
      <c r="I359" s="27"/>
      <c r="J359" s="27"/>
      <c r="K359" s="27"/>
      <c r="L359" s="27"/>
      <c r="M359" s="27"/>
      <c r="N359" s="26"/>
    </row>
    <row r="360" spans="1:14" s="29" customFormat="1" x14ac:dyDescent="0.2">
      <c r="A360" s="31"/>
      <c r="B360" s="30"/>
      <c r="C360" s="26"/>
      <c r="D360" s="26"/>
      <c r="E360" s="26"/>
      <c r="F360" s="28"/>
      <c r="G360" s="26"/>
      <c r="H360" s="26"/>
      <c r="I360" s="27"/>
      <c r="J360" s="27"/>
      <c r="K360" s="27"/>
      <c r="L360" s="27"/>
      <c r="M360" s="27"/>
      <c r="N360" s="26"/>
    </row>
    <row r="361" spans="1:14" s="29" customFormat="1" x14ac:dyDescent="0.2">
      <c r="A361" s="31"/>
      <c r="B361" s="30"/>
      <c r="C361" s="26"/>
      <c r="D361" s="26"/>
      <c r="E361" s="26"/>
      <c r="F361" s="28"/>
      <c r="G361" s="26"/>
      <c r="H361" s="26"/>
      <c r="I361" s="27"/>
      <c r="J361" s="27"/>
      <c r="K361" s="27"/>
      <c r="L361" s="27"/>
      <c r="M361" s="27"/>
      <c r="N361" s="26"/>
    </row>
    <row r="362" spans="1:14" s="29" customFormat="1" x14ac:dyDescent="0.2">
      <c r="A362" s="31"/>
      <c r="B362" s="30"/>
      <c r="C362" s="26"/>
      <c r="D362" s="26"/>
      <c r="E362" s="26"/>
      <c r="F362" s="28"/>
      <c r="G362" s="26"/>
      <c r="H362" s="26"/>
      <c r="I362" s="27"/>
      <c r="J362" s="27"/>
      <c r="K362" s="27"/>
      <c r="L362" s="27"/>
      <c r="M362" s="27"/>
      <c r="N362" s="26"/>
    </row>
    <row r="363" spans="1:14" s="29" customFormat="1" x14ac:dyDescent="0.2">
      <c r="A363" s="31"/>
      <c r="B363" s="30"/>
      <c r="C363" s="26"/>
      <c r="D363" s="26"/>
      <c r="E363" s="26"/>
      <c r="F363" s="28"/>
      <c r="G363" s="26"/>
      <c r="H363" s="26"/>
      <c r="I363" s="27"/>
      <c r="J363" s="27"/>
      <c r="K363" s="27"/>
      <c r="L363" s="27"/>
      <c r="M363" s="27"/>
      <c r="N363" s="26"/>
    </row>
    <row r="364" spans="1:14" s="29" customFormat="1" x14ac:dyDescent="0.2">
      <c r="A364" s="31"/>
      <c r="B364" s="30"/>
      <c r="C364" s="26"/>
      <c r="D364" s="26"/>
      <c r="E364" s="26"/>
      <c r="F364" s="28"/>
      <c r="G364" s="26"/>
      <c r="H364" s="26"/>
      <c r="I364" s="27"/>
      <c r="J364" s="27"/>
      <c r="K364" s="27"/>
      <c r="L364" s="27"/>
      <c r="M364" s="27"/>
      <c r="N364" s="26"/>
    </row>
    <row r="365" spans="1:14" s="29" customFormat="1" x14ac:dyDescent="0.2">
      <c r="A365" s="31"/>
      <c r="B365" s="30"/>
      <c r="C365" s="26"/>
      <c r="D365" s="26"/>
      <c r="E365" s="26"/>
      <c r="F365" s="28"/>
      <c r="G365" s="26"/>
      <c r="H365" s="26"/>
      <c r="I365" s="27"/>
      <c r="J365" s="27"/>
      <c r="K365" s="27"/>
      <c r="L365" s="27"/>
      <c r="M365" s="27"/>
      <c r="N365" s="26"/>
    </row>
    <row r="366" spans="1:14" s="29" customFormat="1" x14ac:dyDescent="0.2">
      <c r="A366" s="31"/>
      <c r="B366" s="30"/>
      <c r="C366" s="26"/>
      <c r="D366" s="26"/>
      <c r="E366" s="26"/>
      <c r="F366" s="28"/>
      <c r="G366" s="26"/>
      <c r="H366" s="26"/>
      <c r="I366" s="27"/>
      <c r="J366" s="27"/>
      <c r="K366" s="27"/>
      <c r="L366" s="27"/>
      <c r="M366" s="27"/>
      <c r="N366" s="26"/>
    </row>
    <row r="367" spans="1:14" s="29" customFormat="1" x14ac:dyDescent="0.2">
      <c r="A367" s="31"/>
      <c r="B367" s="30"/>
      <c r="C367" s="26"/>
      <c r="D367" s="26"/>
      <c r="E367" s="26"/>
      <c r="F367" s="28"/>
      <c r="G367" s="26"/>
      <c r="H367" s="26"/>
      <c r="I367" s="27"/>
      <c r="J367" s="27"/>
      <c r="K367" s="27"/>
      <c r="L367" s="27"/>
      <c r="M367" s="27"/>
      <c r="N367" s="26"/>
    </row>
    <row r="368" spans="1:14" s="29" customFormat="1" x14ac:dyDescent="0.2">
      <c r="A368" s="31"/>
      <c r="B368" s="30"/>
      <c r="C368" s="26"/>
      <c r="D368" s="26"/>
      <c r="E368" s="26"/>
      <c r="F368" s="28"/>
      <c r="G368" s="26"/>
      <c r="H368" s="26"/>
      <c r="I368" s="27"/>
      <c r="J368" s="27"/>
      <c r="K368" s="27"/>
      <c r="L368" s="27"/>
      <c r="M368" s="27"/>
      <c r="N368" s="26"/>
    </row>
    <row r="369" spans="1:14" s="29" customFormat="1" x14ac:dyDescent="0.2">
      <c r="A369" s="31"/>
      <c r="B369" s="30"/>
      <c r="C369" s="26"/>
      <c r="D369" s="26"/>
      <c r="E369" s="26"/>
      <c r="F369" s="28"/>
      <c r="G369" s="26"/>
      <c r="H369" s="26"/>
      <c r="I369" s="27"/>
      <c r="J369" s="27"/>
      <c r="K369" s="27"/>
      <c r="L369" s="27"/>
      <c r="M369" s="27"/>
      <c r="N369" s="26"/>
    </row>
    <row r="370" spans="1:14" s="29" customFormat="1" x14ac:dyDescent="0.2">
      <c r="A370" s="31"/>
      <c r="B370" s="30"/>
      <c r="C370" s="26"/>
      <c r="D370" s="26"/>
      <c r="E370" s="26"/>
      <c r="F370" s="28"/>
      <c r="G370" s="26"/>
      <c r="H370" s="26"/>
      <c r="I370" s="27"/>
      <c r="J370" s="27"/>
      <c r="K370" s="27"/>
      <c r="L370" s="27"/>
      <c r="M370" s="27"/>
      <c r="N370" s="26"/>
    </row>
    <row r="371" spans="1:14" s="29" customFormat="1" x14ac:dyDescent="0.2">
      <c r="A371" s="31"/>
      <c r="B371" s="30"/>
      <c r="C371" s="26"/>
      <c r="D371" s="26"/>
      <c r="E371" s="26"/>
      <c r="F371" s="28"/>
      <c r="G371" s="26"/>
      <c r="H371" s="26"/>
      <c r="I371" s="27"/>
      <c r="J371" s="27"/>
      <c r="K371" s="27"/>
      <c r="L371" s="27"/>
      <c r="M371" s="27"/>
      <c r="N371" s="26"/>
    </row>
    <row r="372" spans="1:14" s="29" customFormat="1" x14ac:dyDescent="0.2">
      <c r="A372" s="31"/>
      <c r="B372" s="30"/>
      <c r="C372" s="26"/>
      <c r="D372" s="26"/>
      <c r="E372" s="26"/>
      <c r="F372" s="28"/>
      <c r="G372" s="26"/>
      <c r="H372" s="26"/>
      <c r="I372" s="27"/>
      <c r="J372" s="27"/>
      <c r="K372" s="27"/>
      <c r="L372" s="27"/>
      <c r="M372" s="27"/>
      <c r="N372" s="26"/>
    </row>
    <row r="373" spans="1:14" s="29" customFormat="1" x14ac:dyDescent="0.2">
      <c r="A373" s="31"/>
      <c r="B373" s="30"/>
      <c r="C373" s="26"/>
      <c r="D373" s="26"/>
      <c r="E373" s="26"/>
      <c r="F373" s="28"/>
      <c r="G373" s="26"/>
      <c r="H373" s="26"/>
      <c r="I373" s="27"/>
      <c r="J373" s="27"/>
      <c r="K373" s="27"/>
      <c r="L373" s="27"/>
      <c r="M373" s="27"/>
      <c r="N373" s="26"/>
    </row>
    <row r="374" spans="1:14" s="29" customFormat="1" x14ac:dyDescent="0.2">
      <c r="A374" s="31"/>
      <c r="B374" s="30"/>
      <c r="C374" s="26"/>
      <c r="D374" s="26"/>
      <c r="E374" s="26"/>
      <c r="F374" s="28"/>
      <c r="G374" s="26"/>
      <c r="H374" s="26"/>
      <c r="I374" s="27"/>
      <c r="J374" s="27"/>
      <c r="K374" s="27"/>
      <c r="L374" s="27"/>
      <c r="M374" s="27"/>
      <c r="N374" s="26"/>
    </row>
    <row r="375" spans="1:14" s="29" customFormat="1" x14ac:dyDescent="0.2">
      <c r="A375" s="31"/>
      <c r="B375" s="30"/>
      <c r="C375" s="26"/>
      <c r="D375" s="26"/>
      <c r="E375" s="26"/>
      <c r="F375" s="28"/>
      <c r="G375" s="26"/>
      <c r="H375" s="26"/>
      <c r="I375" s="27"/>
      <c r="J375" s="27"/>
      <c r="K375" s="27"/>
      <c r="L375" s="27"/>
      <c r="M375" s="27"/>
      <c r="N375" s="26"/>
    </row>
    <row r="376" spans="1:14" s="29" customFormat="1" x14ac:dyDescent="0.2">
      <c r="A376" s="31"/>
      <c r="B376" s="30"/>
      <c r="C376" s="26"/>
      <c r="D376" s="26"/>
      <c r="E376" s="26"/>
      <c r="F376" s="28"/>
      <c r="G376" s="26"/>
      <c r="H376" s="26"/>
      <c r="I376" s="27"/>
      <c r="J376" s="27"/>
      <c r="K376" s="27"/>
      <c r="L376" s="27"/>
      <c r="M376" s="27"/>
      <c r="N376" s="26"/>
    </row>
    <row r="377" spans="1:14" s="29" customFormat="1" x14ac:dyDescent="0.2">
      <c r="A377" s="31"/>
      <c r="B377" s="30"/>
      <c r="C377" s="26"/>
      <c r="D377" s="26"/>
      <c r="E377" s="26"/>
      <c r="F377" s="28"/>
      <c r="G377" s="26"/>
      <c r="H377" s="26"/>
      <c r="I377" s="27"/>
      <c r="J377" s="27"/>
      <c r="K377" s="27"/>
      <c r="L377" s="27"/>
      <c r="M377" s="27"/>
      <c r="N377" s="26"/>
    </row>
    <row r="378" spans="1:14" s="29" customFormat="1" x14ac:dyDescent="0.2">
      <c r="A378" s="31"/>
      <c r="B378" s="30"/>
      <c r="C378" s="26"/>
      <c r="D378" s="26"/>
      <c r="E378" s="26"/>
      <c r="F378" s="28"/>
      <c r="G378" s="26"/>
      <c r="H378" s="26"/>
      <c r="I378" s="27"/>
      <c r="J378" s="27"/>
      <c r="K378" s="27"/>
      <c r="L378" s="27"/>
      <c r="M378" s="27"/>
      <c r="N378" s="26"/>
    </row>
    <row r="379" spans="1:14" s="29" customFormat="1" x14ac:dyDescent="0.2">
      <c r="A379" s="31"/>
      <c r="B379" s="30"/>
      <c r="C379" s="26"/>
      <c r="D379" s="26"/>
      <c r="E379" s="26"/>
      <c r="F379" s="28"/>
      <c r="G379" s="26"/>
      <c r="H379" s="26"/>
      <c r="I379" s="27"/>
      <c r="J379" s="27"/>
      <c r="K379" s="27"/>
      <c r="L379" s="27"/>
      <c r="M379" s="27"/>
      <c r="N379" s="26"/>
    </row>
    <row r="380" spans="1:14" s="29" customFormat="1" x14ac:dyDescent="0.2">
      <c r="A380" s="31"/>
      <c r="B380" s="30"/>
      <c r="C380" s="26"/>
      <c r="D380" s="26"/>
      <c r="E380" s="26"/>
      <c r="F380" s="28"/>
      <c r="G380" s="26"/>
      <c r="H380" s="26"/>
      <c r="I380" s="27"/>
      <c r="J380" s="27"/>
      <c r="K380" s="27"/>
      <c r="L380" s="27"/>
      <c r="M380" s="27"/>
      <c r="N380" s="26"/>
    </row>
    <row r="381" spans="1:14" s="29" customFormat="1" x14ac:dyDescent="0.2">
      <c r="A381" s="31"/>
      <c r="B381" s="30"/>
      <c r="C381" s="26"/>
      <c r="D381" s="26"/>
      <c r="E381" s="26"/>
      <c r="F381" s="28"/>
      <c r="G381" s="26"/>
      <c r="H381" s="26"/>
      <c r="I381" s="27"/>
      <c r="J381" s="27"/>
      <c r="K381" s="27"/>
      <c r="L381" s="27"/>
      <c r="M381" s="27"/>
      <c r="N381" s="26"/>
    </row>
    <row r="382" spans="1:14" s="29" customFormat="1" x14ac:dyDescent="0.2">
      <c r="A382" s="31"/>
      <c r="B382" s="30"/>
      <c r="C382" s="26"/>
      <c r="D382" s="26"/>
      <c r="E382" s="26"/>
      <c r="F382" s="28"/>
      <c r="G382" s="26"/>
      <c r="H382" s="26"/>
      <c r="I382" s="27"/>
      <c r="J382" s="27"/>
      <c r="K382" s="27"/>
      <c r="L382" s="27"/>
      <c r="M382" s="27"/>
      <c r="N382" s="26"/>
    </row>
    <row r="383" spans="1:14" s="29" customFormat="1" x14ac:dyDescent="0.2">
      <c r="A383" s="31"/>
      <c r="B383" s="30"/>
      <c r="C383" s="26"/>
      <c r="D383" s="26"/>
      <c r="E383" s="26"/>
      <c r="F383" s="28"/>
      <c r="G383" s="26"/>
      <c r="H383" s="26"/>
      <c r="I383" s="27"/>
      <c r="J383" s="27"/>
      <c r="K383" s="27"/>
      <c r="L383" s="27"/>
      <c r="M383" s="27"/>
      <c r="N383" s="26"/>
    </row>
    <row r="384" spans="1:14" s="29" customFormat="1" x14ac:dyDescent="0.2">
      <c r="A384" s="31"/>
      <c r="B384" s="30"/>
      <c r="C384" s="26"/>
      <c r="D384" s="26"/>
      <c r="E384" s="26"/>
      <c r="F384" s="28"/>
      <c r="G384" s="26"/>
      <c r="H384" s="26"/>
      <c r="I384" s="27"/>
      <c r="J384" s="27"/>
      <c r="K384" s="27"/>
      <c r="L384" s="27"/>
      <c r="M384" s="27"/>
      <c r="N384" s="26"/>
    </row>
    <row r="385" spans="1:14" s="29" customFormat="1" x14ac:dyDescent="0.2">
      <c r="A385" s="31"/>
      <c r="B385" s="30"/>
      <c r="C385" s="26"/>
      <c r="D385" s="26"/>
      <c r="E385" s="26"/>
      <c r="F385" s="28"/>
      <c r="G385" s="26"/>
      <c r="H385" s="26"/>
      <c r="I385" s="27"/>
      <c r="J385" s="27"/>
      <c r="K385" s="27"/>
      <c r="L385" s="27"/>
      <c r="M385" s="27"/>
      <c r="N385" s="26"/>
    </row>
    <row r="386" spans="1:14" s="29" customFormat="1" x14ac:dyDescent="0.2">
      <c r="A386" s="31"/>
      <c r="B386" s="30"/>
      <c r="C386" s="26"/>
      <c r="D386" s="26"/>
      <c r="E386" s="26"/>
      <c r="F386" s="28"/>
      <c r="G386" s="26"/>
      <c r="H386" s="26"/>
      <c r="I386" s="27"/>
      <c r="J386" s="27"/>
      <c r="K386" s="27"/>
      <c r="L386" s="27"/>
      <c r="M386" s="27"/>
      <c r="N386" s="26"/>
    </row>
    <row r="387" spans="1:14" s="29" customFormat="1" x14ac:dyDescent="0.2">
      <c r="A387" s="31"/>
      <c r="B387" s="30"/>
      <c r="C387" s="26"/>
      <c r="D387" s="26"/>
      <c r="E387" s="26"/>
      <c r="F387" s="28"/>
      <c r="G387" s="26"/>
      <c r="H387" s="26"/>
      <c r="I387" s="27"/>
      <c r="J387" s="27"/>
      <c r="K387" s="27"/>
      <c r="L387" s="27"/>
      <c r="M387" s="27"/>
      <c r="N387" s="26"/>
    </row>
    <row r="388" spans="1:14" s="29" customFormat="1" x14ac:dyDescent="0.2">
      <c r="A388" s="31"/>
      <c r="B388" s="30"/>
      <c r="C388" s="26"/>
      <c r="D388" s="26"/>
      <c r="E388" s="26"/>
      <c r="F388" s="28"/>
      <c r="G388" s="26"/>
      <c r="H388" s="26"/>
      <c r="I388" s="27"/>
      <c r="J388" s="27"/>
      <c r="K388" s="27"/>
      <c r="L388" s="27"/>
      <c r="M388" s="27"/>
      <c r="N388" s="26"/>
    </row>
    <row r="389" spans="1:14" s="29" customFormat="1" x14ac:dyDescent="0.2">
      <c r="A389" s="31"/>
      <c r="B389" s="30"/>
      <c r="C389" s="26"/>
      <c r="D389" s="26"/>
      <c r="E389" s="26"/>
      <c r="F389" s="28"/>
      <c r="G389" s="26"/>
      <c r="H389" s="26"/>
      <c r="I389" s="27"/>
      <c r="J389" s="27"/>
      <c r="K389" s="27"/>
      <c r="L389" s="27"/>
      <c r="M389" s="27"/>
      <c r="N389" s="26"/>
    </row>
    <row r="390" spans="1:14" s="29" customFormat="1" x14ac:dyDescent="0.2">
      <c r="A390" s="31"/>
      <c r="B390" s="30"/>
      <c r="C390" s="26"/>
      <c r="D390" s="26"/>
      <c r="E390" s="26"/>
      <c r="F390" s="28"/>
      <c r="G390" s="26"/>
      <c r="H390" s="26"/>
      <c r="I390" s="27"/>
      <c r="J390" s="27"/>
      <c r="K390" s="27"/>
      <c r="L390" s="27"/>
      <c r="M390" s="27"/>
      <c r="N390" s="26"/>
    </row>
    <row r="391" spans="1:14" s="29" customFormat="1" x14ac:dyDescent="0.2">
      <c r="A391" s="31"/>
      <c r="B391" s="30"/>
      <c r="C391" s="26"/>
      <c r="D391" s="26"/>
      <c r="E391" s="26"/>
      <c r="F391" s="28"/>
      <c r="G391" s="26"/>
      <c r="H391" s="26"/>
      <c r="I391" s="27"/>
      <c r="J391" s="27"/>
      <c r="K391" s="27"/>
      <c r="L391" s="27"/>
      <c r="M391" s="27"/>
      <c r="N391" s="26"/>
    </row>
    <row r="392" spans="1:14" s="29" customFormat="1" x14ac:dyDescent="0.2">
      <c r="A392" s="31"/>
      <c r="B392" s="30"/>
      <c r="C392" s="26"/>
      <c r="D392" s="26"/>
      <c r="E392" s="26"/>
      <c r="F392" s="28"/>
      <c r="G392" s="26"/>
      <c r="H392" s="26"/>
      <c r="I392" s="27"/>
      <c r="J392" s="27"/>
      <c r="K392" s="27"/>
      <c r="L392" s="27"/>
      <c r="M392" s="27"/>
      <c r="N392" s="26"/>
    </row>
    <row r="393" spans="1:14" s="29" customFormat="1" x14ac:dyDescent="0.2">
      <c r="A393" s="31"/>
      <c r="B393" s="30"/>
      <c r="C393" s="26"/>
      <c r="D393" s="26"/>
      <c r="E393" s="26"/>
      <c r="F393" s="28"/>
      <c r="G393" s="26"/>
      <c r="H393" s="26"/>
      <c r="I393" s="27"/>
      <c r="J393" s="27"/>
      <c r="K393" s="27"/>
      <c r="L393" s="27"/>
      <c r="M393" s="27"/>
      <c r="N393" s="26"/>
    </row>
    <row r="394" spans="1:14" s="29" customFormat="1" x14ac:dyDescent="0.2">
      <c r="A394" s="31"/>
      <c r="B394" s="30"/>
      <c r="C394" s="26"/>
      <c r="D394" s="26"/>
      <c r="E394" s="26"/>
      <c r="F394" s="28"/>
      <c r="G394" s="26"/>
      <c r="H394" s="26"/>
      <c r="I394" s="27"/>
      <c r="J394" s="27"/>
      <c r="K394" s="27"/>
      <c r="L394" s="27"/>
      <c r="M394" s="27"/>
      <c r="N394" s="26"/>
    </row>
    <row r="395" spans="1:14" s="29" customFormat="1" x14ac:dyDescent="0.2">
      <c r="A395" s="31"/>
      <c r="B395" s="30"/>
      <c r="C395" s="26"/>
      <c r="D395" s="26"/>
      <c r="E395" s="26"/>
      <c r="F395" s="28"/>
      <c r="G395" s="26"/>
      <c r="H395" s="26"/>
      <c r="I395" s="27"/>
      <c r="J395" s="27"/>
      <c r="K395" s="27"/>
      <c r="L395" s="27"/>
      <c r="M395" s="27"/>
      <c r="N395" s="26"/>
    </row>
    <row r="396" spans="1:14" s="29" customFormat="1" x14ac:dyDescent="0.2">
      <c r="A396" s="31"/>
      <c r="B396" s="30"/>
      <c r="C396" s="26"/>
      <c r="D396" s="26"/>
      <c r="E396" s="26"/>
      <c r="F396" s="28"/>
      <c r="G396" s="26"/>
      <c r="H396" s="26"/>
      <c r="I396" s="27"/>
      <c r="J396" s="27"/>
      <c r="K396" s="27"/>
      <c r="L396" s="27"/>
      <c r="M396" s="27"/>
      <c r="N396" s="26"/>
    </row>
    <row r="397" spans="1:14" s="29" customFormat="1" x14ac:dyDescent="0.2">
      <c r="A397" s="31"/>
      <c r="B397" s="30"/>
      <c r="C397" s="26"/>
      <c r="D397" s="26"/>
      <c r="E397" s="26"/>
      <c r="F397" s="28"/>
      <c r="G397" s="26"/>
      <c r="H397" s="26"/>
      <c r="I397" s="27"/>
      <c r="J397" s="27"/>
      <c r="K397" s="27"/>
      <c r="L397" s="27"/>
      <c r="M397" s="27"/>
      <c r="N397" s="26"/>
    </row>
    <row r="398" spans="1:14" s="29" customFormat="1" x14ac:dyDescent="0.2">
      <c r="A398" s="31"/>
      <c r="B398" s="30"/>
      <c r="C398" s="26"/>
      <c r="D398" s="26"/>
      <c r="E398" s="26"/>
      <c r="F398" s="28"/>
      <c r="G398" s="26"/>
      <c r="H398" s="26"/>
      <c r="I398" s="27"/>
      <c r="J398" s="27"/>
      <c r="K398" s="27"/>
      <c r="L398" s="27"/>
      <c r="M398" s="27"/>
      <c r="N398" s="26"/>
    </row>
    <row r="399" spans="1:14" s="29" customFormat="1" x14ac:dyDescent="0.2">
      <c r="A399" s="31"/>
      <c r="B399" s="30"/>
      <c r="C399" s="26"/>
      <c r="D399" s="26"/>
      <c r="E399" s="26"/>
      <c r="F399" s="28"/>
      <c r="G399" s="26"/>
      <c r="H399" s="26"/>
      <c r="I399" s="27"/>
      <c r="J399" s="27"/>
      <c r="K399" s="27"/>
      <c r="L399" s="27"/>
      <c r="M399" s="27"/>
      <c r="N399" s="26"/>
    </row>
    <row r="400" spans="1:14" s="29" customFormat="1" x14ac:dyDescent="0.2">
      <c r="A400" s="31"/>
      <c r="B400" s="30"/>
      <c r="C400" s="26"/>
      <c r="D400" s="26"/>
      <c r="E400" s="26"/>
      <c r="F400" s="28"/>
      <c r="G400" s="26"/>
      <c r="H400" s="26"/>
      <c r="I400" s="27"/>
      <c r="J400" s="27"/>
      <c r="K400" s="27"/>
      <c r="L400" s="27"/>
      <c r="M400" s="27"/>
      <c r="N400" s="26"/>
    </row>
    <row r="401" spans="1:14" s="29" customFormat="1" x14ac:dyDescent="0.2">
      <c r="A401" s="31"/>
      <c r="B401" s="30"/>
      <c r="C401" s="26"/>
      <c r="D401" s="26"/>
      <c r="E401" s="26"/>
      <c r="F401" s="28"/>
      <c r="G401" s="26"/>
      <c r="H401" s="26"/>
      <c r="I401" s="27"/>
      <c r="J401" s="27"/>
      <c r="K401" s="27"/>
      <c r="L401" s="27"/>
      <c r="M401" s="27"/>
      <c r="N401" s="26"/>
    </row>
    <row r="402" spans="1:14" s="29" customFormat="1" x14ac:dyDescent="0.2">
      <c r="A402" s="31"/>
      <c r="B402" s="30"/>
      <c r="C402" s="26"/>
      <c r="D402" s="26"/>
      <c r="E402" s="26"/>
      <c r="F402" s="28"/>
      <c r="G402" s="26"/>
      <c r="H402" s="26"/>
      <c r="I402" s="27"/>
      <c r="J402" s="27"/>
      <c r="K402" s="27"/>
      <c r="L402" s="27"/>
      <c r="M402" s="27"/>
      <c r="N402" s="26"/>
    </row>
    <row r="403" spans="1:14" s="29" customFormat="1" x14ac:dyDescent="0.2">
      <c r="A403" s="31"/>
      <c r="B403" s="30"/>
      <c r="C403" s="26"/>
      <c r="D403" s="26"/>
      <c r="E403" s="26"/>
      <c r="F403" s="28"/>
      <c r="G403" s="26"/>
      <c r="H403" s="26"/>
      <c r="I403" s="27"/>
      <c r="J403" s="27"/>
      <c r="K403" s="27"/>
      <c r="L403" s="27"/>
      <c r="M403" s="27"/>
      <c r="N403" s="26"/>
    </row>
    <row r="404" spans="1:14" s="29" customFormat="1" x14ac:dyDescent="0.2">
      <c r="A404" s="31"/>
      <c r="B404" s="30"/>
      <c r="C404" s="26"/>
      <c r="D404" s="26"/>
      <c r="E404" s="26"/>
      <c r="F404" s="28"/>
      <c r="G404" s="26"/>
      <c r="H404" s="26"/>
      <c r="I404" s="27"/>
      <c r="J404" s="27"/>
      <c r="K404" s="27"/>
      <c r="L404" s="27"/>
      <c r="M404" s="27"/>
      <c r="N404" s="26"/>
    </row>
    <row r="405" spans="1:14" s="29" customFormat="1" x14ac:dyDescent="0.2">
      <c r="A405" s="31"/>
      <c r="B405" s="30"/>
      <c r="C405" s="26"/>
      <c r="D405" s="26"/>
      <c r="E405" s="26"/>
      <c r="F405" s="28"/>
      <c r="G405" s="26"/>
      <c r="H405" s="26"/>
      <c r="I405" s="27"/>
      <c r="J405" s="27"/>
      <c r="K405" s="27"/>
      <c r="L405" s="27"/>
      <c r="M405" s="27"/>
      <c r="N405" s="26"/>
    </row>
    <row r="406" spans="1:14" s="29" customFormat="1" x14ac:dyDescent="0.2">
      <c r="A406" s="31"/>
      <c r="B406" s="30"/>
      <c r="C406" s="26"/>
      <c r="D406" s="26"/>
      <c r="E406" s="26"/>
      <c r="F406" s="28"/>
      <c r="G406" s="26"/>
      <c r="H406" s="26"/>
      <c r="I406" s="27"/>
      <c r="J406" s="27"/>
      <c r="K406" s="27"/>
      <c r="L406" s="27"/>
      <c r="M406" s="27"/>
      <c r="N406" s="26"/>
    </row>
    <row r="407" spans="1:14" s="29" customFormat="1" x14ac:dyDescent="0.2">
      <c r="A407" s="31"/>
      <c r="B407" s="30"/>
      <c r="C407" s="26"/>
      <c r="D407" s="26"/>
      <c r="E407" s="26"/>
      <c r="F407" s="28"/>
      <c r="G407" s="26"/>
      <c r="H407" s="26"/>
      <c r="I407" s="27"/>
      <c r="J407" s="27"/>
      <c r="K407" s="27"/>
      <c r="L407" s="27"/>
      <c r="M407" s="27"/>
      <c r="N407" s="26"/>
    </row>
    <row r="408" spans="1:14" s="29" customFormat="1" x14ac:dyDescent="0.2">
      <c r="A408" s="31"/>
      <c r="B408" s="30"/>
      <c r="C408" s="26"/>
      <c r="D408" s="26"/>
      <c r="E408" s="26"/>
      <c r="F408" s="28"/>
      <c r="G408" s="26"/>
      <c r="H408" s="26"/>
      <c r="I408" s="27"/>
      <c r="J408" s="27"/>
      <c r="K408" s="27"/>
      <c r="L408" s="27"/>
      <c r="M408" s="27"/>
      <c r="N408" s="26"/>
    </row>
    <row r="409" spans="1:14" s="29" customFormat="1" x14ac:dyDescent="0.2">
      <c r="A409" s="31"/>
      <c r="B409" s="30"/>
      <c r="C409" s="26"/>
      <c r="D409" s="26"/>
      <c r="E409" s="26"/>
      <c r="F409" s="28"/>
      <c r="G409" s="26"/>
      <c r="H409" s="26"/>
      <c r="I409" s="27"/>
      <c r="J409" s="27"/>
      <c r="K409" s="27"/>
      <c r="L409" s="27"/>
      <c r="M409" s="27"/>
      <c r="N409" s="26"/>
    </row>
    <row r="410" spans="1:14" s="29" customFormat="1" x14ac:dyDescent="0.2">
      <c r="A410" s="31"/>
      <c r="B410" s="30"/>
      <c r="C410" s="26"/>
      <c r="D410" s="26"/>
      <c r="E410" s="26"/>
      <c r="F410" s="28"/>
      <c r="G410" s="26"/>
      <c r="H410" s="26"/>
      <c r="I410" s="27"/>
      <c r="J410" s="27"/>
      <c r="K410" s="27"/>
      <c r="L410" s="27"/>
      <c r="M410" s="27"/>
      <c r="N410" s="26"/>
    </row>
    <row r="411" spans="1:14" s="29" customFormat="1" x14ac:dyDescent="0.2">
      <c r="A411" s="31"/>
      <c r="B411" s="30"/>
      <c r="C411" s="26"/>
      <c r="D411" s="26"/>
      <c r="E411" s="26"/>
      <c r="F411" s="28"/>
      <c r="G411" s="26"/>
      <c r="H411" s="26"/>
      <c r="I411" s="27"/>
      <c r="J411" s="27"/>
      <c r="K411" s="27"/>
      <c r="L411" s="27"/>
      <c r="M411" s="27"/>
      <c r="N411" s="26"/>
    </row>
    <row r="412" spans="1:14" s="29" customFormat="1" x14ac:dyDescent="0.2">
      <c r="A412" s="31"/>
      <c r="B412" s="30"/>
      <c r="C412" s="26"/>
      <c r="D412" s="26"/>
      <c r="E412" s="26"/>
      <c r="F412" s="28"/>
      <c r="G412" s="26"/>
      <c r="H412" s="26"/>
      <c r="I412" s="27"/>
      <c r="J412" s="27"/>
      <c r="K412" s="27"/>
      <c r="L412" s="27"/>
      <c r="M412" s="27"/>
      <c r="N412" s="26"/>
    </row>
    <row r="413" spans="1:14" s="29" customFormat="1" x14ac:dyDescent="0.2">
      <c r="A413" s="31"/>
      <c r="B413" s="30"/>
      <c r="C413" s="26"/>
      <c r="D413" s="26"/>
      <c r="E413" s="26"/>
      <c r="F413" s="28"/>
      <c r="G413" s="26"/>
      <c r="H413" s="26"/>
      <c r="I413" s="27"/>
      <c r="J413" s="27"/>
      <c r="K413" s="27"/>
      <c r="L413" s="27"/>
      <c r="M413" s="27"/>
      <c r="N413" s="26"/>
    </row>
    <row r="414" spans="1:14" s="29" customFormat="1" x14ac:dyDescent="0.2">
      <c r="A414" s="31"/>
      <c r="B414" s="30"/>
      <c r="C414" s="26"/>
      <c r="D414" s="26"/>
      <c r="E414" s="26"/>
      <c r="F414" s="28"/>
      <c r="G414" s="26"/>
      <c r="H414" s="26"/>
      <c r="I414" s="27"/>
      <c r="J414" s="27"/>
      <c r="K414" s="27"/>
      <c r="L414" s="27"/>
      <c r="M414" s="27"/>
      <c r="N414" s="26"/>
    </row>
    <row r="415" spans="1:14" s="29" customFormat="1" x14ac:dyDescent="0.2">
      <c r="A415" s="31"/>
      <c r="B415" s="30"/>
      <c r="C415" s="26"/>
      <c r="D415" s="26"/>
      <c r="E415" s="26"/>
      <c r="F415" s="28"/>
      <c r="G415" s="26"/>
      <c r="H415" s="26"/>
      <c r="I415" s="27"/>
      <c r="J415" s="27"/>
      <c r="K415" s="27"/>
      <c r="L415" s="27"/>
      <c r="M415" s="27"/>
      <c r="N415" s="26"/>
    </row>
    <row r="416" spans="1:14" s="29" customFormat="1" x14ac:dyDescent="0.2">
      <c r="A416" s="31"/>
      <c r="B416" s="30"/>
      <c r="C416" s="26"/>
      <c r="D416" s="26"/>
      <c r="E416" s="26"/>
      <c r="F416" s="28"/>
      <c r="G416" s="26"/>
      <c r="H416" s="26"/>
      <c r="I416" s="27"/>
      <c r="J416" s="27"/>
      <c r="K416" s="27"/>
      <c r="L416" s="27"/>
      <c r="M416" s="27"/>
      <c r="N416" s="26"/>
    </row>
    <row r="417" spans="1:14" s="29" customFormat="1" x14ac:dyDescent="0.2">
      <c r="A417" s="31"/>
      <c r="B417" s="30"/>
      <c r="C417" s="26"/>
      <c r="D417" s="26"/>
      <c r="E417" s="26"/>
      <c r="F417" s="28"/>
      <c r="G417" s="26"/>
      <c r="H417" s="26"/>
      <c r="I417" s="27"/>
      <c r="J417" s="27"/>
      <c r="K417" s="27"/>
      <c r="L417" s="27"/>
      <c r="M417" s="27"/>
      <c r="N417" s="26"/>
    </row>
    <row r="418" spans="1:14" s="29" customFormat="1" x14ac:dyDescent="0.2">
      <c r="A418" s="31"/>
      <c r="B418" s="30"/>
      <c r="C418" s="26"/>
      <c r="D418" s="26"/>
      <c r="E418" s="26"/>
      <c r="F418" s="28"/>
      <c r="G418" s="26"/>
      <c r="H418" s="26"/>
      <c r="I418" s="27"/>
      <c r="J418" s="27"/>
      <c r="K418" s="27"/>
      <c r="L418" s="27"/>
      <c r="M418" s="27"/>
      <c r="N418" s="26"/>
    </row>
    <row r="419" spans="1:14" s="29" customFormat="1" x14ac:dyDescent="0.2">
      <c r="A419" s="31"/>
      <c r="B419" s="30"/>
      <c r="C419" s="26"/>
      <c r="D419" s="26"/>
      <c r="E419" s="26"/>
      <c r="F419" s="28"/>
      <c r="G419" s="26"/>
      <c r="H419" s="26"/>
      <c r="I419" s="27"/>
      <c r="J419" s="27"/>
      <c r="K419" s="27"/>
      <c r="L419" s="27"/>
      <c r="M419" s="27"/>
      <c r="N419" s="26"/>
    </row>
    <row r="420" spans="1:14" s="29" customFormat="1" x14ac:dyDescent="0.2">
      <c r="A420" s="31"/>
      <c r="B420" s="30"/>
      <c r="C420" s="26"/>
      <c r="D420" s="26"/>
      <c r="E420" s="26"/>
      <c r="F420" s="28"/>
      <c r="G420" s="26"/>
      <c r="H420" s="26"/>
      <c r="I420" s="27"/>
      <c r="J420" s="27"/>
      <c r="K420" s="27"/>
      <c r="L420" s="27"/>
      <c r="M420" s="27"/>
      <c r="N420" s="26"/>
    </row>
    <row r="421" spans="1:14" s="29" customFormat="1" x14ac:dyDescent="0.2">
      <c r="A421" s="31"/>
      <c r="B421" s="30"/>
      <c r="C421" s="26"/>
      <c r="D421" s="26"/>
      <c r="E421" s="26"/>
      <c r="F421" s="28"/>
      <c r="G421" s="26"/>
      <c r="H421" s="26"/>
      <c r="I421" s="27"/>
      <c r="J421" s="27"/>
      <c r="K421" s="27"/>
      <c r="L421" s="27"/>
      <c r="M421" s="27"/>
      <c r="N421" s="26"/>
    </row>
    <row r="422" spans="1:14" s="29" customFormat="1" x14ac:dyDescent="0.2">
      <c r="A422" s="31"/>
      <c r="B422" s="30"/>
      <c r="C422" s="26"/>
      <c r="D422" s="26"/>
      <c r="E422" s="26"/>
      <c r="F422" s="28"/>
      <c r="G422" s="26"/>
      <c r="H422" s="26"/>
      <c r="I422" s="27"/>
      <c r="J422" s="27"/>
      <c r="K422" s="27"/>
      <c r="L422" s="27"/>
      <c r="M422" s="27"/>
      <c r="N422" s="26"/>
    </row>
    <row r="423" spans="1:14" s="29" customFormat="1" x14ac:dyDescent="0.2">
      <c r="A423" s="31"/>
      <c r="B423" s="30"/>
      <c r="C423" s="26"/>
      <c r="D423" s="26"/>
      <c r="E423" s="26"/>
      <c r="F423" s="28"/>
      <c r="G423" s="26"/>
      <c r="H423" s="26"/>
      <c r="I423" s="27"/>
      <c r="J423" s="27"/>
      <c r="K423" s="27"/>
      <c r="L423" s="27"/>
      <c r="M423" s="27"/>
      <c r="N423" s="26"/>
    </row>
    <row r="424" spans="1:14" s="29" customFormat="1" x14ac:dyDescent="0.2">
      <c r="A424" s="31"/>
      <c r="B424" s="30"/>
      <c r="C424" s="26"/>
      <c r="D424" s="26"/>
      <c r="E424" s="26"/>
      <c r="F424" s="28"/>
      <c r="G424" s="26"/>
      <c r="H424" s="26"/>
      <c r="I424" s="27"/>
      <c r="J424" s="27"/>
      <c r="K424" s="27"/>
      <c r="L424" s="27"/>
      <c r="M424" s="27"/>
      <c r="N424" s="26"/>
    </row>
    <row r="425" spans="1:14" s="29" customFormat="1" x14ac:dyDescent="0.2">
      <c r="A425" s="31"/>
      <c r="B425" s="30"/>
      <c r="C425" s="26"/>
      <c r="D425" s="26"/>
      <c r="E425" s="26"/>
      <c r="F425" s="28"/>
      <c r="G425" s="26"/>
      <c r="H425" s="26"/>
      <c r="I425" s="27"/>
      <c r="J425" s="27"/>
      <c r="K425" s="27"/>
      <c r="L425" s="27"/>
      <c r="M425" s="27"/>
      <c r="N425" s="26"/>
    </row>
    <row r="426" spans="1:14" s="29" customFormat="1" x14ac:dyDescent="0.2">
      <c r="A426" s="31"/>
      <c r="B426" s="30"/>
      <c r="C426" s="26"/>
      <c r="D426" s="26"/>
      <c r="E426" s="26"/>
      <c r="F426" s="28"/>
      <c r="G426" s="26"/>
      <c r="H426" s="26"/>
      <c r="I426" s="27"/>
      <c r="J426" s="27"/>
      <c r="K426" s="27"/>
      <c r="L426" s="27"/>
      <c r="M426" s="27"/>
      <c r="N426" s="26"/>
    </row>
    <row r="427" spans="1:14" s="29" customFormat="1" x14ac:dyDescent="0.2">
      <c r="A427" s="31"/>
      <c r="B427" s="30"/>
      <c r="C427" s="26"/>
      <c r="D427" s="26"/>
      <c r="E427" s="26"/>
      <c r="F427" s="28"/>
      <c r="G427" s="26"/>
      <c r="H427" s="26"/>
      <c r="I427" s="27"/>
      <c r="J427" s="27"/>
      <c r="K427" s="27"/>
      <c r="L427" s="27"/>
      <c r="M427" s="27"/>
      <c r="N427" s="26"/>
    </row>
    <row r="428" spans="1:14" s="29" customFormat="1" x14ac:dyDescent="0.2">
      <c r="A428" s="31"/>
      <c r="B428" s="30"/>
      <c r="C428" s="26"/>
      <c r="D428" s="26"/>
      <c r="E428" s="26"/>
      <c r="F428" s="28"/>
      <c r="G428" s="26"/>
      <c r="H428" s="26"/>
      <c r="I428" s="27"/>
      <c r="J428" s="27"/>
      <c r="K428" s="27"/>
      <c r="L428" s="27"/>
      <c r="M428" s="27"/>
      <c r="N428" s="26"/>
    </row>
    <row r="429" spans="1:14" s="29" customFormat="1" x14ac:dyDescent="0.2">
      <c r="A429" s="31"/>
      <c r="B429" s="30"/>
      <c r="C429" s="26"/>
      <c r="D429" s="26"/>
      <c r="E429" s="26"/>
      <c r="F429" s="28"/>
      <c r="G429" s="26"/>
      <c r="H429" s="26"/>
      <c r="I429" s="27"/>
      <c r="J429" s="27"/>
      <c r="K429" s="27"/>
      <c r="L429" s="27"/>
      <c r="M429" s="27"/>
      <c r="N429" s="26"/>
    </row>
    <row r="430" spans="1:14" s="29" customFormat="1" x14ac:dyDescent="0.2">
      <c r="A430" s="31"/>
      <c r="B430" s="30"/>
      <c r="C430" s="26"/>
      <c r="D430" s="26"/>
      <c r="E430" s="26"/>
      <c r="F430" s="28"/>
      <c r="G430" s="26"/>
      <c r="H430" s="26"/>
      <c r="I430" s="27"/>
      <c r="J430" s="27"/>
      <c r="K430" s="27"/>
      <c r="L430" s="27"/>
      <c r="M430" s="27"/>
      <c r="N430" s="26"/>
    </row>
    <row r="431" spans="1:14" s="29" customFormat="1" x14ac:dyDescent="0.2">
      <c r="A431" s="31"/>
      <c r="B431" s="30"/>
      <c r="C431" s="26"/>
      <c r="D431" s="26"/>
      <c r="E431" s="26"/>
      <c r="F431" s="28"/>
      <c r="G431" s="26"/>
      <c r="H431" s="26"/>
      <c r="I431" s="27"/>
      <c r="J431" s="27"/>
      <c r="K431" s="27"/>
      <c r="L431" s="27"/>
      <c r="M431" s="27"/>
      <c r="N431" s="26"/>
    </row>
    <row r="432" spans="1:14" s="29" customFormat="1" x14ac:dyDescent="0.2">
      <c r="A432" s="31"/>
      <c r="B432" s="30"/>
      <c r="C432" s="26"/>
      <c r="D432" s="26"/>
      <c r="E432" s="26"/>
      <c r="F432" s="28"/>
      <c r="G432" s="26"/>
      <c r="H432" s="26"/>
      <c r="I432" s="27"/>
      <c r="J432" s="27"/>
      <c r="K432" s="27"/>
      <c r="L432" s="27"/>
      <c r="M432" s="27"/>
      <c r="N432" s="26"/>
    </row>
    <row r="433" spans="1:14" s="29" customFormat="1" x14ac:dyDescent="0.2">
      <c r="A433" s="31"/>
      <c r="B433" s="30"/>
      <c r="C433" s="26"/>
      <c r="D433" s="26"/>
      <c r="E433" s="26"/>
      <c r="F433" s="28"/>
      <c r="G433" s="26"/>
      <c r="H433" s="26"/>
      <c r="I433" s="27"/>
      <c r="J433" s="27"/>
      <c r="K433" s="27"/>
      <c r="L433" s="27"/>
      <c r="M433" s="27"/>
      <c r="N433" s="26"/>
    </row>
    <row r="434" spans="1:14" s="29" customFormat="1" x14ac:dyDescent="0.2">
      <c r="A434" s="31"/>
      <c r="B434" s="30"/>
      <c r="C434" s="26"/>
      <c r="D434" s="26"/>
      <c r="E434" s="26"/>
      <c r="F434" s="28"/>
      <c r="G434" s="26"/>
      <c r="H434" s="26"/>
      <c r="I434" s="27"/>
      <c r="J434" s="27"/>
      <c r="K434" s="27"/>
      <c r="L434" s="27"/>
      <c r="M434" s="27"/>
      <c r="N434" s="26"/>
    </row>
    <row r="435" spans="1:14" s="29" customFormat="1" x14ac:dyDescent="0.2">
      <c r="A435" s="31"/>
      <c r="B435" s="30"/>
      <c r="C435" s="26"/>
      <c r="D435" s="26"/>
      <c r="E435" s="26"/>
      <c r="F435" s="28"/>
      <c r="G435" s="26"/>
      <c r="H435" s="26"/>
      <c r="I435" s="27"/>
      <c r="J435" s="27"/>
      <c r="K435" s="27"/>
      <c r="L435" s="27"/>
      <c r="M435" s="27"/>
      <c r="N435" s="26"/>
    </row>
    <row r="436" spans="1:14" s="29" customFormat="1" x14ac:dyDescent="0.2">
      <c r="A436" s="31"/>
      <c r="B436" s="30"/>
      <c r="C436" s="26"/>
      <c r="D436" s="26"/>
      <c r="E436" s="26"/>
      <c r="F436" s="28"/>
      <c r="G436" s="26"/>
      <c r="H436" s="26"/>
      <c r="I436" s="27"/>
      <c r="J436" s="27"/>
      <c r="K436" s="27"/>
      <c r="L436" s="27"/>
      <c r="M436" s="27"/>
      <c r="N436" s="26"/>
    </row>
    <row r="437" spans="1:14" s="29" customFormat="1" x14ac:dyDescent="0.2">
      <c r="A437" s="31"/>
      <c r="B437" s="30"/>
      <c r="C437" s="26"/>
      <c r="D437" s="26"/>
      <c r="E437" s="26"/>
      <c r="F437" s="28"/>
      <c r="G437" s="26"/>
      <c r="H437" s="26"/>
      <c r="I437" s="27"/>
      <c r="J437" s="27"/>
      <c r="K437" s="27"/>
      <c r="L437" s="27"/>
      <c r="M437" s="27"/>
      <c r="N437" s="26"/>
    </row>
    <row r="438" spans="1:14" s="29" customFormat="1" x14ac:dyDescent="0.2">
      <c r="A438" s="31"/>
      <c r="B438" s="30"/>
      <c r="C438" s="26"/>
      <c r="D438" s="26"/>
      <c r="E438" s="26"/>
      <c r="F438" s="28"/>
      <c r="G438" s="26"/>
      <c r="H438" s="26"/>
      <c r="I438" s="27"/>
      <c r="J438" s="27"/>
      <c r="K438" s="27"/>
      <c r="L438" s="27"/>
      <c r="M438" s="27"/>
      <c r="N438" s="26"/>
    </row>
    <row r="439" spans="1:14" s="29" customFormat="1" x14ac:dyDescent="0.2">
      <c r="A439" s="31"/>
      <c r="B439" s="30"/>
      <c r="C439" s="26"/>
      <c r="D439" s="26"/>
      <c r="E439" s="26"/>
      <c r="F439" s="28"/>
      <c r="G439" s="26"/>
      <c r="H439" s="26"/>
      <c r="I439" s="27"/>
      <c r="J439" s="27"/>
      <c r="K439" s="27"/>
      <c r="L439" s="27"/>
      <c r="M439" s="27"/>
      <c r="N439" s="26"/>
    </row>
    <row r="440" spans="1:14" s="29" customFormat="1" x14ac:dyDescent="0.2">
      <c r="A440" s="31"/>
      <c r="B440" s="30"/>
      <c r="C440" s="26"/>
      <c r="D440" s="26"/>
      <c r="E440" s="26"/>
      <c r="F440" s="28"/>
      <c r="G440" s="26"/>
      <c r="H440" s="26"/>
      <c r="I440" s="27"/>
      <c r="J440" s="27"/>
      <c r="K440" s="27"/>
      <c r="L440" s="27"/>
      <c r="M440" s="27"/>
      <c r="N440" s="26"/>
    </row>
    <row r="441" spans="1:14" s="29" customFormat="1" x14ac:dyDescent="0.2">
      <c r="A441" s="31"/>
      <c r="B441" s="30"/>
      <c r="C441" s="26"/>
      <c r="D441" s="26"/>
      <c r="E441" s="26"/>
      <c r="F441" s="28"/>
      <c r="G441" s="26"/>
      <c r="H441" s="26"/>
      <c r="I441" s="27"/>
      <c r="J441" s="27"/>
      <c r="K441" s="27"/>
      <c r="L441" s="27"/>
      <c r="M441" s="27"/>
      <c r="N441" s="26"/>
    </row>
    <row r="442" spans="1:14" s="29" customFormat="1" x14ac:dyDescent="0.2">
      <c r="A442" s="31"/>
      <c r="B442" s="30"/>
      <c r="C442" s="26"/>
      <c r="D442" s="26"/>
      <c r="E442" s="26"/>
      <c r="F442" s="28"/>
      <c r="G442" s="26"/>
      <c r="H442" s="26"/>
      <c r="I442" s="27"/>
      <c r="J442" s="27"/>
      <c r="K442" s="27"/>
      <c r="L442" s="27"/>
      <c r="M442" s="27"/>
      <c r="N442" s="26"/>
    </row>
    <row r="443" spans="1:14" s="29" customFormat="1" x14ac:dyDescent="0.2">
      <c r="A443" s="31"/>
      <c r="B443" s="30"/>
      <c r="C443" s="26"/>
      <c r="D443" s="26"/>
      <c r="E443" s="26"/>
      <c r="F443" s="28"/>
      <c r="G443" s="26"/>
      <c r="H443" s="26"/>
      <c r="I443" s="27"/>
      <c r="J443" s="27"/>
      <c r="K443" s="27"/>
      <c r="L443" s="27"/>
      <c r="M443" s="27"/>
      <c r="N443" s="26"/>
    </row>
    <row r="444" spans="1:14" s="29" customFormat="1" x14ac:dyDescent="0.2">
      <c r="A444" s="31"/>
      <c r="B444" s="30"/>
      <c r="C444" s="26"/>
      <c r="D444" s="26"/>
      <c r="E444" s="26"/>
      <c r="F444" s="28"/>
      <c r="G444" s="26"/>
      <c r="H444" s="26"/>
      <c r="I444" s="27"/>
      <c r="J444" s="27"/>
      <c r="K444" s="27"/>
      <c r="L444" s="27"/>
      <c r="M444" s="27"/>
      <c r="N444" s="26"/>
    </row>
    <row r="445" spans="1:14" s="29" customFormat="1" x14ac:dyDescent="0.2">
      <c r="A445" s="31"/>
      <c r="B445" s="30"/>
      <c r="C445" s="26"/>
      <c r="D445" s="26"/>
      <c r="E445" s="26"/>
      <c r="F445" s="28"/>
      <c r="G445" s="26"/>
      <c r="H445" s="26"/>
      <c r="I445" s="27"/>
      <c r="J445" s="27"/>
      <c r="K445" s="27"/>
      <c r="L445" s="27"/>
      <c r="M445" s="27"/>
      <c r="N445" s="26"/>
    </row>
    <row r="446" spans="1:14" s="29" customFormat="1" x14ac:dyDescent="0.2">
      <c r="A446" s="31"/>
      <c r="B446" s="30"/>
      <c r="C446" s="26"/>
      <c r="D446" s="26"/>
      <c r="E446" s="26"/>
      <c r="F446" s="28"/>
      <c r="G446" s="26"/>
      <c r="H446" s="26"/>
      <c r="I446" s="27"/>
      <c r="J446" s="27"/>
      <c r="K446" s="27"/>
      <c r="L446" s="27"/>
      <c r="M446" s="27"/>
      <c r="N446" s="26"/>
    </row>
    <row r="447" spans="1:14" s="29" customFormat="1" x14ac:dyDescent="0.2">
      <c r="A447" s="31"/>
      <c r="B447" s="30"/>
      <c r="C447" s="26"/>
      <c r="D447" s="26"/>
      <c r="E447" s="26"/>
      <c r="F447" s="28"/>
      <c r="G447" s="26"/>
      <c r="H447" s="26"/>
      <c r="I447" s="27"/>
      <c r="J447" s="27"/>
      <c r="K447" s="27"/>
      <c r="L447" s="27"/>
      <c r="M447" s="27"/>
      <c r="N447" s="26"/>
    </row>
    <row r="448" spans="1:14" s="29" customFormat="1" x14ac:dyDescent="0.2">
      <c r="A448" s="31"/>
      <c r="B448" s="30"/>
      <c r="C448" s="26"/>
      <c r="D448" s="26"/>
      <c r="E448" s="26"/>
      <c r="F448" s="28"/>
      <c r="G448" s="26"/>
      <c r="H448" s="26"/>
      <c r="I448" s="27"/>
      <c r="J448" s="27"/>
      <c r="K448" s="27"/>
      <c r="L448" s="27"/>
      <c r="M448" s="27"/>
      <c r="N448" s="26"/>
    </row>
    <row r="449" spans="1:14" s="29" customFormat="1" x14ac:dyDescent="0.2">
      <c r="A449" s="31"/>
      <c r="B449" s="30"/>
      <c r="C449" s="26"/>
      <c r="D449" s="26"/>
      <c r="E449" s="26"/>
      <c r="F449" s="28"/>
      <c r="G449" s="26"/>
      <c r="H449" s="26"/>
      <c r="I449" s="27"/>
      <c r="J449" s="27"/>
      <c r="K449" s="27"/>
      <c r="L449" s="27"/>
      <c r="M449" s="27"/>
      <c r="N449" s="26"/>
    </row>
    <row r="450" spans="1:14" s="29" customFormat="1" x14ac:dyDescent="0.2">
      <c r="A450" s="31"/>
      <c r="B450" s="30"/>
      <c r="C450" s="26"/>
      <c r="D450" s="26"/>
      <c r="E450" s="26"/>
      <c r="F450" s="28"/>
      <c r="G450" s="26"/>
      <c r="H450" s="26"/>
      <c r="I450" s="27"/>
      <c r="J450" s="27"/>
      <c r="K450" s="27"/>
      <c r="L450" s="27"/>
      <c r="M450" s="27"/>
      <c r="N450" s="26"/>
    </row>
    <row r="451" spans="1:14" s="29" customFormat="1" x14ac:dyDescent="0.2">
      <c r="A451" s="31"/>
      <c r="B451" s="30"/>
      <c r="C451" s="26"/>
      <c r="D451" s="26"/>
      <c r="E451" s="26"/>
      <c r="F451" s="28"/>
      <c r="G451" s="26"/>
      <c r="H451" s="26"/>
      <c r="I451" s="27"/>
      <c r="J451" s="27"/>
      <c r="K451" s="27"/>
      <c r="L451" s="27"/>
      <c r="M451" s="27"/>
      <c r="N451" s="26"/>
    </row>
    <row r="452" spans="1:14" s="29" customFormat="1" x14ac:dyDescent="0.2">
      <c r="A452" s="31"/>
      <c r="B452" s="30"/>
      <c r="C452" s="26"/>
      <c r="D452" s="26"/>
      <c r="E452" s="26"/>
      <c r="F452" s="28"/>
      <c r="G452" s="26"/>
      <c r="H452" s="26"/>
      <c r="I452" s="27"/>
      <c r="J452" s="27"/>
      <c r="K452" s="27"/>
      <c r="L452" s="27"/>
      <c r="M452" s="27"/>
      <c r="N452" s="26"/>
    </row>
    <row r="453" spans="1:14" s="29" customFormat="1" x14ac:dyDescent="0.2">
      <c r="A453" s="31"/>
      <c r="B453" s="30"/>
      <c r="C453" s="26"/>
      <c r="D453" s="26"/>
      <c r="E453" s="26"/>
      <c r="F453" s="28"/>
      <c r="G453" s="26"/>
      <c r="H453" s="26"/>
      <c r="I453" s="27"/>
      <c r="J453" s="27"/>
      <c r="K453" s="27"/>
      <c r="L453" s="27"/>
      <c r="M453" s="27"/>
      <c r="N453" s="26"/>
    </row>
    <row r="454" spans="1:14" s="29" customFormat="1" x14ac:dyDescent="0.2">
      <c r="A454" s="31"/>
      <c r="B454" s="30"/>
      <c r="C454" s="26"/>
      <c r="D454" s="26"/>
      <c r="E454" s="26"/>
      <c r="F454" s="28"/>
      <c r="G454" s="26"/>
      <c r="H454" s="26"/>
      <c r="I454" s="27"/>
      <c r="J454" s="27"/>
      <c r="K454" s="27"/>
      <c r="L454" s="27"/>
      <c r="M454" s="27"/>
      <c r="N454" s="26"/>
    </row>
    <row r="455" spans="1:14" s="29" customFormat="1" x14ac:dyDescent="0.2">
      <c r="A455" s="31"/>
      <c r="B455" s="30"/>
      <c r="C455" s="26"/>
      <c r="D455" s="26"/>
      <c r="E455" s="26"/>
      <c r="F455" s="28"/>
      <c r="G455" s="26"/>
      <c r="H455" s="26"/>
      <c r="I455" s="27"/>
      <c r="J455" s="27"/>
      <c r="K455" s="27"/>
      <c r="L455" s="27"/>
      <c r="M455" s="27"/>
      <c r="N455" s="26"/>
    </row>
    <row r="456" spans="1:14" s="29" customFormat="1" x14ac:dyDescent="0.2">
      <c r="A456" s="31"/>
      <c r="B456" s="30"/>
      <c r="C456" s="26"/>
      <c r="D456" s="26"/>
      <c r="E456" s="26"/>
      <c r="F456" s="28"/>
      <c r="G456" s="26"/>
      <c r="H456" s="26"/>
      <c r="I456" s="27"/>
      <c r="J456" s="27"/>
      <c r="K456" s="27"/>
      <c r="L456" s="27"/>
      <c r="M456" s="27"/>
      <c r="N456" s="26"/>
    </row>
  </sheetData>
  <hyperlinks>
    <hyperlink ref="F29" location="EN_A0001" display="EN_A0001"/>
    <hyperlink ref="F30" location="EN_01001" display="EN_01001"/>
    <hyperlink ref="F31" location="EN_01002" display="EN_01002"/>
    <hyperlink ref="F32" location="EN_01003" display="EN_01003"/>
    <hyperlink ref="F33" location="EN_01004" display="EN_01004"/>
    <hyperlink ref="F34" location="EN_01005" display="EN_01005"/>
    <hyperlink ref="F35" location="EN_01006" display="EN_01006"/>
    <hyperlink ref="F36" location="EN_A0002" display="EN_A0002"/>
    <hyperlink ref="F37" location="EN_02001" display="EN_02001"/>
    <hyperlink ref="F38" location="EN_02002" display="EN_02002"/>
    <hyperlink ref="F39" location="EN_02003" display="EN_02003"/>
    <hyperlink ref="F40" location="EN_02004" display="EN_02004"/>
    <hyperlink ref="F41" location="EN_02005" display="EN_02005"/>
    <hyperlink ref="F42" location="EN_02006" display="EN_02006"/>
    <hyperlink ref="F43" location="EN_02007" display="EN_02007"/>
    <hyperlink ref="F44" location="EN_02008" display="EN_02008"/>
    <hyperlink ref="F45" location="EN_A0003" display="EN_A0003"/>
    <hyperlink ref="F46" location="EN_03001" display="EN_03001"/>
    <hyperlink ref="F47" location="En_03002" display="En_03002"/>
    <hyperlink ref="F48" location="EN_03003" display="EN_03003"/>
    <hyperlink ref="F49" location="EN_03004" display="EN_03004"/>
    <hyperlink ref="F50" location="EN_03005" display="EN_03005"/>
    <hyperlink ref="F51" location="EN_03006" display="EN_03006"/>
    <hyperlink ref="F52" location="EN_A0004" display="EN_A0004"/>
    <hyperlink ref="F53" location="EN_04001" display="EN_04001"/>
    <hyperlink ref="F54" location="EN_04002" display="EN_04002"/>
    <hyperlink ref="F55" location="EN_04003" display="EN_04003"/>
    <hyperlink ref="F56" location="EN_04004" display="EN_04004"/>
    <hyperlink ref="F57" location="EN_04005" display="EN_04005"/>
    <hyperlink ref="F58" location="EN_04006" display="EN_04006"/>
    <hyperlink ref="F59" location="EN_A0005" display="EN_A0005"/>
    <hyperlink ref="F60" location="EN_05001" display="EN_05001"/>
    <hyperlink ref="F61" location="EN_05002" display="EN_05002"/>
    <hyperlink ref="F62" location="EN_05003" display="EN_05003"/>
    <hyperlink ref="F63" location="EN_05004" display="EN_05004"/>
    <hyperlink ref="F64" location="EN_05005" display="EN_05005"/>
    <hyperlink ref="F65" location="EN_05006" display="EN_05006"/>
    <hyperlink ref="F66" location="EN_A0006" display="EN_A0006"/>
    <hyperlink ref="F67" location="EN_06001" display="EN_06001"/>
    <hyperlink ref="F68" location="EN_06002" display="EN_06002"/>
    <hyperlink ref="F69" location="EN_06003" display="EN_06003"/>
    <hyperlink ref="F70" location="EN_06004" display="EN_06004"/>
    <hyperlink ref="F71" location="EN_06005" display="EN_06005"/>
    <hyperlink ref="F72" location="EN_06006" display="EN_06006"/>
    <hyperlink ref="F73" location="EN_06007" display="EN_06007"/>
    <hyperlink ref="F74" location="EN_06008" display="EN_06008"/>
    <hyperlink ref="F75" location="EN_06009" display="EN_06009"/>
    <hyperlink ref="F76" location="EN_A0007" display="EN_A0007"/>
    <hyperlink ref="F77" location="EN_07001" display="EN_07001"/>
    <hyperlink ref="F78" location="EN_07002" display="EN_07002"/>
    <hyperlink ref="F79" location="EN_A0008" display="EN_A0008"/>
    <hyperlink ref="F80" location="EN_08001" display="EN_08001"/>
    <hyperlink ref="F81" location="EN_08002" display="EN_08002"/>
    <hyperlink ref="F82" location="EN_08003" display="EN_08003"/>
    <hyperlink ref="F83" location="EN_08004" display="EN_08004"/>
    <hyperlink ref="F84" location="EN_08005" display="EN_08005"/>
    <hyperlink ref="F85" location="EN_08006" display="EN_08006"/>
    <hyperlink ref="F86" location="EN_A0007" display="EN_A0007"/>
    <hyperlink ref="F87" location="EN_08008" display="EN_08008"/>
    <hyperlink ref="F88" location="EN_A0009" display="EN_A0009"/>
    <hyperlink ref="F89" location="EN_09001" display="EN_09001"/>
    <hyperlink ref="F90" location="EN_09002" display="EN_09002"/>
    <hyperlink ref="F91" location="EN_09003" display="EN_09003"/>
    <hyperlink ref="F92" location="EN_09004" display="EN_09004"/>
    <hyperlink ref="F93" location="EN_09005" display="EN_09005"/>
    <hyperlink ref="F94" location="EN_09006" display="EN_09006"/>
    <hyperlink ref="F95" location="EN_A0010" display="EN_A0010"/>
    <hyperlink ref="F96" location="EN_10001" display="EN_10001"/>
    <hyperlink ref="F97" location="EN_10002" display="EN_10002"/>
    <hyperlink ref="F98" location="EN_10003" display="EN_10003"/>
    <hyperlink ref="F99" location="EN_10004" display="EN_10004"/>
    <hyperlink ref="F100" location="EN_10005" display="EN_10005"/>
    <hyperlink ref="F101" location="EN_10006" display="EN_10006"/>
    <hyperlink ref="F102" location="EN_10007" display="EN_10007"/>
    <hyperlink ref="F103" location="EN_10008" display="EN_10008"/>
    <hyperlink ref="F104" location="EN_A0011" display="EN_A0011"/>
    <hyperlink ref="F105" location="EN_11001" display="EN_11001"/>
    <hyperlink ref="F106" location="EN_11002" display="EN_11002"/>
    <hyperlink ref="F107" location="EN_11003" display="EN_11003"/>
    <hyperlink ref="F108" location="EN_11004" display="EN_11004"/>
    <hyperlink ref="F109" location="EN_A0012" display="EN_A0012"/>
    <hyperlink ref="F110" location="EN_12001" display="EN_12001"/>
    <hyperlink ref="F111" location="EN_12002" display="EN_12002"/>
    <hyperlink ref="F112" location="EN_12003" display="EN_12003"/>
    <hyperlink ref="F113" location="EN_12004" display="EN_12004"/>
    <hyperlink ref="F114" location="EN_12005" display="EN_12005"/>
    <hyperlink ref="F115" location="EN_12006" display="EN_12006"/>
    <hyperlink ref="F321" location="WT_A0001" display="WT_A0001"/>
    <hyperlink ref="F323" location="WT_01002" display="WT_01002"/>
    <hyperlink ref="F322" location="WT_01001" display="WT_01001"/>
    <hyperlink ref="F324" location="WT_01003" display="WT_01003"/>
    <hyperlink ref="F325" location="WT_A0002" display="WT_A0002"/>
    <hyperlink ref="F326" location="WT_02001" display="WT_02001"/>
    <hyperlink ref="F327" location="WT_02002" display="WT_02002"/>
    <hyperlink ref="F328" location="WT_02003" display="WT_02003"/>
    <hyperlink ref="F329" location="WT_A0003" display="WT_A0003"/>
    <hyperlink ref="F330" location="WT_03001" display="WT_03001"/>
    <hyperlink ref="F331" location="WT_03002" display="WT_03002"/>
    <hyperlink ref="F332" location="WT_03003" display="WT_03003"/>
    <hyperlink ref="F206" location="ST_A0001" display="ST_A0001"/>
    <hyperlink ref="F212" location="ST_A0002" display="ST_A0002"/>
    <hyperlink ref="F213" location="ST_02001" display="ST_02001"/>
    <hyperlink ref="F220" location="ST_A0003" display="ST_A0003"/>
    <hyperlink ref="F221" location="ST_03001" display="ST_03001"/>
    <hyperlink ref="F214:F219" location="EL_02001" display="EL_02001"/>
    <hyperlink ref="F222:F223" location="EL_02001" display="EL_02001"/>
    <hyperlink ref="F224" location="ST_A0004" display="ST_A0004"/>
    <hyperlink ref="F225" location="ST_04001" display="ST_04001"/>
    <hyperlink ref="F226:F228" location="EL_02001" display="EL_02001"/>
    <hyperlink ref="F229" location="ST_A0005" display="ST_A0005"/>
    <hyperlink ref="F230" location="ST_05001" display="ST_05001"/>
    <hyperlink ref="F231:F233" location="EL_02001" display="EL_02001"/>
    <hyperlink ref="F207" location="ST_01001" display="ST_01001"/>
    <hyperlink ref="F208" location="ST_01002" display="ST_01002"/>
    <hyperlink ref="F209" location="ST_01003" display="ST_01003"/>
    <hyperlink ref="F210" location="ST_01004" display="ST_01004"/>
    <hyperlink ref="F211" location="ST_01005" display="ST_01005"/>
    <hyperlink ref="F214" location="ST_02002" display="ST_02002"/>
    <hyperlink ref="F215" location="ST_02003" display="ST_02003"/>
    <hyperlink ref="F216" location="ST_02004" display="ST_02004"/>
    <hyperlink ref="F217" location="ST_02005" display="ST_02005"/>
    <hyperlink ref="F218" location="ST_02006" display="ST_02006"/>
    <hyperlink ref="F219" location="ST_02007" display="ST_02007"/>
    <hyperlink ref="F222" location="ST_03002" display="ST_03002"/>
    <hyperlink ref="F223" location="ST_03003" display="ST_03003"/>
    <hyperlink ref="F226" location="ST_04002" display="ST_04002"/>
    <hyperlink ref="F227" location="ST_04003" display="ST_04003"/>
    <hyperlink ref="F228" location="ST_04004" display="ST_04004"/>
    <hyperlink ref="F231" location="ST_05002" display="ST_05002"/>
    <hyperlink ref="F232" location="ST_05003" display="ST_05003"/>
    <hyperlink ref="F233" location="ST_05004" display="ST_05004"/>
    <hyperlink ref="F117" location="FR_A0001" display="FR_A0001"/>
    <hyperlink ref="F124:F126" location="EL_A0001" display="EL_A0001"/>
    <hyperlink ref="F125" location="FR_01008" display="FR_01008"/>
    <hyperlink ref="F126:F131" location="EL_A0001" display="EL_A0001"/>
    <hyperlink ref="F129:F137" location="EL_A0001" display="EL_A0001"/>
    <hyperlink ref="F153:F154" location="EL_A0001" display="EL_A0001"/>
    <hyperlink ref="F154:F157" location="EL_A0001" display="EL_A0001"/>
    <hyperlink ref="F158:F160" location="EL_A0001" display="EL_A0001"/>
    <hyperlink ref="F161:F164" location="EL_A0001" display="EL_A0001"/>
    <hyperlink ref="F135:F141" location="EL_A0001" display="EL_A0001"/>
    <hyperlink ref="F142:F145" location="EL_A0001" display="EL_A0001"/>
    <hyperlink ref="F143:F147" location="EL_A0001" display="EL_A0001"/>
    <hyperlink ref="F148:F151" location="EL_A0001" display="EL_A0001"/>
    <hyperlink ref="F118" location="FR_01001" display="FR_01001"/>
    <hyperlink ref="F119" location="FR_01002" display="FR_01002"/>
    <hyperlink ref="F120" location="FR_01003" display="FR_01003"/>
    <hyperlink ref="F121" location="FR_01004" display="FR_01004"/>
    <hyperlink ref="F122" location="FR_01005" display="FR_01005"/>
    <hyperlink ref="F123" location="FR_01006" display="FR_01006"/>
    <hyperlink ref="F124" location="FR_01007" display="FR_01007"/>
    <hyperlink ref="F126" location="FR_01009" display="FR_01009"/>
    <hyperlink ref="F127" location="FR_A0002" display="FR_A0002"/>
    <hyperlink ref="F128" location="FR_02001" display="FR_02001"/>
    <hyperlink ref="F129" location="FR_A0003" display="FR_A0003"/>
    <hyperlink ref="F130" location="FR_03001" display="FR_03001"/>
    <hyperlink ref="F131" location="FR_03002" display="FR_03002"/>
    <hyperlink ref="F132" location="FR_03003" display="FR_03003"/>
    <hyperlink ref="F133" location="FR_A0004" display="FR_A0004"/>
    <hyperlink ref="F134" location="FR_04001" display="FR_04001"/>
    <hyperlink ref="F135" location="FR_04002" display="FR_04002"/>
    <hyperlink ref="F136" location="FR_04003" display="FR_04003"/>
    <hyperlink ref="F137" location="FR_04004" display="FR_04004"/>
    <hyperlink ref="F138" location="FR_04005" display="FR_04005"/>
    <hyperlink ref="F139" location="FR_04006" display="FR_04006"/>
    <hyperlink ref="F140" location="FR_04007" display="FR_04007"/>
    <hyperlink ref="F141" location="FR_04008" display="FR_04008"/>
    <hyperlink ref="F142" location="FR_04009" display="FR_04009"/>
    <hyperlink ref="F143" location="FR_04010" display="FR_04010"/>
    <hyperlink ref="F144" location="FR_04011" display="FR_04011"/>
    <hyperlink ref="F145" location="FR_04012" display="FR_04012"/>
    <hyperlink ref="F146" location="FR_04013" display="FR_04013"/>
    <hyperlink ref="F147" location="FR_04014" display="FR_04014"/>
    <hyperlink ref="F148" location="FR_04015" display="FR_04015"/>
    <hyperlink ref="F149" location="FR_04016" display="FR_04016"/>
    <hyperlink ref="F150" location="FR_04017" display="FR_04017"/>
    <hyperlink ref="F151" location="FR_04018" display="FR_04018"/>
    <hyperlink ref="F152" location="FR_04019" display="FR_04019"/>
    <hyperlink ref="F153" location="FR_A0005" display="FR_A0005"/>
    <hyperlink ref="F154" location="FR_05001" display="FR_05001"/>
    <hyperlink ref="F155" location="FR_05002" display="FR_05002"/>
    <hyperlink ref="F156" location="FR_05003" display="FR_05003"/>
    <hyperlink ref="F157" location="FR_05004" display="FR_05004"/>
    <hyperlink ref="F158" location="FR_05005" display="FR_05005"/>
    <hyperlink ref="F159" location="FR_A0006" display="FR_A0006"/>
    <hyperlink ref="F160" location="FR_06001" display="FR_06001"/>
    <hyperlink ref="F161" location="FR_06002" display="FR_06002"/>
    <hyperlink ref="F162" location="FR_06003" display="FR_06003"/>
    <hyperlink ref="F163" location="FR_06004" display="FR_06004"/>
    <hyperlink ref="F164" location="FR_06005" display="FR_06005"/>
    <hyperlink ref="F7" location="BR_A0001" display="BR_A0001"/>
    <hyperlink ref="F14" location="BR_A0002" display="BR_A0002"/>
    <hyperlink ref="F8" location="BR_01001" display="BR_01001"/>
    <hyperlink ref="F15" location="BR_02001" display="BR_02001"/>
    <hyperlink ref="F9" location="BR_01002" display="BR_01002"/>
    <hyperlink ref="F10" location="BR_01001" display="BR_01001"/>
    <hyperlink ref="F11" location="BR_01002" display="BR_01002"/>
    <hyperlink ref="F12" location="BR_01002" display="BR_01002"/>
    <hyperlink ref="F13" location="BR_01002" display="BR_01002"/>
    <hyperlink ref="F16:F20" location="EL_02001" display="EL_02001"/>
    <hyperlink ref="F16" location="BR_02002" display="BR_02002"/>
    <hyperlink ref="F17" location="BR_02003" display="BR_02003"/>
    <hyperlink ref="F18" location="BR_02004" display="BR_02004"/>
    <hyperlink ref="F19" location="BR_02005" display="BR_02005"/>
    <hyperlink ref="F20" location="BR_02006" display="BR_02006"/>
    <hyperlink ref="F21" location="BR_A0003" display="BR_A0003"/>
    <hyperlink ref="F22" location="BR_03001" display="BR_03001"/>
    <hyperlink ref="F23" location="BR_03002" display="BR_03002"/>
    <hyperlink ref="F24" location="BR_03003" display="BR_03003"/>
    <hyperlink ref="F25" location="BR_03004" display="BR_03004"/>
    <hyperlink ref="F26" location="BR_03005" display="BR_03005"/>
    <hyperlink ref="F27" location="BR_03006" display="BR_03006"/>
    <hyperlink ref="F172" location="EL_A0002" display="EL_A0002"/>
    <hyperlink ref="F167" location="EL_01001" display="EL_01001"/>
    <hyperlink ref="F173" location="EL_02001" display="EL_02001"/>
    <hyperlink ref="F174" location="EL_02002" display="EL_02002"/>
    <hyperlink ref="F178" location="EL_A0003" display="EL_A0003"/>
    <hyperlink ref="F179" location="EL_02001" display="EL_02001"/>
    <hyperlink ref="F180" location="EL_A0004" display="EL_A0004"/>
    <hyperlink ref="F181" location="EL_02001" display="EL_02001"/>
    <hyperlink ref="F182" location="EL_A0005" display="EL_A0005"/>
    <hyperlink ref="F183" location="EL_A0006" display="EL_A0006"/>
    <hyperlink ref="F168:F169" location="EL_01001" display="EL_01001"/>
    <hyperlink ref="F175:F177" location="EL_02002" display="EL_02002"/>
    <hyperlink ref="F168" location="EL_01002" display="EL_01002"/>
    <hyperlink ref="F169" location="EL_01003" display="EL_01003"/>
    <hyperlink ref="F175" location="EL_02003" display="EL_02003"/>
    <hyperlink ref="F176" location="EL_02004" display="EL_02004"/>
    <hyperlink ref="F177" location="EL_02005" display="EL_02005"/>
    <hyperlink ref="F170" location="EL_01004" display="EL_01004"/>
    <hyperlink ref="F171" location="EL_01005" display="EL_01005"/>
    <hyperlink ref="F185" location="MS_A0001" display="MS_A0001"/>
    <hyperlink ref="F186" location="MS_01001" display="MS_01001"/>
    <hyperlink ref="F187" location="MS_01002" display="MS_01002"/>
    <hyperlink ref="F188" location="MS_01003" display="MS_01003"/>
    <hyperlink ref="F189" location="MS_01004" display="MS_01004"/>
    <hyperlink ref="F190" location="MS_01005" display="MS_01005"/>
    <hyperlink ref="F191" location="MS_01006" display="MS_01006"/>
    <hyperlink ref="F192" location="MS_01007" display="MS_01007"/>
    <hyperlink ref="F193" location="MS_A0002" display="MS_A0002"/>
    <hyperlink ref="F194" location="FR_02001" display="FR_02001"/>
    <hyperlink ref="F195" location="MS_A0003" display="MS_A0003"/>
    <hyperlink ref="F196" location="MS_03001" display="MS_03001"/>
    <hyperlink ref="F197" location="MS_03002" display="MS_03002"/>
    <hyperlink ref="F198" location="MS_03003" display="MS_03003"/>
    <hyperlink ref="F199" location="MS_A0004" display="MS_A0004"/>
    <hyperlink ref="F200" location="MS_04001" display="MS_04001"/>
    <hyperlink ref="F201" location="MS_A0005" display="MS_A0005"/>
    <hyperlink ref="F202" location="MS_05001" display="MS_05001"/>
    <hyperlink ref="F203" location="MS_05002" display="MS_05002"/>
    <hyperlink ref="F204" location="MS_05003" display="MS_05003"/>
    <hyperlink ref="F235" location="SU_A0001" display="SU_A0001"/>
    <hyperlink ref="F236" location="SU_01001" display="SU_01001"/>
    <hyperlink ref="F244" location="SU_A0002" display="SU_A0002"/>
    <hyperlink ref="F245" location="SU_02001" display="SU_02001"/>
    <hyperlink ref="F247" location="SU_02003" display="SU_02003"/>
    <hyperlink ref="F246" location="SU_02002" display="SU_02002"/>
    <hyperlink ref="F249" location="SU_02005" display="SU_02005"/>
    <hyperlink ref="F248" location="SU_02004" display="SU_02004"/>
    <hyperlink ref="F250" location="SU_02006" display="SU_02006"/>
    <hyperlink ref="F251" location="SU_02007" display="SU_02007"/>
    <hyperlink ref="F252" location="SU_02008" display="SU_02008"/>
    <hyperlink ref="F271" location="SU_A0005" display="SU_A0005"/>
    <hyperlink ref="F272" location="SU_05001" display="SU_05001"/>
    <hyperlink ref="F273" location="SU_05002" display="SU_05002"/>
    <hyperlink ref="F274" location="SU_05003" display="SU_05003"/>
    <hyperlink ref="F275" location="SU_05004" display="SU_05004"/>
    <hyperlink ref="F283" location="SU_A0007" display="SU_A0007"/>
    <hyperlink ref="F284" location="SU_07001" display="SU_07001"/>
    <hyperlink ref="F285" location="SU_07002" display="SU_07002"/>
    <hyperlink ref="F286" location="SU_07003" display="SU_07003"/>
    <hyperlink ref="F287" location="SU_07004" display="SU_07004"/>
    <hyperlink ref="F307" location="SU_A0011" display="SU_A0011"/>
    <hyperlink ref="F308" location="SU_11001" display="SU_11001"/>
    <hyperlink ref="F309" location="SU_11002" display="SU_11002"/>
    <hyperlink ref="F310" location="SU_11003" display="SU_11003"/>
    <hyperlink ref="F311" location="SU_11004" display="SU_11004"/>
    <hyperlink ref="F312" location="SU_11005" display="SU_11005"/>
    <hyperlink ref="F313" location="SU_11006" display="SU_11006"/>
    <hyperlink ref="F253" location="SU_A0003" display="SU_A0003"/>
    <hyperlink ref="F254" location="SU_03001" display="SU_03001"/>
    <hyperlink ref="F256" location="SU_03003" display="SU_03003"/>
    <hyperlink ref="F255" location="SU_03002" display="SU_03002"/>
    <hyperlink ref="F258" location="SU_03005" display="SU_03005"/>
    <hyperlink ref="F257" location="SU_03004" display="SU_03004"/>
    <hyperlink ref="F259" location="SU_03006" display="SU_03006"/>
    <hyperlink ref="F260" location="SU_03007" display="SU_03007"/>
    <hyperlink ref="F261" location="SU_03008" display="SU_03008"/>
    <hyperlink ref="F262" location="SU_A0004" display="SU_A0004"/>
    <hyperlink ref="F263" location="SU_04001" display="SU_04001"/>
    <hyperlink ref="F265" location="SU_04003" display="SU_04003"/>
    <hyperlink ref="F264" location="SU_04002" display="SU_04002"/>
    <hyperlink ref="F267" location="SU_04005" display="SU_04005"/>
    <hyperlink ref="F266" location="SU_04004" display="SU_04004"/>
    <hyperlink ref="F268" location="SU_04006" display="SU_04006"/>
    <hyperlink ref="F269" location="SU_04007" display="SU_04007"/>
    <hyperlink ref="F270" location="SU_04008" display="SU_04008"/>
    <hyperlink ref="F314" location="SU_A0012" display="SU_A0012"/>
    <hyperlink ref="F315" location="SU_12001" display="SU_12001"/>
    <hyperlink ref="F316" location="SU_12002" display="SU_12002"/>
    <hyperlink ref="F317" location="SU_12003" display="SU_12003"/>
    <hyperlink ref="F318" location="SU_12004" display="SU_12004"/>
    <hyperlink ref="F319" location="SU_12005" display="SU_12005"/>
    <hyperlink ref="F277" location="SU_06001" display="SU_06001"/>
    <hyperlink ref="F278" location="SU_06002" display="SU_06002"/>
    <hyperlink ref="F279" location="SU_06003" display="SU_06003"/>
    <hyperlink ref="F280" location="SU_06004" display="SU_06004"/>
    <hyperlink ref="F281" location="SU_06005" display="SU_06005"/>
    <hyperlink ref="F282" location="SU_06006" display="SU_06006"/>
    <hyperlink ref="F288" location="SU_A0008" display="SU_A0008"/>
    <hyperlink ref="F289" location="SU_08001" display="SU_08001"/>
    <hyperlink ref="F290" location="SU_08002" display="SU_08002"/>
    <hyperlink ref="F291" location="SU_08003" display="SU_08003"/>
    <hyperlink ref="F292" location="SU_08004" display="SU_08004"/>
    <hyperlink ref="F293" location="SU_08005" display="SU_08005"/>
    <hyperlink ref="F294" location="SU_08006" display="SU_08006"/>
    <hyperlink ref="F295" location="SU_A0009" display="SU_A0009"/>
    <hyperlink ref="F296" location="SU_09001" display="SU_09001"/>
    <hyperlink ref="F297" location="SU_09002" display="SU_09002"/>
    <hyperlink ref="F298" location="SU_09003" display="SU_09003"/>
    <hyperlink ref="F299" location="SU_A0010" display="SU_A0010"/>
    <hyperlink ref="F300" location="SU_10001" display="SU_10001"/>
    <hyperlink ref="F301" location="SU_10002" display="SU_10002"/>
    <hyperlink ref="F302" location="SU_10003" display="SU_10003"/>
    <hyperlink ref="F303" location="SU_10004" display="SU_10004"/>
    <hyperlink ref="F304" location="SU_10005" display="SU_10005"/>
    <hyperlink ref="F305" location="SU_10006" display="SU_10006"/>
    <hyperlink ref="F306" location="SU_10007" display="SU_10007"/>
    <hyperlink ref="F276" location="SU_A0006" display="SU_A0006"/>
    <hyperlink ref="F243" location="SU_01008" display="SU_01008"/>
    <hyperlink ref="F242" location="SU_01007" display="SU_01007"/>
    <hyperlink ref="F241" location="SU_01006" display="SU_01006"/>
    <hyperlink ref="F239" location="SU_01004" display="SU_01004"/>
    <hyperlink ref="F240" location="SU_01005" display="SU_01005"/>
    <hyperlink ref="F237" location="SU_01002" display="SU_01002"/>
    <hyperlink ref="F238" location="SU_01003" display="SU_01003"/>
    <hyperlink ref="F166" location="EL_A0001" display="EL_A0001"/>
  </hyperlinks>
  <pageMargins left="0.41" right="0.22" top="0.72" bottom="0.57999999999999996" header="0.5" footer="0.26"/>
  <pageSetup paperSize="9" scale="57" fitToHeight="0" orientation="landscape" r:id="rId1"/>
  <headerFooter alignWithMargins="0"/>
  <rowBreaks count="7" manualBreakCount="7">
    <brk id="28" max="16383" man="1"/>
    <brk id="78" max="16383" man="1"/>
    <brk id="116" max="16383" man="1"/>
    <brk id="165" max="16383" man="1"/>
    <brk id="205" max="16383" man="1"/>
    <brk id="234" max="16383" man="1"/>
    <brk id="287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AA621"/>
  <sheetViews>
    <sheetView zoomScale="80" zoomScaleNormal="80" workbookViewId="0"/>
  </sheetViews>
  <sheetFormatPr baseColWidth="10" defaultColWidth="9.140625" defaultRowHeight="15" x14ac:dyDescent="0.25"/>
  <cols>
    <col min="1" max="1" width="11.7109375" style="89" customWidth="1"/>
    <col min="2" max="2" width="36.85546875" style="89" customWidth="1"/>
    <col min="3" max="3" width="36.28515625" style="89" customWidth="1"/>
    <col min="4" max="4" width="10.5703125" style="89" customWidth="1"/>
    <col min="5" max="5" width="11.140625" style="89" customWidth="1"/>
    <col min="6" max="6" width="9.140625" style="89"/>
    <col min="7" max="7" width="9.85546875" style="89" customWidth="1"/>
    <col min="8" max="8" width="10.28515625" style="89" customWidth="1"/>
    <col min="9" max="9" width="9.140625" style="89"/>
    <col min="10" max="10" width="10.5703125" style="89" customWidth="1"/>
    <col min="11" max="12" width="9.140625" style="89"/>
    <col min="13" max="13" width="15" style="89" customWidth="1"/>
    <col min="14" max="14" width="12" style="89" customWidth="1"/>
    <col min="15" max="15" width="5.28515625" style="89" customWidth="1"/>
    <col min="16" max="16" width="4.85546875" style="89" customWidth="1"/>
    <col min="17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1367" t="s">
        <v>57</v>
      </c>
      <c r="B2" s="133" t="s">
        <v>127</v>
      </c>
      <c r="C2" s="94"/>
      <c r="D2" s="94"/>
      <c r="E2" s="94"/>
      <c r="F2" s="94"/>
      <c r="G2" s="94"/>
      <c r="H2" s="94"/>
      <c r="I2" s="94"/>
      <c r="J2" s="1367" t="s">
        <v>51</v>
      </c>
      <c r="K2" s="138">
        <v>81</v>
      </c>
      <c r="L2" s="94"/>
      <c r="M2" s="1367" t="s">
        <v>126</v>
      </c>
      <c r="N2" s="137">
        <f>SU_A0001_m+SU_A0001_p+SU_A0001_f+SU_A0001_t+E18</f>
        <v>108.80431295608511</v>
      </c>
      <c r="O2" s="93"/>
    </row>
    <row r="3" spans="1:15" x14ac:dyDescent="0.25">
      <c r="A3" s="1367" t="s">
        <v>125</v>
      </c>
      <c r="B3" s="133" t="s">
        <v>5</v>
      </c>
      <c r="C3" s="94"/>
      <c r="D3" s="94"/>
      <c r="E3" s="94"/>
      <c r="F3" s="94"/>
      <c r="G3" s="94"/>
      <c r="H3" s="94"/>
      <c r="I3" s="94"/>
      <c r="J3" s="94"/>
      <c r="K3" s="94"/>
      <c r="L3" s="94"/>
      <c r="M3" s="1367" t="s">
        <v>124</v>
      </c>
      <c r="N3" s="136">
        <v>2</v>
      </c>
      <c r="O3" s="93"/>
    </row>
    <row r="4" spans="1:15" x14ac:dyDescent="0.25">
      <c r="A4" s="1367" t="s">
        <v>123</v>
      </c>
      <c r="B4" s="94" t="s">
        <v>2486</v>
      </c>
      <c r="C4" s="94"/>
      <c r="D4" s="94"/>
      <c r="E4" s="94"/>
      <c r="F4" s="94"/>
      <c r="G4" s="94"/>
      <c r="H4" s="94"/>
      <c r="I4" s="94"/>
      <c r="J4" s="1373" t="s">
        <v>122</v>
      </c>
      <c r="K4" s="94"/>
      <c r="L4" s="94"/>
      <c r="M4" s="94"/>
      <c r="N4" s="94"/>
      <c r="O4" s="93"/>
    </row>
    <row r="5" spans="1:15" x14ac:dyDescent="0.25">
      <c r="A5" s="1367" t="s">
        <v>121</v>
      </c>
      <c r="B5" s="135" t="s">
        <v>2485</v>
      </c>
      <c r="C5" s="94"/>
      <c r="D5" s="94"/>
      <c r="E5" s="94"/>
      <c r="F5" s="94"/>
      <c r="G5" s="94"/>
      <c r="H5" s="94"/>
      <c r="I5" s="94"/>
      <c r="J5" s="1373" t="s">
        <v>119</v>
      </c>
      <c r="K5" s="94"/>
      <c r="L5" s="94"/>
      <c r="M5" s="1367" t="s">
        <v>118</v>
      </c>
      <c r="N5" s="100">
        <f>N2*N3</f>
        <v>217.60862591217023</v>
      </c>
      <c r="O5" s="93"/>
    </row>
    <row r="6" spans="1:15" x14ac:dyDescent="0.25">
      <c r="A6" s="1367" t="s">
        <v>117</v>
      </c>
      <c r="B6" s="133" t="s">
        <v>23</v>
      </c>
      <c r="C6" s="94"/>
      <c r="D6" s="94"/>
      <c r="E6" s="94"/>
      <c r="F6" s="94"/>
      <c r="G6" s="94"/>
      <c r="H6" s="94"/>
      <c r="I6" s="94"/>
      <c r="J6" s="1373" t="s">
        <v>116</v>
      </c>
      <c r="K6" s="94"/>
      <c r="L6" s="94"/>
      <c r="M6" s="94"/>
      <c r="N6" s="94"/>
      <c r="O6" s="93"/>
    </row>
    <row r="7" spans="1:15" x14ac:dyDescent="0.25">
      <c r="A7" s="1367" t="s">
        <v>115</v>
      </c>
      <c r="B7" s="133"/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107"/>
      <c r="B8" s="94"/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1367" t="s">
        <v>67</v>
      </c>
      <c r="B9" s="1367" t="s">
        <v>114</v>
      </c>
      <c r="C9" s="1367" t="s">
        <v>113</v>
      </c>
      <c r="D9" s="1367" t="s">
        <v>40</v>
      </c>
      <c r="E9" s="1367" t="s">
        <v>58</v>
      </c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129">
        <v>10</v>
      </c>
      <c r="B10" s="132" t="str">
        <f>'SU Parts'!B5</f>
        <v>Simple Insert</v>
      </c>
      <c r="C10" s="100">
        <f>'SU Parts'!N2</f>
        <v>3.8023183829599998</v>
      </c>
      <c r="D10" s="127">
        <f>'SU Parts'!N3</f>
        <v>2</v>
      </c>
      <c r="E10" s="100">
        <f t="shared" ref="E10:E17" si="0">C10*D10</f>
        <v>7.6046367659199996</v>
      </c>
      <c r="F10" s="94"/>
      <c r="G10" s="94"/>
      <c r="H10" s="94"/>
      <c r="I10" s="94"/>
      <c r="J10" s="94"/>
      <c r="K10" s="94"/>
      <c r="L10" s="94"/>
      <c r="M10" s="94"/>
      <c r="N10" s="94"/>
      <c r="O10" s="93"/>
    </row>
    <row r="11" spans="1:15" x14ac:dyDescent="0.25">
      <c r="A11" s="282">
        <v>20</v>
      </c>
      <c r="B11" s="1446" t="s">
        <v>2484</v>
      </c>
      <c r="C11" s="100">
        <f>'SU Parts'!N25</f>
        <v>11.981299999999999</v>
      </c>
      <c r="D11" s="127">
        <f>'SU Parts'!N26</f>
        <v>1</v>
      </c>
      <c r="E11" s="100">
        <f t="shared" si="0"/>
        <v>11.981299999999999</v>
      </c>
      <c r="F11" s="99"/>
      <c r="G11" s="99"/>
      <c r="H11" s="99"/>
      <c r="I11" s="99"/>
      <c r="J11" s="99"/>
      <c r="K11" s="99"/>
      <c r="L11" s="99"/>
      <c r="M11" s="99"/>
      <c r="N11" s="99"/>
      <c r="O11" s="93"/>
    </row>
    <row r="12" spans="1:15" x14ac:dyDescent="0.25">
      <c r="A12" s="129">
        <v>30</v>
      </c>
      <c r="B12" s="132" t="s">
        <v>2462</v>
      </c>
      <c r="C12" s="100">
        <f>'SU Parts'!N54</f>
        <v>0.46433106400000002</v>
      </c>
      <c r="D12" s="127">
        <f>'SU Parts'!N55</f>
        <v>2</v>
      </c>
      <c r="E12" s="100">
        <f t="shared" si="0"/>
        <v>0.92866212800000003</v>
      </c>
      <c r="F12" s="99"/>
      <c r="G12" s="99"/>
      <c r="H12" s="99"/>
      <c r="I12" s="99"/>
      <c r="J12" s="99"/>
      <c r="K12" s="99"/>
      <c r="L12" s="99"/>
      <c r="M12" s="99"/>
      <c r="N12" s="99"/>
      <c r="O12" s="131"/>
    </row>
    <row r="13" spans="1:15" s="254" customFormat="1" x14ac:dyDescent="0.25">
      <c r="A13" s="129">
        <v>40</v>
      </c>
      <c r="B13" s="132" t="s">
        <v>2477</v>
      </c>
      <c r="C13" s="100">
        <f>'SU Parts'!N72</f>
        <v>12.904405983885434</v>
      </c>
      <c r="D13" s="127">
        <f>'SU Parts'!N73</f>
        <v>1</v>
      </c>
      <c r="E13" s="100">
        <f t="shared" si="0"/>
        <v>12.904405983885434</v>
      </c>
      <c r="F13" s="99"/>
      <c r="G13" s="99"/>
      <c r="H13" s="99"/>
      <c r="I13" s="99"/>
      <c r="J13" s="99"/>
      <c r="K13" s="99"/>
      <c r="L13" s="99"/>
      <c r="M13" s="99"/>
      <c r="N13" s="99"/>
      <c r="O13" s="131"/>
    </row>
    <row r="14" spans="1:15" s="254" customFormat="1" x14ac:dyDescent="0.25">
      <c r="A14" s="282">
        <v>50</v>
      </c>
      <c r="B14" s="132" t="s">
        <v>2476</v>
      </c>
      <c r="C14" s="100">
        <f>'SU Parts'!N93</f>
        <v>13.300246658237745</v>
      </c>
      <c r="D14" s="127">
        <f>'SU Parts'!N94</f>
        <v>1</v>
      </c>
      <c r="E14" s="100">
        <f t="shared" si="0"/>
        <v>13.300246658237745</v>
      </c>
      <c r="F14" s="99"/>
      <c r="G14" s="99"/>
      <c r="H14" s="99"/>
      <c r="I14" s="99"/>
      <c r="J14" s="99"/>
      <c r="K14" s="99"/>
      <c r="L14" s="99"/>
      <c r="M14" s="99"/>
      <c r="N14" s="99"/>
      <c r="O14" s="130"/>
    </row>
    <row r="15" spans="1:15" x14ac:dyDescent="0.25">
      <c r="A15" s="129">
        <v>60</v>
      </c>
      <c r="B15" s="128" t="s">
        <v>1104</v>
      </c>
      <c r="C15" s="100">
        <f>'SU Parts'!N114</f>
        <v>1.6884895769514321</v>
      </c>
      <c r="D15" s="127">
        <f>'SU Parts'!N115</f>
        <v>6</v>
      </c>
      <c r="E15" s="100">
        <f t="shared" si="0"/>
        <v>10.130937461708593</v>
      </c>
      <c r="F15" s="94"/>
      <c r="G15" s="94"/>
      <c r="H15" s="94"/>
      <c r="I15" s="94"/>
      <c r="J15" s="94"/>
      <c r="K15" s="94"/>
      <c r="L15" s="94"/>
      <c r="M15" s="94"/>
      <c r="N15" s="94"/>
      <c r="O15" s="93"/>
    </row>
    <row r="16" spans="1:15" s="254" customFormat="1" x14ac:dyDescent="0.25">
      <c r="A16" s="282">
        <v>70</v>
      </c>
      <c r="B16" s="132" t="s">
        <v>2483</v>
      </c>
      <c r="C16" s="100">
        <f>'SU Parts'!N135</f>
        <v>6.3450718749999995</v>
      </c>
      <c r="D16" s="127">
        <f>'SU Parts'!N136</f>
        <v>1</v>
      </c>
      <c r="E16" s="100">
        <f t="shared" si="0"/>
        <v>6.3450718749999995</v>
      </c>
      <c r="F16" s="99"/>
      <c r="G16" s="99"/>
      <c r="H16" s="99"/>
      <c r="I16" s="99"/>
      <c r="J16" s="99"/>
      <c r="K16" s="99"/>
      <c r="L16" s="99"/>
      <c r="M16" s="99"/>
      <c r="N16" s="99"/>
      <c r="O16" s="130"/>
    </row>
    <row r="17" spans="1:15" x14ac:dyDescent="0.25">
      <c r="A17" s="129">
        <v>80</v>
      </c>
      <c r="B17" s="128" t="s">
        <v>2482</v>
      </c>
      <c r="C17" s="100">
        <f>'SU Parts'!N159</f>
        <v>6.56201875</v>
      </c>
      <c r="D17" s="127">
        <f>'SU Parts'!N160</f>
        <v>1</v>
      </c>
      <c r="E17" s="100">
        <f t="shared" si="0"/>
        <v>6.56201875</v>
      </c>
      <c r="F17" s="94"/>
      <c r="G17" s="94"/>
      <c r="H17" s="94"/>
      <c r="I17" s="94"/>
      <c r="J17" s="94"/>
      <c r="K17" s="94"/>
      <c r="L17" s="94"/>
      <c r="M17" s="94"/>
      <c r="N17" s="94"/>
      <c r="O17" s="93"/>
    </row>
    <row r="18" spans="1:15" x14ac:dyDescent="0.25">
      <c r="A18" s="107"/>
      <c r="B18" s="94"/>
      <c r="C18" s="94"/>
      <c r="D18" s="1363" t="s">
        <v>58</v>
      </c>
      <c r="E18" s="1362">
        <f>SUM(E10:E17)</f>
        <v>69.757279622751781</v>
      </c>
      <c r="F18" s="99"/>
      <c r="G18" s="99"/>
      <c r="H18" s="99"/>
      <c r="I18" s="99"/>
      <c r="J18" s="99"/>
      <c r="K18" s="99"/>
      <c r="L18" s="99"/>
      <c r="M18" s="99"/>
      <c r="N18" s="99"/>
      <c r="O18" s="93"/>
    </row>
    <row r="19" spans="1:15" x14ac:dyDescent="0.25">
      <c r="A19" s="107"/>
      <c r="B19" s="94"/>
      <c r="C19" s="94"/>
      <c r="D19" s="94"/>
      <c r="E19" s="94"/>
      <c r="F19" s="94"/>
      <c r="G19" s="94"/>
      <c r="H19" s="94"/>
      <c r="I19" s="94"/>
      <c r="J19" s="94"/>
      <c r="K19" s="94"/>
      <c r="L19" s="94"/>
      <c r="M19" s="94"/>
      <c r="N19" s="94"/>
      <c r="O19" s="93"/>
    </row>
    <row r="20" spans="1:15" x14ac:dyDescent="0.25">
      <c r="A20" s="1367" t="s">
        <v>67</v>
      </c>
      <c r="B20" s="1367" t="s">
        <v>112</v>
      </c>
      <c r="C20" s="1367" t="s">
        <v>66</v>
      </c>
      <c r="D20" s="1367" t="s">
        <v>65</v>
      </c>
      <c r="E20" s="1367" t="s">
        <v>81</v>
      </c>
      <c r="F20" s="1367" t="s">
        <v>80</v>
      </c>
      <c r="G20" s="1367" t="s">
        <v>79</v>
      </c>
      <c r="H20" s="1367" t="s">
        <v>78</v>
      </c>
      <c r="I20" s="1367" t="s">
        <v>111</v>
      </c>
      <c r="J20" s="1367" t="s">
        <v>110</v>
      </c>
      <c r="K20" s="1367" t="s">
        <v>109</v>
      </c>
      <c r="L20" s="1367" t="s">
        <v>108</v>
      </c>
      <c r="M20" s="1367" t="s">
        <v>40</v>
      </c>
      <c r="N20" s="1367" t="s">
        <v>58</v>
      </c>
      <c r="O20" s="93"/>
    </row>
    <row r="21" spans="1:15" x14ac:dyDescent="0.25">
      <c r="A21" s="282">
        <v>10</v>
      </c>
      <c r="B21" s="282" t="s">
        <v>2386</v>
      </c>
      <c r="C21" s="282" t="s">
        <v>2481</v>
      </c>
      <c r="D21" s="283">
        <v>0</v>
      </c>
      <c r="E21" s="282"/>
      <c r="F21" s="282"/>
      <c r="G21" s="282"/>
      <c r="H21" s="278"/>
      <c r="I21" s="303"/>
      <c r="J21" s="435"/>
      <c r="K21" s="278"/>
      <c r="L21" s="278"/>
      <c r="M21" s="436">
        <v>0</v>
      </c>
      <c r="N21" s="387">
        <f>M21*D21</f>
        <v>0</v>
      </c>
      <c r="O21" s="93"/>
    </row>
    <row r="22" spans="1:15" s="250" customFormat="1" x14ac:dyDescent="0.25">
      <c r="A22" s="282">
        <v>20</v>
      </c>
      <c r="B22" s="282" t="s">
        <v>2457</v>
      </c>
      <c r="C22" s="292" t="s">
        <v>2456</v>
      </c>
      <c r="D22" s="324">
        <v>6.92</v>
      </c>
      <c r="E22" s="315">
        <v>8</v>
      </c>
      <c r="F22" s="315" t="s">
        <v>68</v>
      </c>
      <c r="G22" s="315"/>
      <c r="H22" s="314"/>
      <c r="I22" s="357"/>
      <c r="J22" s="356"/>
      <c r="K22" s="320"/>
      <c r="L22" s="355"/>
      <c r="M22" s="318">
        <v>3</v>
      </c>
      <c r="N22" s="387">
        <f>M22*D22</f>
        <v>20.759999999999998</v>
      </c>
      <c r="O22" s="143"/>
    </row>
    <row r="23" spans="1:15" x14ac:dyDescent="0.25">
      <c r="A23" s="282">
        <v>30</v>
      </c>
      <c r="B23" s="282" t="s">
        <v>250</v>
      </c>
      <c r="C23" s="292" t="s">
        <v>2400</v>
      </c>
      <c r="D23" s="324">
        <v>10</v>
      </c>
      <c r="E23" s="315">
        <v>0.01</v>
      </c>
      <c r="F23" s="315" t="s">
        <v>241</v>
      </c>
      <c r="G23" s="315"/>
      <c r="H23" s="314"/>
      <c r="I23" s="357"/>
      <c r="J23" s="356"/>
      <c r="K23" s="320"/>
      <c r="L23" s="355"/>
      <c r="M23" s="318">
        <v>1</v>
      </c>
      <c r="N23" s="1423">
        <f>M23*D23*E23</f>
        <v>0.1</v>
      </c>
      <c r="O23" s="93"/>
    </row>
    <row r="24" spans="1:15" x14ac:dyDescent="0.25">
      <c r="A24" s="98"/>
      <c r="B24" s="95"/>
      <c r="C24" s="95"/>
      <c r="D24" s="95"/>
      <c r="E24" s="95"/>
      <c r="F24" s="95"/>
      <c r="G24" s="95"/>
      <c r="H24" s="95"/>
      <c r="I24" s="95"/>
      <c r="J24" s="95"/>
      <c r="K24" s="95"/>
      <c r="L24" s="95"/>
      <c r="M24" s="1367" t="s">
        <v>58</v>
      </c>
      <c r="N24" s="1362">
        <f>SUM(N21:N23)</f>
        <v>20.86</v>
      </c>
      <c r="O24" s="93"/>
    </row>
    <row r="25" spans="1:15" x14ac:dyDescent="0.25">
      <c r="A25" s="107"/>
      <c r="B25" s="94"/>
      <c r="C25" s="94"/>
      <c r="D25" s="94"/>
      <c r="E25" s="94"/>
      <c r="F25" s="94"/>
      <c r="G25" s="94"/>
      <c r="H25" s="94"/>
      <c r="I25" s="94"/>
      <c r="J25" s="94"/>
      <c r="K25" s="94"/>
      <c r="L25" s="94"/>
      <c r="M25" s="94"/>
      <c r="N25" s="94"/>
      <c r="O25" s="93"/>
    </row>
    <row r="26" spans="1:15" s="245" customFormat="1" x14ac:dyDescent="0.25">
      <c r="A26" s="1367" t="s">
        <v>67</v>
      </c>
      <c r="B26" s="1414" t="s">
        <v>106</v>
      </c>
      <c r="C26" s="1367" t="s">
        <v>66</v>
      </c>
      <c r="D26" s="1367" t="s">
        <v>65</v>
      </c>
      <c r="E26" s="1367" t="s">
        <v>64</v>
      </c>
      <c r="F26" s="1367" t="s">
        <v>40</v>
      </c>
      <c r="G26" s="1367" t="s">
        <v>105</v>
      </c>
      <c r="H26" s="1367" t="s">
        <v>104</v>
      </c>
      <c r="I26" s="1367" t="s">
        <v>58</v>
      </c>
      <c r="J26" s="95"/>
      <c r="K26" s="95"/>
      <c r="L26" s="95"/>
      <c r="M26" s="95"/>
      <c r="N26" s="95"/>
      <c r="O26" s="120"/>
    </row>
    <row r="27" spans="1:15" s="245" customFormat="1" ht="30" x14ac:dyDescent="0.25">
      <c r="A27" s="282">
        <v>10</v>
      </c>
      <c r="B27" s="309" t="s">
        <v>1185</v>
      </c>
      <c r="C27" s="292" t="s">
        <v>2455</v>
      </c>
      <c r="D27" s="337">
        <v>0.02</v>
      </c>
      <c r="E27" s="282" t="s">
        <v>1164</v>
      </c>
      <c r="F27" s="299">
        <v>8.66</v>
      </c>
      <c r="G27" s="299" t="s">
        <v>1182</v>
      </c>
      <c r="H27" s="299">
        <v>2</v>
      </c>
      <c r="I27" s="337">
        <f t="shared" ref="I27:I48" si="1">IF(H27="",D27*F27,D27*F27*H27)</f>
        <v>0.34639999999999999</v>
      </c>
      <c r="J27" s="95"/>
      <c r="K27" s="95"/>
      <c r="L27" s="95"/>
      <c r="M27" s="95"/>
      <c r="N27" s="95"/>
      <c r="O27" s="120"/>
    </row>
    <row r="28" spans="1:15" x14ac:dyDescent="0.25">
      <c r="A28" s="282">
        <v>20</v>
      </c>
      <c r="B28" s="309" t="s">
        <v>1166</v>
      </c>
      <c r="C28" s="292" t="s">
        <v>2454</v>
      </c>
      <c r="D28" s="337">
        <v>0.02</v>
      </c>
      <c r="E28" s="282" t="s">
        <v>1164</v>
      </c>
      <c r="F28" s="299">
        <v>8.66</v>
      </c>
      <c r="G28" s="299" t="s">
        <v>1182</v>
      </c>
      <c r="H28" s="299">
        <v>2</v>
      </c>
      <c r="I28" s="337">
        <f t="shared" si="1"/>
        <v>0.34639999999999999</v>
      </c>
      <c r="J28" s="94"/>
      <c r="K28" s="94"/>
      <c r="L28" s="94"/>
      <c r="M28" s="94"/>
      <c r="N28" s="94"/>
      <c r="O28" s="93"/>
    </row>
    <row r="29" spans="1:15" x14ac:dyDescent="0.25">
      <c r="A29" s="282">
        <v>30</v>
      </c>
      <c r="B29" s="309" t="s">
        <v>1185</v>
      </c>
      <c r="C29" s="292" t="s">
        <v>2450</v>
      </c>
      <c r="D29" s="337">
        <v>0.02</v>
      </c>
      <c r="E29" s="282" t="s">
        <v>1164</v>
      </c>
      <c r="F29" s="299">
        <v>8.66</v>
      </c>
      <c r="G29" s="299" t="s">
        <v>1182</v>
      </c>
      <c r="H29" s="299">
        <v>2</v>
      </c>
      <c r="I29" s="337">
        <f t="shared" si="1"/>
        <v>0.34639999999999999</v>
      </c>
      <c r="J29" s="95"/>
      <c r="K29" s="95"/>
      <c r="L29" s="95"/>
      <c r="M29" s="95"/>
      <c r="N29" s="95"/>
      <c r="O29" s="120"/>
    </row>
    <row r="30" spans="1:15" x14ac:dyDescent="0.25">
      <c r="A30" s="282">
        <v>40</v>
      </c>
      <c r="B30" s="309" t="s">
        <v>374</v>
      </c>
      <c r="C30" s="376" t="s">
        <v>2453</v>
      </c>
      <c r="D30" s="337">
        <v>0.06</v>
      </c>
      <c r="E30" s="309" t="s">
        <v>64</v>
      </c>
      <c r="F30" s="299">
        <v>1</v>
      </c>
      <c r="G30" s="299" t="s">
        <v>1182</v>
      </c>
      <c r="H30" s="299">
        <v>2</v>
      </c>
      <c r="I30" s="337">
        <f t="shared" si="1"/>
        <v>0.12</v>
      </c>
      <c r="J30" s="94"/>
      <c r="K30" s="94"/>
      <c r="L30" s="94"/>
      <c r="M30" s="94"/>
      <c r="N30" s="94"/>
      <c r="O30" s="93"/>
    </row>
    <row r="31" spans="1:15" s="254" customFormat="1" x14ac:dyDescent="0.25">
      <c r="A31" s="282">
        <v>50</v>
      </c>
      <c r="B31" s="309" t="s">
        <v>1185</v>
      </c>
      <c r="C31" s="292" t="s">
        <v>2452</v>
      </c>
      <c r="D31" s="337">
        <v>0.02</v>
      </c>
      <c r="E31" s="282" t="s">
        <v>1164</v>
      </c>
      <c r="F31" s="299">
        <v>12.43</v>
      </c>
      <c r="G31" s="299" t="s">
        <v>1182</v>
      </c>
      <c r="H31" s="299">
        <v>2</v>
      </c>
      <c r="I31" s="337">
        <f t="shared" si="1"/>
        <v>0.49719999999999998</v>
      </c>
      <c r="J31" s="95"/>
      <c r="K31" s="95"/>
      <c r="L31" s="95"/>
      <c r="M31" s="95"/>
      <c r="N31" s="95"/>
      <c r="O31" s="120"/>
    </row>
    <row r="32" spans="1:15" s="245" customFormat="1" x14ac:dyDescent="0.25">
      <c r="A32" s="282">
        <v>60</v>
      </c>
      <c r="B32" s="309" t="s">
        <v>1166</v>
      </c>
      <c r="C32" s="292" t="s">
        <v>1183</v>
      </c>
      <c r="D32" s="337">
        <v>0.02</v>
      </c>
      <c r="E32" s="282" t="s">
        <v>1164</v>
      </c>
      <c r="F32" s="299">
        <v>12.43</v>
      </c>
      <c r="G32" s="299" t="s">
        <v>1182</v>
      </c>
      <c r="H32" s="299">
        <v>2</v>
      </c>
      <c r="I32" s="337">
        <f t="shared" si="1"/>
        <v>0.49719999999999998</v>
      </c>
      <c r="J32" s="94"/>
      <c r="K32" s="94"/>
      <c r="L32" s="94"/>
      <c r="M32" s="94"/>
      <c r="N32" s="94"/>
      <c r="O32" s="93"/>
    </row>
    <row r="33" spans="1:15" s="254" customFormat="1" x14ac:dyDescent="0.25">
      <c r="A33" s="282">
        <v>70</v>
      </c>
      <c r="B33" s="309" t="s">
        <v>1185</v>
      </c>
      <c r="C33" s="292" t="s">
        <v>2383</v>
      </c>
      <c r="D33" s="337">
        <v>0.02</v>
      </c>
      <c r="E33" s="282" t="s">
        <v>1164</v>
      </c>
      <c r="F33" s="299">
        <v>12.43</v>
      </c>
      <c r="G33" s="299" t="s">
        <v>1182</v>
      </c>
      <c r="H33" s="299">
        <v>2</v>
      </c>
      <c r="I33" s="337">
        <f t="shared" si="1"/>
        <v>0.49719999999999998</v>
      </c>
      <c r="J33" s="95"/>
      <c r="K33" s="95"/>
      <c r="L33" s="95"/>
      <c r="M33" s="95"/>
      <c r="N33" s="95"/>
      <c r="O33" s="120"/>
    </row>
    <row r="34" spans="1:15" s="245" customFormat="1" x14ac:dyDescent="0.25">
      <c r="A34" s="282">
        <v>80</v>
      </c>
      <c r="B34" s="309" t="s">
        <v>374</v>
      </c>
      <c r="C34" s="376" t="s">
        <v>2451</v>
      </c>
      <c r="D34" s="337">
        <v>0.14000000000000001</v>
      </c>
      <c r="E34" s="309" t="s">
        <v>64</v>
      </c>
      <c r="F34" s="299">
        <v>1</v>
      </c>
      <c r="G34" s="299" t="s">
        <v>1182</v>
      </c>
      <c r="H34" s="299">
        <v>2</v>
      </c>
      <c r="I34" s="337">
        <f t="shared" si="1"/>
        <v>0.28000000000000003</v>
      </c>
      <c r="J34" s="99"/>
      <c r="K34" s="99"/>
      <c r="L34" s="99"/>
      <c r="M34" s="99"/>
      <c r="N34" s="99"/>
      <c r="O34" s="130"/>
    </row>
    <row r="35" spans="1:15" s="245" customFormat="1" x14ac:dyDescent="0.25">
      <c r="A35" s="282">
        <v>90</v>
      </c>
      <c r="B35" s="309" t="s">
        <v>1185</v>
      </c>
      <c r="C35" s="292" t="s">
        <v>2450</v>
      </c>
      <c r="D35" s="337">
        <v>0.02</v>
      </c>
      <c r="E35" s="282" t="s">
        <v>1164</v>
      </c>
      <c r="F35" s="299">
        <v>12.43</v>
      </c>
      <c r="G35" s="299" t="s">
        <v>1182</v>
      </c>
      <c r="H35" s="299">
        <v>2</v>
      </c>
      <c r="I35" s="337">
        <f t="shared" si="1"/>
        <v>0.49719999999999998</v>
      </c>
      <c r="J35" s="95"/>
      <c r="K35" s="95"/>
      <c r="L35" s="95"/>
      <c r="M35" s="95"/>
      <c r="N35" s="95"/>
      <c r="O35" s="120"/>
    </row>
    <row r="36" spans="1:15" s="245" customFormat="1" x14ac:dyDescent="0.25">
      <c r="A36" s="282">
        <v>100</v>
      </c>
      <c r="B36" s="309" t="s">
        <v>1166</v>
      </c>
      <c r="C36" s="292" t="s">
        <v>2449</v>
      </c>
      <c r="D36" s="337">
        <v>0.18</v>
      </c>
      <c r="E36" s="282" t="s">
        <v>1164</v>
      </c>
      <c r="F36" s="299">
        <v>12.43</v>
      </c>
      <c r="G36" s="299" t="s">
        <v>1182</v>
      </c>
      <c r="H36" s="299">
        <v>2</v>
      </c>
      <c r="I36" s="337">
        <f t="shared" si="1"/>
        <v>4.4748000000000001</v>
      </c>
      <c r="J36" s="99"/>
      <c r="K36" s="99"/>
      <c r="L36" s="99"/>
      <c r="M36" s="99"/>
      <c r="N36" s="99"/>
      <c r="O36" s="120"/>
    </row>
    <row r="37" spans="1:15" s="254" customFormat="1" x14ac:dyDescent="0.25">
      <c r="A37" s="282">
        <v>110</v>
      </c>
      <c r="B37" s="309" t="s">
        <v>1185</v>
      </c>
      <c r="C37" s="292" t="s">
        <v>2383</v>
      </c>
      <c r="D37" s="337">
        <v>0.02</v>
      </c>
      <c r="E37" s="282" t="s">
        <v>1164</v>
      </c>
      <c r="F37" s="299">
        <v>12.43</v>
      </c>
      <c r="G37" s="299" t="s">
        <v>1182</v>
      </c>
      <c r="H37" s="299">
        <v>2</v>
      </c>
      <c r="I37" s="337">
        <f t="shared" si="1"/>
        <v>0.49719999999999998</v>
      </c>
      <c r="J37" s="95"/>
      <c r="K37" s="95"/>
      <c r="L37" s="95"/>
      <c r="M37" s="95"/>
      <c r="N37" s="95"/>
      <c r="O37" s="120"/>
    </row>
    <row r="38" spans="1:15" s="245" customFormat="1" ht="30" x14ac:dyDescent="0.25">
      <c r="A38" s="282">
        <v>120</v>
      </c>
      <c r="B38" s="309" t="s">
        <v>374</v>
      </c>
      <c r="C38" s="376" t="s">
        <v>2448</v>
      </c>
      <c r="D38" s="337">
        <v>0.22</v>
      </c>
      <c r="E38" s="309" t="s">
        <v>64</v>
      </c>
      <c r="F38" s="299">
        <v>1</v>
      </c>
      <c r="G38" s="299" t="s">
        <v>1182</v>
      </c>
      <c r="H38" s="299">
        <v>2</v>
      </c>
      <c r="I38" s="337">
        <f t="shared" si="1"/>
        <v>0.44</v>
      </c>
      <c r="J38" s="99"/>
      <c r="K38" s="99"/>
      <c r="L38" s="99"/>
      <c r="M38" s="99"/>
      <c r="N38" s="99"/>
      <c r="O38" s="120"/>
    </row>
    <row r="39" spans="1:15" s="254" customFormat="1" x14ac:dyDescent="0.25">
      <c r="A39" s="282">
        <v>130</v>
      </c>
      <c r="B39" s="309" t="s">
        <v>1185</v>
      </c>
      <c r="C39" s="292" t="s">
        <v>2447</v>
      </c>
      <c r="D39" s="337">
        <v>0.02</v>
      </c>
      <c r="E39" s="282" t="s">
        <v>1164</v>
      </c>
      <c r="F39" s="299">
        <v>4.01</v>
      </c>
      <c r="G39" s="299" t="s">
        <v>786</v>
      </c>
      <c r="H39" s="299">
        <v>3</v>
      </c>
      <c r="I39" s="337">
        <f t="shared" si="1"/>
        <v>0.24059999999999998</v>
      </c>
      <c r="J39" s="95"/>
      <c r="K39" s="95"/>
      <c r="L39" s="95"/>
      <c r="M39" s="95"/>
      <c r="N39" s="95"/>
      <c r="O39" s="120"/>
    </row>
    <row r="40" spans="1:15" s="245" customFormat="1" x14ac:dyDescent="0.25">
      <c r="A40" s="282">
        <v>140</v>
      </c>
      <c r="B40" s="1369" t="s">
        <v>1166</v>
      </c>
      <c r="C40" s="292" t="s">
        <v>2446</v>
      </c>
      <c r="D40" s="337">
        <v>0.02</v>
      </c>
      <c r="E40" s="282" t="s">
        <v>1164</v>
      </c>
      <c r="F40" s="299">
        <v>4.01</v>
      </c>
      <c r="G40" s="299" t="s">
        <v>786</v>
      </c>
      <c r="H40" s="299">
        <v>3</v>
      </c>
      <c r="I40" s="337">
        <f t="shared" si="1"/>
        <v>0.24059999999999998</v>
      </c>
      <c r="J40" s="99"/>
      <c r="K40" s="99"/>
      <c r="L40" s="99"/>
      <c r="M40" s="99"/>
      <c r="N40" s="99"/>
      <c r="O40" s="120"/>
    </row>
    <row r="41" spans="1:15" s="245" customFormat="1" x14ac:dyDescent="0.25">
      <c r="A41" s="282">
        <v>150</v>
      </c>
      <c r="B41" s="309" t="s">
        <v>374</v>
      </c>
      <c r="C41" s="292" t="s">
        <v>2445</v>
      </c>
      <c r="D41" s="337">
        <v>0.3</v>
      </c>
      <c r="E41" s="309" t="s">
        <v>64</v>
      </c>
      <c r="F41" s="299">
        <v>1</v>
      </c>
      <c r="G41" s="299" t="s">
        <v>786</v>
      </c>
      <c r="H41" s="299">
        <v>3</v>
      </c>
      <c r="I41" s="337">
        <f t="shared" si="1"/>
        <v>0.89999999999999991</v>
      </c>
      <c r="J41" s="99"/>
      <c r="K41" s="99"/>
      <c r="L41" s="99"/>
      <c r="M41" s="99"/>
      <c r="N41" s="99"/>
      <c r="O41" s="120"/>
    </row>
    <row r="42" spans="1:15" s="245" customFormat="1" x14ac:dyDescent="0.25">
      <c r="A42" s="282">
        <v>160</v>
      </c>
      <c r="B42" s="282" t="s">
        <v>103</v>
      </c>
      <c r="C42" s="292" t="s">
        <v>2397</v>
      </c>
      <c r="D42" s="337">
        <v>0.15</v>
      </c>
      <c r="E42" s="282" t="s">
        <v>1164</v>
      </c>
      <c r="F42" s="299">
        <v>22</v>
      </c>
      <c r="G42" s="299"/>
      <c r="H42" s="299"/>
      <c r="I42" s="337">
        <f t="shared" si="1"/>
        <v>3.3</v>
      </c>
      <c r="J42" s="99"/>
      <c r="K42" s="99"/>
      <c r="L42" s="99"/>
      <c r="M42" s="99"/>
      <c r="N42" s="99"/>
      <c r="O42" s="120"/>
    </row>
    <row r="43" spans="1:15" s="245" customFormat="1" x14ac:dyDescent="0.25">
      <c r="A43" s="282">
        <v>170</v>
      </c>
      <c r="B43" s="309" t="s">
        <v>535</v>
      </c>
      <c r="C43" s="376" t="s">
        <v>2396</v>
      </c>
      <c r="D43" s="337">
        <v>5.25</v>
      </c>
      <c r="E43" s="309" t="s">
        <v>241</v>
      </c>
      <c r="F43" s="299">
        <v>0.01</v>
      </c>
      <c r="G43" s="299"/>
      <c r="H43" s="299"/>
      <c r="I43" s="337">
        <f t="shared" si="1"/>
        <v>5.2499999999999998E-2</v>
      </c>
      <c r="J43" s="99"/>
      <c r="K43" s="99"/>
      <c r="L43" s="99"/>
      <c r="N43" s="99"/>
      <c r="O43" s="120"/>
    </row>
    <row r="44" spans="1:15" s="245" customFormat="1" x14ac:dyDescent="0.25">
      <c r="A44" s="282">
        <v>180</v>
      </c>
      <c r="B44" s="282" t="s">
        <v>374</v>
      </c>
      <c r="C44" s="292" t="s">
        <v>2444</v>
      </c>
      <c r="D44" s="337">
        <v>0.14000000000000001</v>
      </c>
      <c r="E44" s="282" t="s">
        <v>64</v>
      </c>
      <c r="F44" s="299">
        <v>1</v>
      </c>
      <c r="G44" s="299"/>
      <c r="H44" s="299"/>
      <c r="I44" s="337">
        <f t="shared" si="1"/>
        <v>0.14000000000000001</v>
      </c>
      <c r="J44" s="99"/>
      <c r="K44" s="99"/>
      <c r="L44" s="99"/>
      <c r="M44" s="99"/>
      <c r="N44" s="99"/>
      <c r="O44" s="120"/>
    </row>
    <row r="45" spans="1:15" s="254" customFormat="1" x14ac:dyDescent="0.25">
      <c r="A45" s="282">
        <v>190</v>
      </c>
      <c r="B45" s="309" t="s">
        <v>2371</v>
      </c>
      <c r="C45" s="376" t="s">
        <v>2443</v>
      </c>
      <c r="D45" s="337">
        <v>0.13</v>
      </c>
      <c r="E45" s="309" t="s">
        <v>64</v>
      </c>
      <c r="F45" s="299">
        <v>4</v>
      </c>
      <c r="G45" s="299"/>
      <c r="H45" s="299"/>
      <c r="I45" s="337">
        <f t="shared" si="1"/>
        <v>0.52</v>
      </c>
      <c r="J45" s="99"/>
      <c r="K45" s="99"/>
      <c r="L45" s="99"/>
      <c r="M45" s="99"/>
      <c r="N45" s="99"/>
      <c r="O45" s="120"/>
    </row>
    <row r="46" spans="1:15" x14ac:dyDescent="0.25">
      <c r="A46" s="282">
        <v>200</v>
      </c>
      <c r="B46" s="309" t="s">
        <v>2371</v>
      </c>
      <c r="C46" s="376" t="s">
        <v>2370</v>
      </c>
      <c r="D46" s="337">
        <v>0.13</v>
      </c>
      <c r="E46" s="309" t="s">
        <v>64</v>
      </c>
      <c r="F46" s="299">
        <v>8</v>
      </c>
      <c r="G46" s="299"/>
      <c r="H46" s="299"/>
      <c r="I46" s="337">
        <f t="shared" si="1"/>
        <v>1.04</v>
      </c>
      <c r="J46" s="99"/>
      <c r="K46" s="99"/>
      <c r="L46" s="99"/>
      <c r="M46" s="99"/>
      <c r="N46" s="99"/>
      <c r="O46" s="120"/>
    </row>
    <row r="47" spans="1:15" x14ac:dyDescent="0.25">
      <c r="A47" s="282">
        <v>210</v>
      </c>
      <c r="B47" s="282" t="s">
        <v>1451</v>
      </c>
      <c r="C47" s="292" t="s">
        <v>2394</v>
      </c>
      <c r="D47" s="337">
        <v>0.13</v>
      </c>
      <c r="E47" s="282" t="s">
        <v>64</v>
      </c>
      <c r="F47" s="299">
        <v>2</v>
      </c>
      <c r="G47" s="299"/>
      <c r="H47" s="299"/>
      <c r="I47" s="337">
        <f t="shared" si="1"/>
        <v>0.26</v>
      </c>
      <c r="J47" s="99"/>
      <c r="K47" s="99"/>
      <c r="L47" s="99"/>
      <c r="M47" s="99"/>
      <c r="N47" s="99"/>
      <c r="O47" s="120"/>
    </row>
    <row r="48" spans="1:15" x14ac:dyDescent="0.25">
      <c r="A48" s="282">
        <v>220</v>
      </c>
      <c r="B48" s="309" t="s">
        <v>2393</v>
      </c>
      <c r="C48" s="376" t="s">
        <v>2442</v>
      </c>
      <c r="D48" s="337">
        <v>0.25</v>
      </c>
      <c r="E48" s="309" t="s">
        <v>64</v>
      </c>
      <c r="F48" s="299">
        <v>2</v>
      </c>
      <c r="G48" s="299"/>
      <c r="H48" s="299"/>
      <c r="I48" s="337">
        <f t="shared" si="1"/>
        <v>0.5</v>
      </c>
      <c r="J48" s="99"/>
      <c r="K48" s="99"/>
      <c r="L48" s="99"/>
      <c r="M48" s="99"/>
      <c r="N48" s="99"/>
      <c r="O48" s="130"/>
    </row>
    <row r="49" spans="1:15" x14ac:dyDescent="0.25">
      <c r="A49" s="98"/>
      <c r="B49" s="95"/>
      <c r="C49" s="95"/>
      <c r="D49" s="95"/>
      <c r="E49" s="95"/>
      <c r="F49" s="95"/>
      <c r="G49" s="95"/>
      <c r="H49" s="1363" t="s">
        <v>58</v>
      </c>
      <c r="I49" s="1362">
        <f>SUM(I27:I48)</f>
        <v>16.033700000000003</v>
      </c>
      <c r="J49" s="94"/>
      <c r="K49" s="94"/>
      <c r="L49" s="94"/>
      <c r="M49" s="94"/>
      <c r="N49" s="94"/>
      <c r="O49" s="93"/>
    </row>
    <row r="50" spans="1:15" x14ac:dyDescent="0.25">
      <c r="A50" s="107"/>
      <c r="B50" s="94"/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3"/>
    </row>
    <row r="51" spans="1:15" x14ac:dyDescent="0.25">
      <c r="A51" s="1367" t="s">
        <v>67</v>
      </c>
      <c r="B51" s="1367" t="s">
        <v>82</v>
      </c>
      <c r="C51" s="1367" t="s">
        <v>66</v>
      </c>
      <c r="D51" s="1367" t="s">
        <v>65</v>
      </c>
      <c r="E51" s="1367" t="s">
        <v>81</v>
      </c>
      <c r="F51" s="1367" t="s">
        <v>80</v>
      </c>
      <c r="G51" s="1367" t="s">
        <v>79</v>
      </c>
      <c r="H51" s="1367" t="s">
        <v>78</v>
      </c>
      <c r="I51" s="1367" t="s">
        <v>40</v>
      </c>
      <c r="J51" s="1367" t="s">
        <v>58</v>
      </c>
      <c r="K51" s="94"/>
      <c r="L51" s="94"/>
      <c r="M51" s="94"/>
      <c r="N51" s="94"/>
      <c r="O51" s="93"/>
    </row>
    <row r="52" spans="1:15" x14ac:dyDescent="0.25">
      <c r="A52" s="282">
        <v>10</v>
      </c>
      <c r="B52" s="282" t="s">
        <v>2391</v>
      </c>
      <c r="C52" s="282" t="s">
        <v>2441</v>
      </c>
      <c r="D52" s="630">
        <v>0.19</v>
      </c>
      <c r="E52" s="629">
        <v>8</v>
      </c>
      <c r="F52" s="629" t="s">
        <v>68</v>
      </c>
      <c r="G52" s="629">
        <v>30</v>
      </c>
      <c r="H52" s="629" t="s">
        <v>68</v>
      </c>
      <c r="I52" s="534">
        <v>4</v>
      </c>
      <c r="J52" s="337">
        <f>I52*D52</f>
        <v>0.76</v>
      </c>
      <c r="K52" s="94"/>
      <c r="L52" s="94"/>
      <c r="M52" s="94"/>
      <c r="N52" s="94"/>
      <c r="O52" s="93"/>
    </row>
    <row r="53" spans="1:15" x14ac:dyDescent="0.25">
      <c r="A53" s="282">
        <v>20</v>
      </c>
      <c r="B53" s="282" t="s">
        <v>75</v>
      </c>
      <c r="C53" s="282" t="s">
        <v>2440</v>
      </c>
      <c r="D53" s="630">
        <v>0.01</v>
      </c>
      <c r="E53" s="282">
        <v>8</v>
      </c>
      <c r="F53" s="535" t="s">
        <v>68</v>
      </c>
      <c r="G53" s="282"/>
      <c r="H53" s="285"/>
      <c r="I53" s="534">
        <v>4</v>
      </c>
      <c r="J53" s="337">
        <f>I53*D53</f>
        <v>0.04</v>
      </c>
      <c r="K53" s="94"/>
      <c r="L53" s="94"/>
      <c r="M53" s="94"/>
      <c r="N53" s="94"/>
      <c r="O53" s="93"/>
    </row>
    <row r="54" spans="1:15" x14ac:dyDescent="0.25">
      <c r="A54" s="299">
        <v>30</v>
      </c>
      <c r="B54" s="1364" t="s">
        <v>74</v>
      </c>
      <c r="C54" s="299" t="s">
        <v>2439</v>
      </c>
      <c r="D54" s="1431">
        <v>0.01</v>
      </c>
      <c r="E54" s="299">
        <v>8</v>
      </c>
      <c r="F54" s="338" t="s">
        <v>68</v>
      </c>
      <c r="G54" s="299"/>
      <c r="H54" s="299"/>
      <c r="I54" s="299">
        <v>2</v>
      </c>
      <c r="J54" s="337">
        <f>I54*D54</f>
        <v>0.02</v>
      </c>
      <c r="K54" s="94"/>
      <c r="L54" s="94"/>
      <c r="M54" s="94"/>
      <c r="N54" s="94"/>
      <c r="O54" s="93"/>
    </row>
    <row r="55" spans="1:15" x14ac:dyDescent="0.25">
      <c r="D55" s="95"/>
      <c r="E55" s="95"/>
      <c r="F55" s="95"/>
      <c r="G55" s="95"/>
      <c r="H55" s="95"/>
      <c r="I55" s="1429" t="s">
        <v>58</v>
      </c>
      <c r="J55" s="1428">
        <f>SUM(J52:J54)</f>
        <v>0.82000000000000006</v>
      </c>
      <c r="K55" s="94"/>
      <c r="L55" s="94"/>
      <c r="M55" s="94"/>
      <c r="N55" s="94"/>
      <c r="O55" s="93"/>
    </row>
    <row r="56" spans="1:15" x14ac:dyDescent="0.25">
      <c r="A56" s="107"/>
      <c r="B56" s="94"/>
      <c r="C56" s="94"/>
      <c r="D56" s="94"/>
      <c r="E56" s="94"/>
      <c r="F56" s="94"/>
      <c r="G56" s="94"/>
      <c r="H56" s="94"/>
      <c r="I56" s="94"/>
      <c r="J56" s="94"/>
      <c r="K56" s="94"/>
      <c r="L56" s="94"/>
      <c r="M56" s="94"/>
      <c r="N56" s="94"/>
      <c r="O56" s="93"/>
    </row>
    <row r="57" spans="1:15" x14ac:dyDescent="0.25">
      <c r="A57" s="1367" t="s">
        <v>67</v>
      </c>
      <c r="B57" s="1367" t="s">
        <v>13</v>
      </c>
      <c r="C57" s="1367" t="s">
        <v>66</v>
      </c>
      <c r="D57" s="1367" t="s">
        <v>65</v>
      </c>
      <c r="E57" s="1367" t="s">
        <v>64</v>
      </c>
      <c r="F57" s="1367" t="s">
        <v>40</v>
      </c>
      <c r="G57" s="1367" t="s">
        <v>63</v>
      </c>
      <c r="H57" s="1367" t="s">
        <v>62</v>
      </c>
      <c r="I57" s="1367" t="s">
        <v>58</v>
      </c>
      <c r="J57" s="95"/>
      <c r="K57" s="94"/>
      <c r="L57" s="94"/>
      <c r="M57" s="94"/>
      <c r="N57" s="94"/>
      <c r="O57" s="93"/>
    </row>
    <row r="58" spans="1:15" x14ac:dyDescent="0.25">
      <c r="A58" s="282">
        <v>10</v>
      </c>
      <c r="B58" s="282" t="s">
        <v>61</v>
      </c>
      <c r="C58" s="282" t="s">
        <v>2438</v>
      </c>
      <c r="D58" s="283">
        <v>500</v>
      </c>
      <c r="E58" s="282" t="s">
        <v>59</v>
      </c>
      <c r="F58" s="282">
        <f>8</f>
        <v>8</v>
      </c>
      <c r="G58" s="282">
        <v>3000</v>
      </c>
      <c r="H58" s="282">
        <v>1</v>
      </c>
      <c r="I58" s="387">
        <f>D58*F58/G58*H58</f>
        <v>1.3333333333333333</v>
      </c>
      <c r="J58" s="95"/>
      <c r="K58" s="94"/>
      <c r="L58" s="94"/>
      <c r="M58" s="94"/>
      <c r="N58" s="94"/>
      <c r="O58" s="93"/>
    </row>
    <row r="59" spans="1:15" x14ac:dyDescent="0.25">
      <c r="A59" s="98"/>
      <c r="B59" s="95"/>
      <c r="C59" s="95"/>
      <c r="D59" s="95"/>
      <c r="E59" s="95"/>
      <c r="F59" s="95"/>
      <c r="G59" s="95"/>
      <c r="H59" s="1429" t="s">
        <v>58</v>
      </c>
      <c r="I59" s="1428">
        <f>SUM(I58:I58)</f>
        <v>1.3333333333333333</v>
      </c>
      <c r="J59" s="95"/>
      <c r="K59" s="94"/>
      <c r="L59" s="94"/>
      <c r="M59" s="94"/>
      <c r="N59" s="94"/>
      <c r="O59" s="93"/>
    </row>
    <row r="60" spans="1:15" ht="15.75" thickBot="1" x14ac:dyDescent="0.3">
      <c r="A60" s="92"/>
      <c r="B60" s="91"/>
      <c r="C60" s="91"/>
      <c r="D60" s="91"/>
      <c r="E60" s="91"/>
      <c r="F60" s="91"/>
      <c r="G60" s="91"/>
      <c r="H60" s="91"/>
      <c r="I60" s="91"/>
      <c r="J60" s="91"/>
      <c r="K60" s="91"/>
      <c r="L60" s="91"/>
      <c r="M60" s="91"/>
      <c r="N60" s="91"/>
      <c r="O60" s="90"/>
    </row>
    <row r="61" spans="1:15" ht="15.75" thickBot="1" x14ac:dyDescent="0.3">
      <c r="A61" s="94"/>
      <c r="B61" s="94"/>
      <c r="C61" s="94"/>
      <c r="D61" s="94"/>
      <c r="E61" s="94"/>
      <c r="F61" s="94"/>
      <c r="G61" s="94"/>
      <c r="H61" s="94"/>
      <c r="I61" s="94"/>
      <c r="J61" s="94"/>
      <c r="K61" s="94"/>
      <c r="L61" s="94"/>
      <c r="M61" s="94"/>
      <c r="N61" s="94"/>
    </row>
    <row r="62" spans="1:15" x14ac:dyDescent="0.25">
      <c r="A62" s="141"/>
      <c r="B62" s="140"/>
      <c r="C62" s="140"/>
      <c r="D62" s="140"/>
      <c r="E62" s="140"/>
      <c r="F62" s="140"/>
      <c r="G62" s="140"/>
      <c r="H62" s="140"/>
      <c r="I62" s="140"/>
      <c r="J62" s="140"/>
      <c r="K62" s="140"/>
      <c r="L62" s="140"/>
      <c r="M62" s="140"/>
      <c r="N62" s="140"/>
      <c r="O62" s="139"/>
    </row>
    <row r="63" spans="1:15" x14ac:dyDescent="0.25">
      <c r="A63" s="1367" t="s">
        <v>57</v>
      </c>
      <c r="B63" s="133" t="s">
        <v>127</v>
      </c>
      <c r="C63" s="94"/>
      <c r="D63" s="94"/>
      <c r="E63" s="94"/>
      <c r="F63" s="94"/>
      <c r="G63" s="94"/>
      <c r="H63" s="94"/>
      <c r="I63" s="94"/>
      <c r="J63" s="1367" t="s">
        <v>51</v>
      </c>
      <c r="K63" s="138">
        <v>81</v>
      </c>
      <c r="L63" s="94"/>
      <c r="M63" s="1367" t="s">
        <v>126</v>
      </c>
      <c r="N63" s="137">
        <f>SU_A0002_m+SU_A0002_p+SU_A0002_f+SU_A0002_t+E79</f>
        <v>95.401980303781613</v>
      </c>
      <c r="O63" s="93"/>
    </row>
    <row r="64" spans="1:15" x14ac:dyDescent="0.25">
      <c r="A64" s="1367" t="s">
        <v>125</v>
      </c>
      <c r="B64" s="133" t="s">
        <v>5</v>
      </c>
      <c r="C64" s="94"/>
      <c r="D64" s="94"/>
      <c r="E64" s="94"/>
      <c r="F64" s="94"/>
      <c r="G64" s="94"/>
      <c r="H64" s="94"/>
      <c r="I64" s="94"/>
      <c r="J64" s="94"/>
      <c r="K64" s="94"/>
      <c r="L64" s="94"/>
      <c r="M64" s="1367" t="s">
        <v>124</v>
      </c>
      <c r="N64" s="136">
        <v>2</v>
      </c>
      <c r="O64" s="93"/>
    </row>
    <row r="65" spans="1:15" x14ac:dyDescent="0.25">
      <c r="A65" s="1367" t="s">
        <v>123</v>
      </c>
      <c r="B65" s="94" t="s">
        <v>2480</v>
      </c>
      <c r="C65" s="94"/>
      <c r="D65" s="94"/>
      <c r="E65" s="94"/>
      <c r="F65" s="94"/>
      <c r="G65" s="94"/>
      <c r="H65" s="94"/>
      <c r="I65" s="94"/>
      <c r="J65" s="1373" t="s">
        <v>122</v>
      </c>
      <c r="K65" s="94"/>
      <c r="L65" s="94"/>
      <c r="M65" s="94"/>
      <c r="N65" s="94"/>
      <c r="O65" s="93"/>
    </row>
    <row r="66" spans="1:15" x14ac:dyDescent="0.25">
      <c r="A66" s="1367" t="s">
        <v>121</v>
      </c>
      <c r="B66" s="135" t="s">
        <v>2479</v>
      </c>
      <c r="C66" s="94"/>
      <c r="D66" s="94"/>
      <c r="E66" s="94"/>
      <c r="F66" s="94"/>
      <c r="G66" s="94"/>
      <c r="H66" s="94"/>
      <c r="I66" s="94"/>
      <c r="J66" s="1373" t="s">
        <v>119</v>
      </c>
      <c r="K66" s="94"/>
      <c r="L66" s="94"/>
      <c r="M66" s="1367" t="s">
        <v>118</v>
      </c>
      <c r="N66" s="100">
        <f>N63*N64</f>
        <v>190.80396060756323</v>
      </c>
      <c r="O66" s="93"/>
    </row>
    <row r="67" spans="1:15" x14ac:dyDescent="0.25">
      <c r="A67" s="1367" t="s">
        <v>117</v>
      </c>
      <c r="B67" s="133" t="s">
        <v>23</v>
      </c>
      <c r="C67" s="94"/>
      <c r="D67" s="94"/>
      <c r="E67" s="94"/>
      <c r="F67" s="94"/>
      <c r="G67" s="94"/>
      <c r="H67" s="94"/>
      <c r="I67" s="94"/>
      <c r="J67" s="1373" t="s">
        <v>116</v>
      </c>
      <c r="K67" s="94"/>
      <c r="L67" s="94"/>
      <c r="M67" s="94"/>
      <c r="N67" s="94"/>
      <c r="O67" s="93"/>
    </row>
    <row r="68" spans="1:15" x14ac:dyDescent="0.25">
      <c r="A68" s="1367" t="s">
        <v>115</v>
      </c>
      <c r="B68" s="133"/>
      <c r="C68" s="94"/>
      <c r="D68" s="94"/>
      <c r="E68" s="94"/>
      <c r="F68" s="94"/>
      <c r="G68" s="94"/>
      <c r="H68" s="94"/>
      <c r="I68" s="94"/>
      <c r="J68" s="94"/>
      <c r="K68" s="94"/>
      <c r="L68" s="94"/>
      <c r="M68" s="94"/>
      <c r="N68" s="94"/>
      <c r="O68" s="93"/>
    </row>
    <row r="69" spans="1:15" x14ac:dyDescent="0.25">
      <c r="A69" s="107"/>
      <c r="B69" s="94"/>
      <c r="C69" s="94"/>
      <c r="D69" s="94"/>
      <c r="E69" s="94"/>
      <c r="F69" s="94"/>
      <c r="G69" s="94"/>
      <c r="H69" s="94"/>
      <c r="I69" s="94"/>
      <c r="J69" s="94"/>
      <c r="K69" s="94"/>
      <c r="L69" s="94"/>
      <c r="M69" s="94"/>
      <c r="N69" s="94"/>
      <c r="O69" s="93"/>
    </row>
    <row r="70" spans="1:15" x14ac:dyDescent="0.25">
      <c r="A70" s="1367" t="s">
        <v>67</v>
      </c>
      <c r="B70" s="1367" t="s">
        <v>114</v>
      </c>
      <c r="C70" s="1367" t="s">
        <v>113</v>
      </c>
      <c r="D70" s="1367" t="s">
        <v>40</v>
      </c>
      <c r="E70" s="1367" t="s">
        <v>58</v>
      </c>
      <c r="F70" s="94"/>
      <c r="G70" s="94"/>
      <c r="H70" s="94"/>
      <c r="I70" s="94"/>
      <c r="J70" s="94"/>
      <c r="K70" s="94"/>
      <c r="L70" s="94"/>
      <c r="M70" s="94"/>
      <c r="N70" s="94"/>
      <c r="O70" s="93"/>
    </row>
    <row r="71" spans="1:15" x14ac:dyDescent="0.25">
      <c r="A71" s="129">
        <v>10</v>
      </c>
      <c r="B71" s="132" t="str">
        <f>'SU Parts'!B187</f>
        <v>Simple Insert</v>
      </c>
      <c r="C71" s="100">
        <f>'SU Parts'!N184</f>
        <v>3.8036110707199997</v>
      </c>
      <c r="D71" s="127">
        <f>'SU Parts'!N185</f>
        <v>2</v>
      </c>
      <c r="E71" s="100">
        <f t="shared" ref="E71:E78" si="2">C71*D71</f>
        <v>7.6072221414399994</v>
      </c>
      <c r="F71" s="94"/>
      <c r="G71" s="94"/>
      <c r="H71" s="94"/>
      <c r="I71" s="94"/>
      <c r="J71" s="94"/>
      <c r="K71" s="94"/>
      <c r="L71" s="94"/>
      <c r="M71" s="94"/>
      <c r="N71" s="94"/>
      <c r="O71" s="93"/>
    </row>
    <row r="72" spans="1:15" x14ac:dyDescent="0.25">
      <c r="A72" s="1374">
        <v>20</v>
      </c>
      <c r="B72" s="1446" t="s">
        <v>2478</v>
      </c>
      <c r="C72" s="100">
        <f>'SU Parts'!N207</f>
        <v>6.9247104000000004</v>
      </c>
      <c r="D72" s="127">
        <f>'SU Parts'!N208</f>
        <v>1</v>
      </c>
      <c r="E72" s="100">
        <f t="shared" si="2"/>
        <v>6.9247104000000004</v>
      </c>
      <c r="F72" s="99"/>
      <c r="G72" s="99"/>
      <c r="H72" s="99"/>
      <c r="I72" s="99"/>
      <c r="J72" s="99"/>
      <c r="K72" s="99"/>
      <c r="L72" s="99"/>
      <c r="M72" s="99"/>
      <c r="N72" s="99"/>
      <c r="O72" s="93"/>
    </row>
    <row r="73" spans="1:15" x14ac:dyDescent="0.25">
      <c r="A73" s="129">
        <v>30</v>
      </c>
      <c r="B73" s="132" t="s">
        <v>2462</v>
      </c>
      <c r="C73" s="100">
        <f>'SU Parts'!N233</f>
        <v>0.46433106400000002</v>
      </c>
      <c r="D73" s="127">
        <f>'SU Parts'!N234</f>
        <v>2</v>
      </c>
      <c r="E73" s="100">
        <f t="shared" si="2"/>
        <v>0.92866212800000003</v>
      </c>
      <c r="F73" s="99"/>
      <c r="G73" s="99"/>
      <c r="H73" s="99"/>
      <c r="I73" s="99"/>
      <c r="J73" s="99"/>
      <c r="K73" s="99"/>
      <c r="L73" s="99"/>
      <c r="M73" s="99"/>
      <c r="N73" s="99"/>
      <c r="O73" s="131"/>
    </row>
    <row r="74" spans="1:15" x14ac:dyDescent="0.25">
      <c r="A74" s="1374">
        <v>40</v>
      </c>
      <c r="B74" s="132" t="s">
        <v>2477</v>
      </c>
      <c r="C74" s="100">
        <f>'SU Parts'!N251</f>
        <v>9.3022558472793762</v>
      </c>
      <c r="D74" s="127">
        <f>'SU Parts'!N252</f>
        <v>1</v>
      </c>
      <c r="E74" s="100">
        <f t="shared" si="2"/>
        <v>9.3022558472793762</v>
      </c>
      <c r="F74" s="99"/>
      <c r="G74" s="99"/>
      <c r="H74" s="99"/>
      <c r="I74" s="99"/>
      <c r="J74" s="99"/>
      <c r="K74" s="99"/>
      <c r="L74" s="99"/>
      <c r="M74" s="99"/>
      <c r="N74" s="99"/>
      <c r="O74" s="131"/>
    </row>
    <row r="75" spans="1:15" x14ac:dyDescent="0.25">
      <c r="A75" s="129">
        <v>50</v>
      </c>
      <c r="B75" s="132" t="s">
        <v>2476</v>
      </c>
      <c r="C75" s="100">
        <f>'SU Parts'!N272</f>
        <v>9.4605921170203011</v>
      </c>
      <c r="D75" s="127">
        <f>'SU Parts'!N273</f>
        <v>1</v>
      </c>
      <c r="E75" s="100">
        <f t="shared" si="2"/>
        <v>9.4605921170203011</v>
      </c>
      <c r="F75" s="99"/>
      <c r="G75" s="99"/>
      <c r="H75" s="99"/>
      <c r="I75" s="99"/>
      <c r="J75" s="99"/>
      <c r="K75" s="99"/>
      <c r="L75" s="99"/>
      <c r="M75" s="99"/>
      <c r="N75" s="99"/>
      <c r="O75" s="130"/>
    </row>
    <row r="76" spans="1:15" x14ac:dyDescent="0.25">
      <c r="A76" s="1374">
        <v>60</v>
      </c>
      <c r="B76" s="128" t="s">
        <v>1104</v>
      </c>
      <c r="C76" s="100">
        <f>'SU Parts'!N293</f>
        <v>1.6884895769514321</v>
      </c>
      <c r="D76" s="127">
        <f>'SU Parts'!N294</f>
        <v>6</v>
      </c>
      <c r="E76" s="100">
        <f t="shared" si="2"/>
        <v>10.130937461708593</v>
      </c>
      <c r="F76" s="94"/>
      <c r="G76" s="94"/>
      <c r="H76" s="94"/>
      <c r="I76" s="94"/>
      <c r="J76" s="94"/>
      <c r="K76" s="94"/>
      <c r="L76" s="94"/>
      <c r="M76" s="94"/>
      <c r="N76" s="94"/>
      <c r="O76" s="93"/>
    </row>
    <row r="77" spans="1:15" x14ac:dyDescent="0.25">
      <c r="A77" s="129">
        <v>70</v>
      </c>
      <c r="B77" s="132" t="s">
        <v>2475</v>
      </c>
      <c r="C77" s="100">
        <f>'SU Parts'!N314</f>
        <v>6.3450718749999995</v>
      </c>
      <c r="D77" s="127">
        <f>'SU Parts'!N315</f>
        <v>1</v>
      </c>
      <c r="E77" s="100">
        <f t="shared" si="2"/>
        <v>6.3450718749999995</v>
      </c>
      <c r="F77" s="99"/>
      <c r="G77" s="99"/>
      <c r="H77" s="99"/>
      <c r="I77" s="99"/>
      <c r="J77" s="99"/>
      <c r="K77" s="99"/>
      <c r="L77" s="99"/>
      <c r="M77" s="99"/>
      <c r="N77" s="99"/>
      <c r="O77" s="130"/>
    </row>
    <row r="78" spans="1:15" x14ac:dyDescent="0.25">
      <c r="A78" s="1374">
        <v>80</v>
      </c>
      <c r="B78" s="128" t="s">
        <v>2474</v>
      </c>
      <c r="C78" s="100">
        <f>'SU Parts'!N338</f>
        <v>5.8754950000000008</v>
      </c>
      <c r="D78" s="127">
        <f>'SU Parts'!N339</f>
        <v>1</v>
      </c>
      <c r="E78" s="100">
        <f t="shared" si="2"/>
        <v>5.8754950000000008</v>
      </c>
      <c r="F78" s="94"/>
      <c r="G78" s="94"/>
      <c r="H78" s="94"/>
      <c r="I78" s="94"/>
      <c r="J78" s="94"/>
      <c r="K78" s="94"/>
      <c r="L78" s="94"/>
      <c r="M78" s="94"/>
      <c r="N78" s="94"/>
      <c r="O78" s="93"/>
    </row>
    <row r="79" spans="1:15" x14ac:dyDescent="0.25">
      <c r="A79" s="107"/>
      <c r="B79" s="94"/>
      <c r="C79" s="94"/>
      <c r="D79" s="1363" t="s">
        <v>58</v>
      </c>
      <c r="E79" s="1362">
        <f>SUM(E71:E78)</f>
        <v>56.574946970448273</v>
      </c>
      <c r="F79" s="99"/>
      <c r="G79" s="99"/>
      <c r="H79" s="99"/>
      <c r="I79" s="99"/>
      <c r="J79" s="99"/>
      <c r="K79" s="99"/>
      <c r="L79" s="99"/>
      <c r="M79" s="99"/>
      <c r="N79" s="99"/>
      <c r="O79" s="93"/>
    </row>
    <row r="80" spans="1:15" x14ac:dyDescent="0.25">
      <c r="A80" s="107"/>
      <c r="B80" s="94"/>
      <c r="C80" s="94"/>
      <c r="D80" s="94"/>
      <c r="E80" s="94"/>
      <c r="F80" s="94"/>
      <c r="G80" s="94"/>
      <c r="H80" s="94"/>
      <c r="I80" s="94"/>
      <c r="J80" s="94"/>
      <c r="K80" s="94"/>
      <c r="L80" s="94"/>
      <c r="M80" s="94"/>
      <c r="N80" s="94"/>
      <c r="O80" s="93"/>
    </row>
    <row r="81" spans="1:15" x14ac:dyDescent="0.25">
      <c r="A81" s="1367" t="s">
        <v>67</v>
      </c>
      <c r="B81" s="1367" t="s">
        <v>112</v>
      </c>
      <c r="C81" s="1367" t="s">
        <v>66</v>
      </c>
      <c r="D81" s="1367" t="s">
        <v>65</v>
      </c>
      <c r="E81" s="1367" t="s">
        <v>81</v>
      </c>
      <c r="F81" s="1367" t="s">
        <v>80</v>
      </c>
      <c r="G81" s="1367" t="s">
        <v>79</v>
      </c>
      <c r="H81" s="1367" t="s">
        <v>78</v>
      </c>
      <c r="I81" s="1367" t="s">
        <v>111</v>
      </c>
      <c r="J81" s="1367" t="s">
        <v>110</v>
      </c>
      <c r="K81" s="1367" t="s">
        <v>109</v>
      </c>
      <c r="L81" s="1367" t="s">
        <v>108</v>
      </c>
      <c r="M81" s="1367" t="s">
        <v>40</v>
      </c>
      <c r="N81" s="1367" t="s">
        <v>58</v>
      </c>
      <c r="O81" s="93"/>
    </row>
    <row r="82" spans="1:15" x14ac:dyDescent="0.25">
      <c r="A82" s="1374">
        <v>10</v>
      </c>
      <c r="B82" s="1374" t="s">
        <v>2386</v>
      </c>
      <c r="C82" s="1379" t="s">
        <v>2401</v>
      </c>
      <c r="D82" s="1375">
        <v>0</v>
      </c>
      <c r="E82" s="1374"/>
      <c r="F82" s="1374"/>
      <c r="G82" s="1374"/>
      <c r="H82" s="1443"/>
      <c r="I82" s="1445"/>
      <c r="J82" s="1444"/>
      <c r="K82" s="1443"/>
      <c r="L82" s="1443"/>
      <c r="M82" s="1442">
        <v>1</v>
      </c>
      <c r="N82" s="1441">
        <f>M82*D82</f>
        <v>0</v>
      </c>
      <c r="O82" s="93"/>
    </row>
    <row r="83" spans="1:15" x14ac:dyDescent="0.25">
      <c r="A83" s="1374">
        <v>20</v>
      </c>
      <c r="B83" s="1374" t="s">
        <v>2457</v>
      </c>
      <c r="C83" s="1379" t="s">
        <v>2456</v>
      </c>
      <c r="D83" s="1440">
        <v>6.92</v>
      </c>
      <c r="E83" s="1439">
        <v>8</v>
      </c>
      <c r="F83" s="1439" t="s">
        <v>68</v>
      </c>
      <c r="G83" s="1439"/>
      <c r="H83" s="1438"/>
      <c r="I83" s="1437"/>
      <c r="J83" s="1436"/>
      <c r="K83" s="1435"/>
      <c r="L83" s="1434"/>
      <c r="M83" s="1433">
        <v>3</v>
      </c>
      <c r="N83" s="1441">
        <f>M83*D83</f>
        <v>20.759999999999998</v>
      </c>
      <c r="O83" s="143"/>
    </row>
    <row r="84" spans="1:15" x14ac:dyDescent="0.25">
      <c r="A84" s="1374">
        <v>30</v>
      </c>
      <c r="B84" s="1374" t="s">
        <v>250</v>
      </c>
      <c r="C84" s="1379" t="s">
        <v>2400</v>
      </c>
      <c r="D84" s="1440">
        <v>10</v>
      </c>
      <c r="E84" s="1439">
        <v>0.01</v>
      </c>
      <c r="F84" s="1439" t="s">
        <v>241</v>
      </c>
      <c r="G84" s="1439"/>
      <c r="H84" s="1438"/>
      <c r="I84" s="1437"/>
      <c r="J84" s="1436"/>
      <c r="K84" s="1435"/>
      <c r="L84" s="1434"/>
      <c r="M84" s="1433">
        <v>1</v>
      </c>
      <c r="N84" s="1432">
        <f>M84*D84*E84</f>
        <v>0.1</v>
      </c>
      <c r="O84" s="93"/>
    </row>
    <row r="85" spans="1:15" x14ac:dyDescent="0.25">
      <c r="A85" s="98"/>
      <c r="B85" s="95"/>
      <c r="C85" s="95"/>
      <c r="D85" s="95"/>
      <c r="E85" s="95"/>
      <c r="F85" s="95"/>
      <c r="G85" s="95"/>
      <c r="H85" s="95"/>
      <c r="I85" s="95"/>
      <c r="J85" s="95"/>
      <c r="K85" s="95"/>
      <c r="L85" s="95"/>
      <c r="M85" s="1367" t="s">
        <v>58</v>
      </c>
      <c r="N85" s="1362">
        <f>SUM(N82:N84)</f>
        <v>20.86</v>
      </c>
      <c r="O85" s="93"/>
    </row>
    <row r="86" spans="1:15" x14ac:dyDescent="0.25">
      <c r="A86" s="107"/>
      <c r="B86" s="94"/>
      <c r="C86" s="94"/>
      <c r="D86" s="94"/>
      <c r="E86" s="94"/>
      <c r="F86" s="94"/>
      <c r="G86" s="94"/>
      <c r="H86" s="94"/>
      <c r="I86" s="94"/>
      <c r="J86" s="94"/>
      <c r="K86" s="94"/>
      <c r="L86" s="94"/>
      <c r="M86" s="94"/>
      <c r="N86" s="94"/>
      <c r="O86" s="93"/>
    </row>
    <row r="87" spans="1:15" x14ac:dyDescent="0.25">
      <c r="A87" s="1367" t="s">
        <v>67</v>
      </c>
      <c r="B87" s="1414" t="s">
        <v>106</v>
      </c>
      <c r="C87" s="1367" t="s">
        <v>66</v>
      </c>
      <c r="D87" s="1367" t="s">
        <v>65</v>
      </c>
      <c r="E87" s="1367" t="s">
        <v>64</v>
      </c>
      <c r="F87" s="1367" t="s">
        <v>40</v>
      </c>
      <c r="G87" s="1367" t="s">
        <v>105</v>
      </c>
      <c r="H87" s="1367" t="s">
        <v>104</v>
      </c>
      <c r="I87" s="1367" t="s">
        <v>58</v>
      </c>
      <c r="J87" s="95"/>
      <c r="K87" s="95"/>
      <c r="L87" s="95"/>
      <c r="M87" s="95"/>
      <c r="N87" s="95"/>
      <c r="O87" s="120"/>
    </row>
    <row r="88" spans="1:15" ht="30" x14ac:dyDescent="0.25">
      <c r="A88" s="282">
        <v>10</v>
      </c>
      <c r="B88" s="309" t="s">
        <v>1185</v>
      </c>
      <c r="C88" s="292" t="s">
        <v>2455</v>
      </c>
      <c r="D88" s="337">
        <v>0.02</v>
      </c>
      <c r="E88" s="282" t="s">
        <v>1164</v>
      </c>
      <c r="F88" s="299">
        <v>8.66</v>
      </c>
      <c r="G88" s="299" t="s">
        <v>1182</v>
      </c>
      <c r="H88" s="299">
        <v>2</v>
      </c>
      <c r="I88" s="337">
        <f t="shared" ref="I88:I109" si="3">IF(H88="",D88*F88,D88*F88*H88)</f>
        <v>0.34639999999999999</v>
      </c>
      <c r="J88" s="95"/>
      <c r="K88" s="95"/>
      <c r="L88" s="95"/>
      <c r="M88" s="95"/>
      <c r="N88" s="95"/>
      <c r="O88" s="120"/>
    </row>
    <row r="89" spans="1:15" x14ac:dyDescent="0.25">
      <c r="A89" s="282">
        <v>20</v>
      </c>
      <c r="B89" s="309" t="s">
        <v>1166</v>
      </c>
      <c r="C89" s="292" t="s">
        <v>2454</v>
      </c>
      <c r="D89" s="337">
        <v>0.02</v>
      </c>
      <c r="E89" s="282" t="s">
        <v>1164</v>
      </c>
      <c r="F89" s="299">
        <v>8.66</v>
      </c>
      <c r="G89" s="299" t="s">
        <v>1182</v>
      </c>
      <c r="H89" s="299">
        <v>2</v>
      </c>
      <c r="I89" s="337">
        <f t="shared" si="3"/>
        <v>0.34639999999999999</v>
      </c>
      <c r="J89" s="94"/>
      <c r="K89" s="94"/>
      <c r="L89" s="94"/>
      <c r="M89" s="94"/>
      <c r="N89" s="94"/>
      <c r="O89" s="93"/>
    </row>
    <row r="90" spans="1:15" x14ac:dyDescent="0.25">
      <c r="A90" s="282">
        <v>30</v>
      </c>
      <c r="B90" s="309" t="s">
        <v>1185</v>
      </c>
      <c r="C90" s="292" t="s">
        <v>2450</v>
      </c>
      <c r="D90" s="337">
        <v>0.02</v>
      </c>
      <c r="E90" s="282" t="s">
        <v>1164</v>
      </c>
      <c r="F90" s="299">
        <v>8.66</v>
      </c>
      <c r="G90" s="299" t="s">
        <v>1182</v>
      </c>
      <c r="H90" s="299">
        <v>2</v>
      </c>
      <c r="I90" s="337">
        <f t="shared" si="3"/>
        <v>0.34639999999999999</v>
      </c>
      <c r="J90" s="95"/>
      <c r="K90" s="95"/>
      <c r="L90" s="95"/>
      <c r="M90" s="95"/>
      <c r="N90" s="95"/>
      <c r="O90" s="120"/>
    </row>
    <row r="91" spans="1:15" x14ac:dyDescent="0.25">
      <c r="A91" s="282">
        <v>40</v>
      </c>
      <c r="B91" s="309" t="s">
        <v>374</v>
      </c>
      <c r="C91" s="376" t="s">
        <v>2453</v>
      </c>
      <c r="D91" s="337">
        <v>0.06</v>
      </c>
      <c r="E91" s="309" t="s">
        <v>64</v>
      </c>
      <c r="F91" s="299">
        <v>1</v>
      </c>
      <c r="G91" s="299" t="s">
        <v>1182</v>
      </c>
      <c r="H91" s="299">
        <v>2</v>
      </c>
      <c r="I91" s="337">
        <f t="shared" si="3"/>
        <v>0.12</v>
      </c>
      <c r="J91" s="94"/>
      <c r="K91" s="94"/>
      <c r="L91" s="94"/>
      <c r="M91" s="94"/>
      <c r="N91" s="94"/>
      <c r="O91" s="93"/>
    </row>
    <row r="92" spans="1:15" x14ac:dyDescent="0.25">
      <c r="A92" s="282">
        <v>50</v>
      </c>
      <c r="B92" s="309" t="s">
        <v>1185</v>
      </c>
      <c r="C92" s="292" t="s">
        <v>2452</v>
      </c>
      <c r="D92" s="337">
        <v>0.02</v>
      </c>
      <c r="E92" s="282" t="s">
        <v>1164</v>
      </c>
      <c r="F92" s="299">
        <v>12.43</v>
      </c>
      <c r="G92" s="299" t="s">
        <v>1182</v>
      </c>
      <c r="H92" s="299">
        <v>2</v>
      </c>
      <c r="I92" s="337">
        <f t="shared" si="3"/>
        <v>0.49719999999999998</v>
      </c>
      <c r="J92" s="95"/>
      <c r="K92" s="95"/>
      <c r="L92" s="95"/>
      <c r="M92" s="95"/>
      <c r="N92" s="95"/>
      <c r="O92" s="120"/>
    </row>
    <row r="93" spans="1:15" x14ac:dyDescent="0.25">
      <c r="A93" s="282">
        <v>60</v>
      </c>
      <c r="B93" s="309" t="s">
        <v>1166</v>
      </c>
      <c r="C93" s="292" t="s">
        <v>1183</v>
      </c>
      <c r="D93" s="337">
        <v>0.02</v>
      </c>
      <c r="E93" s="282" t="s">
        <v>1164</v>
      </c>
      <c r="F93" s="299">
        <v>12.43</v>
      </c>
      <c r="G93" s="299" t="s">
        <v>1182</v>
      </c>
      <c r="H93" s="299">
        <v>2</v>
      </c>
      <c r="I93" s="337">
        <f t="shared" si="3"/>
        <v>0.49719999999999998</v>
      </c>
      <c r="J93" s="94"/>
      <c r="K93" s="94"/>
      <c r="L93" s="94"/>
      <c r="M93" s="94"/>
      <c r="N93" s="94"/>
      <c r="O93" s="93"/>
    </row>
    <row r="94" spans="1:15" x14ac:dyDescent="0.25">
      <c r="A94" s="282">
        <v>70</v>
      </c>
      <c r="B94" s="309" t="s">
        <v>1185</v>
      </c>
      <c r="C94" s="292" t="s">
        <v>2383</v>
      </c>
      <c r="D94" s="337">
        <v>0.02</v>
      </c>
      <c r="E94" s="282" t="s">
        <v>1164</v>
      </c>
      <c r="F94" s="299">
        <v>12.43</v>
      </c>
      <c r="G94" s="299" t="s">
        <v>1182</v>
      </c>
      <c r="H94" s="299">
        <v>2</v>
      </c>
      <c r="I94" s="337">
        <f t="shared" si="3"/>
        <v>0.49719999999999998</v>
      </c>
      <c r="J94" s="95"/>
      <c r="K94" s="95"/>
      <c r="L94" s="95"/>
      <c r="M94" s="95"/>
      <c r="N94" s="95"/>
      <c r="O94" s="120"/>
    </row>
    <row r="95" spans="1:15" x14ac:dyDescent="0.25">
      <c r="A95" s="282">
        <v>80</v>
      </c>
      <c r="B95" s="309" t="s">
        <v>374</v>
      </c>
      <c r="C95" s="376" t="s">
        <v>2451</v>
      </c>
      <c r="D95" s="337">
        <v>0.14000000000000001</v>
      </c>
      <c r="E95" s="309" t="s">
        <v>64</v>
      </c>
      <c r="F95" s="299">
        <v>1</v>
      </c>
      <c r="G95" s="299" t="s">
        <v>1182</v>
      </c>
      <c r="H95" s="299">
        <v>2</v>
      </c>
      <c r="I95" s="337">
        <f t="shared" si="3"/>
        <v>0.28000000000000003</v>
      </c>
      <c r="J95" s="99"/>
      <c r="K95" s="99"/>
      <c r="L95" s="99"/>
      <c r="M95" s="99"/>
      <c r="N95" s="99"/>
      <c r="O95" s="130"/>
    </row>
    <row r="96" spans="1:15" x14ac:dyDescent="0.25">
      <c r="A96" s="282">
        <v>90</v>
      </c>
      <c r="B96" s="309" t="s">
        <v>1185</v>
      </c>
      <c r="C96" s="292" t="s">
        <v>2450</v>
      </c>
      <c r="D96" s="337">
        <v>0.02</v>
      </c>
      <c r="E96" s="282" t="s">
        <v>1164</v>
      </c>
      <c r="F96" s="299">
        <v>12.43</v>
      </c>
      <c r="G96" s="299" t="s">
        <v>1182</v>
      </c>
      <c r="H96" s="299">
        <v>2</v>
      </c>
      <c r="I96" s="337">
        <f t="shared" si="3"/>
        <v>0.49719999999999998</v>
      </c>
      <c r="J96" s="95"/>
      <c r="K96" s="95"/>
      <c r="L96" s="95"/>
      <c r="M96" s="95"/>
      <c r="N96" s="95"/>
      <c r="O96" s="120"/>
    </row>
    <row r="97" spans="1:15" x14ac:dyDescent="0.25">
      <c r="A97" s="282">
        <v>100</v>
      </c>
      <c r="B97" s="309" t="s">
        <v>1166</v>
      </c>
      <c r="C97" s="292" t="s">
        <v>2449</v>
      </c>
      <c r="D97" s="337">
        <v>0.18</v>
      </c>
      <c r="E97" s="282" t="s">
        <v>1164</v>
      </c>
      <c r="F97" s="299">
        <v>12.43</v>
      </c>
      <c r="G97" s="299" t="s">
        <v>1182</v>
      </c>
      <c r="H97" s="299">
        <v>2</v>
      </c>
      <c r="I97" s="337">
        <f t="shared" si="3"/>
        <v>4.4748000000000001</v>
      </c>
      <c r="J97" s="99"/>
      <c r="K97" s="99"/>
      <c r="L97" s="99"/>
      <c r="M97" s="99"/>
      <c r="N97" s="99"/>
      <c r="O97" s="120"/>
    </row>
    <row r="98" spans="1:15" x14ac:dyDescent="0.25">
      <c r="A98" s="282">
        <v>110</v>
      </c>
      <c r="B98" s="309" t="s">
        <v>1185</v>
      </c>
      <c r="C98" s="292" t="s">
        <v>2383</v>
      </c>
      <c r="D98" s="337">
        <v>0.02</v>
      </c>
      <c r="E98" s="282" t="s">
        <v>1164</v>
      </c>
      <c r="F98" s="299">
        <v>12.43</v>
      </c>
      <c r="G98" s="299" t="s">
        <v>1182</v>
      </c>
      <c r="H98" s="299">
        <v>2</v>
      </c>
      <c r="I98" s="337">
        <f t="shared" si="3"/>
        <v>0.49719999999999998</v>
      </c>
      <c r="J98" s="95"/>
      <c r="K98" s="95"/>
      <c r="L98" s="95"/>
      <c r="M98" s="95"/>
      <c r="N98" s="95"/>
      <c r="O98" s="120"/>
    </row>
    <row r="99" spans="1:15" ht="30" x14ac:dyDescent="0.25">
      <c r="A99" s="282">
        <v>120</v>
      </c>
      <c r="B99" s="309" t="s">
        <v>374</v>
      </c>
      <c r="C99" s="376" t="s">
        <v>2448</v>
      </c>
      <c r="D99" s="337">
        <v>0.22</v>
      </c>
      <c r="E99" s="309" t="s">
        <v>64</v>
      </c>
      <c r="F99" s="299">
        <v>1</v>
      </c>
      <c r="G99" s="299" t="s">
        <v>1182</v>
      </c>
      <c r="H99" s="299">
        <v>2</v>
      </c>
      <c r="I99" s="337">
        <f t="shared" si="3"/>
        <v>0.44</v>
      </c>
      <c r="J99" s="99"/>
      <c r="K99" s="99"/>
      <c r="L99" s="99"/>
      <c r="M99" s="99"/>
      <c r="N99" s="99"/>
      <c r="O99" s="120"/>
    </row>
    <row r="100" spans="1:15" x14ac:dyDescent="0.25">
      <c r="A100" s="282">
        <v>130</v>
      </c>
      <c r="B100" s="309" t="s">
        <v>1185</v>
      </c>
      <c r="C100" s="292" t="s">
        <v>2447</v>
      </c>
      <c r="D100" s="337">
        <v>0.02</v>
      </c>
      <c r="E100" s="282" t="s">
        <v>1164</v>
      </c>
      <c r="F100" s="299">
        <v>4.01</v>
      </c>
      <c r="G100" s="299" t="s">
        <v>786</v>
      </c>
      <c r="H100" s="299">
        <v>3</v>
      </c>
      <c r="I100" s="337">
        <f t="shared" si="3"/>
        <v>0.24059999999999998</v>
      </c>
      <c r="J100" s="95"/>
      <c r="K100" s="95"/>
      <c r="L100" s="95"/>
      <c r="M100" s="95"/>
      <c r="N100" s="95"/>
      <c r="O100" s="120"/>
    </row>
    <row r="101" spans="1:15" x14ac:dyDescent="0.25">
      <c r="A101" s="282">
        <v>140</v>
      </c>
      <c r="B101" s="1369" t="s">
        <v>1166</v>
      </c>
      <c r="C101" s="292" t="s">
        <v>2446</v>
      </c>
      <c r="D101" s="337">
        <v>0.02</v>
      </c>
      <c r="E101" s="282" t="s">
        <v>1164</v>
      </c>
      <c r="F101" s="299">
        <v>4.01</v>
      </c>
      <c r="G101" s="299" t="s">
        <v>786</v>
      </c>
      <c r="H101" s="299">
        <v>3</v>
      </c>
      <c r="I101" s="337">
        <f t="shared" si="3"/>
        <v>0.24059999999999998</v>
      </c>
      <c r="J101" s="99"/>
      <c r="K101" s="99"/>
      <c r="L101" s="99"/>
      <c r="M101" s="99"/>
      <c r="N101" s="99"/>
      <c r="O101" s="120"/>
    </row>
    <row r="102" spans="1:15" x14ac:dyDescent="0.25">
      <c r="A102" s="282">
        <v>150</v>
      </c>
      <c r="B102" s="309" t="s">
        <v>374</v>
      </c>
      <c r="C102" s="292" t="s">
        <v>2445</v>
      </c>
      <c r="D102" s="337">
        <v>0.3</v>
      </c>
      <c r="E102" s="309" t="s">
        <v>64</v>
      </c>
      <c r="F102" s="299">
        <v>1</v>
      </c>
      <c r="G102" s="299" t="s">
        <v>786</v>
      </c>
      <c r="H102" s="299">
        <v>3</v>
      </c>
      <c r="I102" s="337">
        <f t="shared" si="3"/>
        <v>0.89999999999999991</v>
      </c>
      <c r="J102" s="99"/>
      <c r="K102" s="99"/>
      <c r="L102" s="99"/>
      <c r="M102" s="99"/>
      <c r="N102" s="99"/>
      <c r="O102" s="120"/>
    </row>
    <row r="103" spans="1:15" x14ac:dyDescent="0.25">
      <c r="A103" s="282">
        <v>160</v>
      </c>
      <c r="B103" s="282" t="s">
        <v>103</v>
      </c>
      <c r="C103" s="292" t="s">
        <v>2397</v>
      </c>
      <c r="D103" s="337">
        <v>0.15</v>
      </c>
      <c r="E103" s="282" t="s">
        <v>1164</v>
      </c>
      <c r="F103" s="299">
        <v>22</v>
      </c>
      <c r="G103" s="299"/>
      <c r="H103" s="299"/>
      <c r="I103" s="337">
        <f t="shared" si="3"/>
        <v>3.3</v>
      </c>
      <c r="J103" s="99"/>
      <c r="K103" s="99"/>
      <c r="L103" s="99"/>
      <c r="M103" s="99"/>
      <c r="N103" s="99"/>
      <c r="O103" s="120"/>
    </row>
    <row r="104" spans="1:15" x14ac:dyDescent="0.25">
      <c r="A104" s="282">
        <v>170</v>
      </c>
      <c r="B104" s="309" t="s">
        <v>535</v>
      </c>
      <c r="C104" s="376" t="s">
        <v>2396</v>
      </c>
      <c r="D104" s="337">
        <v>5.25</v>
      </c>
      <c r="E104" s="309" t="s">
        <v>241</v>
      </c>
      <c r="F104" s="299">
        <v>0.01</v>
      </c>
      <c r="G104" s="299"/>
      <c r="H104" s="299"/>
      <c r="I104" s="337">
        <f t="shared" si="3"/>
        <v>5.2499999999999998E-2</v>
      </c>
      <c r="J104" s="99"/>
      <c r="K104" s="99"/>
      <c r="L104" s="99"/>
      <c r="M104" s="245"/>
      <c r="N104" s="99"/>
      <c r="O104" s="120"/>
    </row>
    <row r="105" spans="1:15" x14ac:dyDescent="0.25">
      <c r="A105" s="282">
        <v>180</v>
      </c>
      <c r="B105" s="282" t="s">
        <v>374</v>
      </c>
      <c r="C105" s="292" t="s">
        <v>2444</v>
      </c>
      <c r="D105" s="337">
        <v>0.14000000000000001</v>
      </c>
      <c r="E105" s="282" t="s">
        <v>64</v>
      </c>
      <c r="F105" s="299">
        <v>1</v>
      </c>
      <c r="G105" s="299"/>
      <c r="H105" s="299"/>
      <c r="I105" s="337">
        <f t="shared" si="3"/>
        <v>0.14000000000000001</v>
      </c>
      <c r="J105" s="99"/>
      <c r="K105" s="99"/>
      <c r="L105" s="99"/>
      <c r="M105" s="99"/>
      <c r="N105" s="99"/>
      <c r="O105" s="120"/>
    </row>
    <row r="106" spans="1:15" x14ac:dyDescent="0.25">
      <c r="A106" s="282">
        <v>190</v>
      </c>
      <c r="B106" s="309" t="s">
        <v>2371</v>
      </c>
      <c r="C106" s="376" t="s">
        <v>2443</v>
      </c>
      <c r="D106" s="337">
        <v>0.13</v>
      </c>
      <c r="E106" s="309" t="s">
        <v>64</v>
      </c>
      <c r="F106" s="299">
        <v>4</v>
      </c>
      <c r="G106" s="299"/>
      <c r="H106" s="299"/>
      <c r="I106" s="337">
        <f t="shared" si="3"/>
        <v>0.52</v>
      </c>
      <c r="J106" s="99"/>
      <c r="K106" s="99"/>
      <c r="L106" s="99"/>
      <c r="M106" s="99"/>
      <c r="N106" s="99"/>
      <c r="O106" s="120"/>
    </row>
    <row r="107" spans="1:15" x14ac:dyDescent="0.25">
      <c r="A107" s="282">
        <v>200</v>
      </c>
      <c r="B107" s="309" t="s">
        <v>2371</v>
      </c>
      <c r="C107" s="376" t="s">
        <v>2370</v>
      </c>
      <c r="D107" s="337">
        <v>0.13</v>
      </c>
      <c r="E107" s="309" t="s">
        <v>64</v>
      </c>
      <c r="F107" s="299">
        <v>8</v>
      </c>
      <c r="G107" s="299"/>
      <c r="H107" s="299"/>
      <c r="I107" s="337">
        <f t="shared" si="3"/>
        <v>1.04</v>
      </c>
      <c r="J107" s="99"/>
      <c r="K107" s="99"/>
      <c r="L107" s="99"/>
      <c r="M107" s="99"/>
      <c r="N107" s="99"/>
      <c r="O107" s="120"/>
    </row>
    <row r="108" spans="1:15" x14ac:dyDescent="0.25">
      <c r="A108" s="282">
        <v>210</v>
      </c>
      <c r="B108" s="282" t="s">
        <v>1451</v>
      </c>
      <c r="C108" s="292" t="s">
        <v>2394</v>
      </c>
      <c r="D108" s="337">
        <v>0.13</v>
      </c>
      <c r="E108" s="282" t="s">
        <v>64</v>
      </c>
      <c r="F108" s="299">
        <v>2</v>
      </c>
      <c r="G108" s="299"/>
      <c r="H108" s="299"/>
      <c r="I108" s="337">
        <f t="shared" si="3"/>
        <v>0.26</v>
      </c>
      <c r="J108" s="99"/>
      <c r="K108" s="99"/>
      <c r="L108" s="99"/>
      <c r="M108" s="99"/>
      <c r="N108" s="99"/>
      <c r="O108" s="120"/>
    </row>
    <row r="109" spans="1:15" x14ac:dyDescent="0.25">
      <c r="A109" s="282">
        <v>220</v>
      </c>
      <c r="B109" s="309" t="s">
        <v>2393</v>
      </c>
      <c r="C109" s="376" t="s">
        <v>2392</v>
      </c>
      <c r="D109" s="337">
        <v>0.25</v>
      </c>
      <c r="E109" s="309" t="s">
        <v>64</v>
      </c>
      <c r="F109" s="299">
        <v>2</v>
      </c>
      <c r="G109" s="299"/>
      <c r="H109" s="299"/>
      <c r="I109" s="337">
        <f t="shared" si="3"/>
        <v>0.5</v>
      </c>
      <c r="J109" s="99"/>
      <c r="K109" s="99"/>
      <c r="L109" s="99"/>
      <c r="M109" s="99"/>
      <c r="N109" s="99"/>
      <c r="O109" s="130"/>
    </row>
    <row r="110" spans="1:15" x14ac:dyDescent="0.25">
      <c r="A110" s="98"/>
      <c r="B110" s="95"/>
      <c r="C110" s="95"/>
      <c r="D110" s="95"/>
      <c r="E110" s="95"/>
      <c r="F110" s="95"/>
      <c r="G110" s="95"/>
      <c r="H110" s="1363" t="s">
        <v>58</v>
      </c>
      <c r="I110" s="1362">
        <f>SUM(I88:I109)</f>
        <v>16.033700000000003</v>
      </c>
      <c r="J110" s="94"/>
      <c r="K110" s="94"/>
      <c r="L110" s="94"/>
      <c r="M110" s="94"/>
      <c r="N110" s="94"/>
      <c r="O110" s="93"/>
    </row>
    <row r="111" spans="1:15" x14ac:dyDescent="0.25">
      <c r="A111" s="107"/>
      <c r="B111" s="94"/>
      <c r="C111" s="94"/>
      <c r="D111" s="94"/>
      <c r="E111" s="94"/>
      <c r="F111" s="94"/>
      <c r="G111" s="94"/>
      <c r="H111" s="94"/>
      <c r="I111" s="94"/>
      <c r="J111" s="94"/>
      <c r="K111" s="94"/>
      <c r="L111" s="94"/>
      <c r="M111" s="94"/>
      <c r="N111" s="94"/>
      <c r="O111" s="93"/>
    </row>
    <row r="112" spans="1:15" x14ac:dyDescent="0.25">
      <c r="A112" s="1367" t="s">
        <v>67</v>
      </c>
      <c r="B112" s="1367" t="s">
        <v>82</v>
      </c>
      <c r="C112" s="1367" t="s">
        <v>66</v>
      </c>
      <c r="D112" s="1367" t="s">
        <v>65</v>
      </c>
      <c r="E112" s="1367" t="s">
        <v>81</v>
      </c>
      <c r="F112" s="1367" t="s">
        <v>80</v>
      </c>
      <c r="G112" s="1367" t="s">
        <v>79</v>
      </c>
      <c r="H112" s="1367" t="s">
        <v>78</v>
      </c>
      <c r="I112" s="1367" t="s">
        <v>40</v>
      </c>
      <c r="J112" s="1367" t="s">
        <v>58</v>
      </c>
      <c r="K112" s="94"/>
      <c r="L112" s="94"/>
      <c r="M112" s="94"/>
      <c r="N112" s="94"/>
      <c r="O112" s="93"/>
    </row>
    <row r="113" spans="1:15" x14ac:dyDescent="0.25">
      <c r="A113" s="282">
        <v>10</v>
      </c>
      <c r="B113" s="282" t="s">
        <v>2391</v>
      </c>
      <c r="C113" s="282" t="s">
        <v>2441</v>
      </c>
      <c r="D113" s="630">
        <v>0.19</v>
      </c>
      <c r="E113" s="629">
        <v>8</v>
      </c>
      <c r="F113" s="629" t="s">
        <v>68</v>
      </c>
      <c r="G113" s="629">
        <v>30</v>
      </c>
      <c r="H113" s="629" t="s">
        <v>68</v>
      </c>
      <c r="I113" s="534">
        <v>3</v>
      </c>
      <c r="J113" s="337">
        <f>I113*D113</f>
        <v>0.57000000000000006</v>
      </c>
      <c r="K113" s="94"/>
      <c r="L113" s="94"/>
      <c r="M113" s="94"/>
      <c r="N113" s="94"/>
      <c r="O113" s="93"/>
    </row>
    <row r="114" spans="1:15" x14ac:dyDescent="0.25">
      <c r="A114" s="282">
        <v>20</v>
      </c>
      <c r="B114" s="282" t="s">
        <v>75</v>
      </c>
      <c r="C114" s="282" t="s">
        <v>2440</v>
      </c>
      <c r="D114" s="630">
        <v>0.01</v>
      </c>
      <c r="E114" s="282">
        <v>8</v>
      </c>
      <c r="F114" s="535" t="s">
        <v>68</v>
      </c>
      <c r="G114" s="282"/>
      <c r="H114" s="285"/>
      <c r="I114" s="534">
        <v>3</v>
      </c>
      <c r="J114" s="337">
        <f>I114*D114</f>
        <v>0.03</v>
      </c>
      <c r="K114" s="94"/>
      <c r="L114" s="94"/>
      <c r="M114" s="94"/>
      <c r="N114" s="94"/>
      <c r="O114" s="93"/>
    </row>
    <row r="115" spans="1:15" x14ac:dyDescent="0.25">
      <c r="D115" s="95"/>
      <c r="E115" s="95"/>
      <c r="F115" s="95"/>
      <c r="G115" s="95"/>
      <c r="H115" s="95"/>
      <c r="I115" s="1429" t="s">
        <v>58</v>
      </c>
      <c r="J115" s="1428">
        <f>SUM(J113:J114)</f>
        <v>0.60000000000000009</v>
      </c>
      <c r="K115" s="94"/>
      <c r="L115" s="94"/>
      <c r="M115" s="94"/>
      <c r="N115" s="94"/>
      <c r="O115" s="93"/>
    </row>
    <row r="116" spans="1:15" x14ac:dyDescent="0.25">
      <c r="A116" s="107"/>
      <c r="B116" s="94"/>
      <c r="C116" s="94"/>
      <c r="D116" s="94"/>
      <c r="E116" s="94"/>
      <c r="F116" s="94"/>
      <c r="G116" s="94"/>
      <c r="H116" s="94"/>
      <c r="I116" s="94"/>
      <c r="J116" s="94"/>
      <c r="K116" s="94"/>
      <c r="L116" s="94"/>
      <c r="M116" s="94"/>
      <c r="N116" s="94"/>
      <c r="O116" s="93"/>
    </row>
    <row r="117" spans="1:15" x14ac:dyDescent="0.25">
      <c r="A117" s="1367" t="s">
        <v>67</v>
      </c>
      <c r="B117" s="1367" t="s">
        <v>13</v>
      </c>
      <c r="C117" s="1367" t="s">
        <v>66</v>
      </c>
      <c r="D117" s="1367" t="s">
        <v>65</v>
      </c>
      <c r="E117" s="1367" t="s">
        <v>64</v>
      </c>
      <c r="F117" s="1367" t="s">
        <v>40</v>
      </c>
      <c r="G117" s="1367" t="s">
        <v>63</v>
      </c>
      <c r="H117" s="1367" t="s">
        <v>62</v>
      </c>
      <c r="I117" s="1367" t="s">
        <v>58</v>
      </c>
      <c r="J117" s="95"/>
      <c r="K117" s="94"/>
      <c r="L117" s="94"/>
      <c r="M117" s="94"/>
      <c r="N117" s="94"/>
      <c r="O117" s="93"/>
    </row>
    <row r="118" spans="1:15" x14ac:dyDescent="0.25">
      <c r="A118" s="282">
        <v>10</v>
      </c>
      <c r="B118" s="282" t="s">
        <v>61</v>
      </c>
      <c r="C118" s="282" t="s">
        <v>2438</v>
      </c>
      <c r="D118" s="283">
        <v>500</v>
      </c>
      <c r="E118" s="282" t="s">
        <v>59</v>
      </c>
      <c r="F118" s="282">
        <f>8</f>
        <v>8</v>
      </c>
      <c r="G118" s="282">
        <v>3000</v>
      </c>
      <c r="H118" s="282">
        <v>1</v>
      </c>
      <c r="I118" s="387">
        <f>D118*F118/G118*H118</f>
        <v>1.3333333333333333</v>
      </c>
      <c r="J118" s="95"/>
      <c r="K118" s="94"/>
      <c r="L118" s="94"/>
      <c r="M118" s="94"/>
      <c r="N118" s="94"/>
      <c r="O118" s="93"/>
    </row>
    <row r="119" spans="1:15" x14ac:dyDescent="0.25">
      <c r="A119" s="98"/>
      <c r="B119" s="95"/>
      <c r="C119" s="95"/>
      <c r="D119" s="95"/>
      <c r="E119" s="95"/>
      <c r="F119" s="95"/>
      <c r="G119" s="95"/>
      <c r="H119" s="1429" t="s">
        <v>58</v>
      </c>
      <c r="I119" s="1428">
        <f>SUM(I118:I118)</f>
        <v>1.3333333333333333</v>
      </c>
      <c r="J119" s="95"/>
      <c r="K119" s="94"/>
      <c r="L119" s="94"/>
      <c r="M119" s="94"/>
      <c r="N119" s="94"/>
      <c r="O119" s="93"/>
    </row>
    <row r="120" spans="1:15" ht="15.75" thickBot="1" x14ac:dyDescent="0.3">
      <c r="A120" s="92"/>
      <c r="B120" s="91"/>
      <c r="C120" s="91"/>
      <c r="D120" s="91"/>
      <c r="E120" s="91"/>
      <c r="F120" s="91"/>
      <c r="G120" s="91"/>
      <c r="H120" s="91"/>
      <c r="I120" s="91"/>
      <c r="J120" s="91"/>
      <c r="K120" s="91"/>
      <c r="L120" s="91"/>
      <c r="M120" s="91"/>
      <c r="N120" s="91"/>
      <c r="O120" s="540"/>
    </row>
    <row r="121" spans="1:15" ht="15.75" thickBot="1" x14ac:dyDescent="0.3">
      <c r="A121" s="107"/>
      <c r="B121" s="94"/>
      <c r="C121" s="94"/>
      <c r="D121" s="94"/>
      <c r="E121" s="94"/>
      <c r="F121" s="94"/>
      <c r="G121" s="94"/>
      <c r="H121" s="94"/>
      <c r="I121" s="94"/>
      <c r="J121" s="94"/>
      <c r="K121" s="94"/>
      <c r="L121" s="94"/>
      <c r="M121" s="94"/>
      <c r="N121" s="94"/>
      <c r="O121" s="94"/>
    </row>
    <row r="122" spans="1:15" x14ac:dyDescent="0.25">
      <c r="A122" s="141"/>
      <c r="B122" s="140"/>
      <c r="C122" s="140"/>
      <c r="D122" s="140"/>
      <c r="E122" s="140"/>
      <c r="F122" s="140"/>
      <c r="G122" s="140"/>
      <c r="H122" s="140"/>
      <c r="I122" s="140"/>
      <c r="J122" s="140"/>
      <c r="K122" s="140"/>
      <c r="L122" s="140"/>
      <c r="M122" s="140"/>
      <c r="N122" s="140"/>
      <c r="O122" s="139"/>
    </row>
    <row r="123" spans="1:15" x14ac:dyDescent="0.25">
      <c r="A123" s="1367" t="s">
        <v>57</v>
      </c>
      <c r="B123" s="133" t="s">
        <v>127</v>
      </c>
      <c r="C123" s="94"/>
      <c r="D123" s="94"/>
      <c r="E123" s="94"/>
      <c r="F123" s="94"/>
      <c r="G123" s="94"/>
      <c r="H123" s="94"/>
      <c r="I123" s="94"/>
      <c r="J123" s="1367" t="s">
        <v>51</v>
      </c>
      <c r="K123" s="138">
        <v>81</v>
      </c>
      <c r="L123" s="94"/>
      <c r="M123" s="1367" t="s">
        <v>126</v>
      </c>
      <c r="N123" s="137">
        <f>SU_A0003_m+SU_A0003_p+SU_A0003_f+SU_A0003_t+E139</f>
        <v>100.02177140642951</v>
      </c>
      <c r="O123" s="93"/>
    </row>
    <row r="124" spans="1:15" x14ac:dyDescent="0.25">
      <c r="A124" s="1367" t="s">
        <v>125</v>
      </c>
      <c r="B124" s="133" t="s">
        <v>5</v>
      </c>
      <c r="C124" s="94"/>
      <c r="D124" s="94"/>
      <c r="E124" s="94"/>
      <c r="F124" s="94"/>
      <c r="G124" s="94"/>
      <c r="H124" s="94"/>
      <c r="I124" s="94"/>
      <c r="J124" s="94"/>
      <c r="K124" s="94"/>
      <c r="L124" s="94"/>
      <c r="M124" s="1367" t="s">
        <v>124</v>
      </c>
      <c r="N124" s="136">
        <v>2</v>
      </c>
      <c r="O124" s="93"/>
    </row>
    <row r="125" spans="1:15" x14ac:dyDescent="0.25">
      <c r="A125" s="1367" t="s">
        <v>123</v>
      </c>
      <c r="B125" s="94" t="s">
        <v>2473</v>
      </c>
      <c r="C125" s="94"/>
      <c r="D125" s="94"/>
      <c r="E125" s="94"/>
      <c r="F125" s="94"/>
      <c r="G125" s="94"/>
      <c r="H125" s="94"/>
      <c r="I125" s="94"/>
      <c r="J125" s="1373" t="s">
        <v>122</v>
      </c>
      <c r="K125" s="94"/>
      <c r="L125" s="94"/>
      <c r="M125" s="94"/>
      <c r="N125" s="94"/>
      <c r="O125" s="93"/>
    </row>
    <row r="126" spans="1:15" x14ac:dyDescent="0.25">
      <c r="A126" s="1367" t="s">
        <v>121</v>
      </c>
      <c r="B126" s="135" t="s">
        <v>2472</v>
      </c>
      <c r="C126" s="94"/>
      <c r="D126" s="94"/>
      <c r="E126" s="94"/>
      <c r="F126" s="94"/>
      <c r="G126" s="94"/>
      <c r="H126" s="94"/>
      <c r="I126" s="94"/>
      <c r="J126" s="1373" t="s">
        <v>119</v>
      </c>
      <c r="K126" s="94"/>
      <c r="L126" s="94"/>
      <c r="M126" s="1367" t="s">
        <v>118</v>
      </c>
      <c r="N126" s="100">
        <f>N123*N124</f>
        <v>200.04354281285902</v>
      </c>
      <c r="O126" s="93"/>
    </row>
    <row r="127" spans="1:15" x14ac:dyDescent="0.25">
      <c r="A127" s="1367" t="s">
        <v>117</v>
      </c>
      <c r="B127" s="133" t="s">
        <v>23</v>
      </c>
      <c r="C127" s="94"/>
      <c r="D127" s="94"/>
      <c r="E127" s="94"/>
      <c r="F127" s="94"/>
      <c r="G127" s="94"/>
      <c r="H127" s="94"/>
      <c r="I127" s="94"/>
      <c r="J127" s="1373" t="s">
        <v>116</v>
      </c>
      <c r="K127" s="94"/>
      <c r="L127" s="94"/>
      <c r="M127" s="94"/>
      <c r="N127" s="94"/>
      <c r="O127" s="93"/>
    </row>
    <row r="128" spans="1:15" x14ac:dyDescent="0.25">
      <c r="A128" s="1367" t="s">
        <v>115</v>
      </c>
      <c r="B128" s="133"/>
      <c r="C128" s="94"/>
      <c r="D128" s="94"/>
      <c r="E128" s="94"/>
      <c r="F128" s="94"/>
      <c r="G128" s="94"/>
      <c r="H128" s="94"/>
      <c r="I128" s="94"/>
      <c r="J128" s="94"/>
      <c r="K128" s="94"/>
      <c r="L128" s="94"/>
      <c r="M128" s="94"/>
      <c r="N128" s="94"/>
      <c r="O128" s="93"/>
    </row>
    <row r="129" spans="1:15" x14ac:dyDescent="0.25">
      <c r="A129" s="107"/>
      <c r="B129" s="94"/>
      <c r="C129" s="94"/>
      <c r="D129" s="94"/>
      <c r="E129" s="94"/>
      <c r="F129" s="94"/>
      <c r="G129" s="94"/>
      <c r="H129" s="94"/>
      <c r="I129" s="94"/>
      <c r="J129" s="94"/>
      <c r="K129" s="94"/>
      <c r="L129" s="94"/>
      <c r="M129" s="94"/>
      <c r="N129" s="94"/>
      <c r="O129" s="93"/>
    </row>
    <row r="130" spans="1:15" x14ac:dyDescent="0.25">
      <c r="A130" s="1367" t="s">
        <v>67</v>
      </c>
      <c r="B130" s="1367" t="s">
        <v>114</v>
      </c>
      <c r="C130" s="1367" t="s">
        <v>113</v>
      </c>
      <c r="D130" s="1367" t="s">
        <v>40</v>
      </c>
      <c r="E130" s="1367" t="s">
        <v>58</v>
      </c>
      <c r="F130" s="94"/>
      <c r="G130" s="94"/>
      <c r="H130" s="94"/>
      <c r="I130" s="94"/>
      <c r="J130" s="94"/>
      <c r="K130" s="94"/>
      <c r="L130" s="94"/>
      <c r="M130" s="94"/>
      <c r="N130" s="94"/>
      <c r="O130" s="93"/>
    </row>
    <row r="131" spans="1:15" x14ac:dyDescent="0.25">
      <c r="A131" s="129">
        <v>10</v>
      </c>
      <c r="B131" s="1446" t="s">
        <v>2464</v>
      </c>
      <c r="C131" s="100">
        <f>'SU Parts'!N363</f>
        <v>3.7758890374999998</v>
      </c>
      <c r="D131" s="127">
        <f>'SU Parts'!N364</f>
        <v>2</v>
      </c>
      <c r="E131" s="100">
        <f t="shared" ref="E131:E138" si="4">C131*D131</f>
        <v>7.5517780749999996</v>
      </c>
      <c r="F131" s="94"/>
      <c r="G131" s="94"/>
      <c r="H131" s="94"/>
      <c r="I131" s="94"/>
      <c r="J131" s="94"/>
      <c r="K131" s="94"/>
      <c r="L131" s="94"/>
      <c r="M131" s="94"/>
      <c r="N131" s="94"/>
      <c r="O131" s="93"/>
    </row>
    <row r="132" spans="1:15" x14ac:dyDescent="0.25">
      <c r="A132" s="282">
        <v>20</v>
      </c>
      <c r="B132" s="1446" t="s">
        <v>2471</v>
      </c>
      <c r="C132" s="100">
        <f>'SU Parts'!N386</f>
        <v>6.7992800000000004</v>
      </c>
      <c r="D132" s="127">
        <f>'SU Parts'!N387</f>
        <v>1</v>
      </c>
      <c r="E132" s="100">
        <f t="shared" si="4"/>
        <v>6.7992800000000004</v>
      </c>
      <c r="F132" s="99"/>
      <c r="G132" s="99"/>
      <c r="H132" s="99"/>
      <c r="I132" s="99"/>
      <c r="J132" s="99"/>
      <c r="K132" s="99"/>
      <c r="L132" s="99"/>
      <c r="M132" s="99"/>
      <c r="N132" s="99"/>
      <c r="O132" s="93"/>
    </row>
    <row r="133" spans="1:15" x14ac:dyDescent="0.25">
      <c r="A133" s="129">
        <v>30</v>
      </c>
      <c r="B133" s="132" t="s">
        <v>2462</v>
      </c>
      <c r="C133" s="100">
        <f>'SU Parts'!N412</f>
        <v>0.46456844800000002</v>
      </c>
      <c r="D133" s="127">
        <f>'SU Parts'!N413</f>
        <v>2</v>
      </c>
      <c r="E133" s="100">
        <f t="shared" si="4"/>
        <v>0.92913689600000005</v>
      </c>
      <c r="F133" s="99"/>
      <c r="G133" s="99"/>
      <c r="H133" s="99"/>
      <c r="I133" s="99"/>
      <c r="J133" s="99"/>
      <c r="K133" s="99"/>
      <c r="L133" s="99"/>
      <c r="M133" s="99"/>
      <c r="N133" s="99"/>
      <c r="O133" s="131"/>
    </row>
    <row r="134" spans="1:15" x14ac:dyDescent="0.25">
      <c r="A134" s="129">
        <v>40</v>
      </c>
      <c r="B134" s="132" t="s">
        <v>2470</v>
      </c>
      <c r="C134" s="100">
        <f>'SU Parts'!N430</f>
        <v>11.598131758522795</v>
      </c>
      <c r="D134" s="127">
        <f>'SU Parts'!N431</f>
        <v>1</v>
      </c>
      <c r="E134" s="100">
        <f t="shared" si="4"/>
        <v>11.598131758522795</v>
      </c>
      <c r="F134" s="99"/>
      <c r="G134" s="99"/>
      <c r="H134" s="99"/>
      <c r="I134" s="99"/>
      <c r="J134" s="99"/>
      <c r="K134" s="99"/>
      <c r="L134" s="99"/>
      <c r="M134" s="99"/>
      <c r="N134" s="99"/>
      <c r="O134" s="131"/>
    </row>
    <row r="135" spans="1:15" x14ac:dyDescent="0.25">
      <c r="A135" s="282">
        <v>50</v>
      </c>
      <c r="B135" s="132" t="s">
        <v>2469</v>
      </c>
      <c r="C135" s="100">
        <f>'SU Parts'!N451</f>
        <v>11.08353888186479</v>
      </c>
      <c r="D135" s="127">
        <f>'SU Parts'!N452</f>
        <v>1</v>
      </c>
      <c r="E135" s="100">
        <f t="shared" si="4"/>
        <v>11.08353888186479</v>
      </c>
      <c r="F135" s="99"/>
      <c r="G135" s="99"/>
      <c r="H135" s="99"/>
      <c r="I135" s="99"/>
      <c r="J135" s="99"/>
      <c r="K135" s="99"/>
      <c r="L135" s="99"/>
      <c r="M135" s="99"/>
      <c r="N135" s="99"/>
      <c r="O135" s="130"/>
    </row>
    <row r="136" spans="1:15" x14ac:dyDescent="0.25">
      <c r="A136" s="129">
        <v>60</v>
      </c>
      <c r="B136" s="128" t="s">
        <v>1104</v>
      </c>
      <c r="C136" s="100">
        <f>'SU Parts'!N472</f>
        <v>1.6884895769514321</v>
      </c>
      <c r="D136" s="127">
        <f>'SU Parts'!N473</f>
        <v>6</v>
      </c>
      <c r="E136" s="100">
        <f t="shared" si="4"/>
        <v>10.130937461708593</v>
      </c>
      <c r="F136" s="94"/>
      <c r="G136" s="94"/>
      <c r="H136" s="94"/>
      <c r="I136" s="94"/>
      <c r="J136" s="94"/>
      <c r="K136" s="94"/>
      <c r="L136" s="94"/>
      <c r="M136" s="94"/>
      <c r="N136" s="94"/>
      <c r="O136" s="93"/>
    </row>
    <row r="137" spans="1:15" x14ac:dyDescent="0.25">
      <c r="A137" s="282">
        <v>70</v>
      </c>
      <c r="B137" s="132" t="s">
        <v>2468</v>
      </c>
      <c r="C137" s="100">
        <f>'SU Parts'!N493</f>
        <v>6.3175974999999989</v>
      </c>
      <c r="D137" s="127">
        <f>'SU Parts'!N494</f>
        <v>1</v>
      </c>
      <c r="E137" s="100">
        <f t="shared" si="4"/>
        <v>6.3175974999999989</v>
      </c>
      <c r="F137" s="99"/>
      <c r="G137" s="99"/>
      <c r="H137" s="99"/>
      <c r="I137" s="99"/>
      <c r="J137" s="99"/>
      <c r="K137" s="99"/>
      <c r="L137" s="99"/>
      <c r="M137" s="99"/>
      <c r="N137" s="99"/>
      <c r="O137" s="130"/>
    </row>
    <row r="138" spans="1:15" x14ac:dyDescent="0.25">
      <c r="A138" s="129">
        <v>80</v>
      </c>
      <c r="B138" s="128" t="s">
        <v>2467</v>
      </c>
      <c r="C138" s="100">
        <f>'SU Parts'!N517</f>
        <v>6.7843375000000012</v>
      </c>
      <c r="D138" s="127">
        <f>'SU Parts'!N518</f>
        <v>1</v>
      </c>
      <c r="E138" s="100">
        <f t="shared" si="4"/>
        <v>6.7843375000000012</v>
      </c>
      <c r="F138" s="94"/>
      <c r="G138" s="94"/>
      <c r="H138" s="94"/>
      <c r="I138" s="94"/>
      <c r="J138" s="94"/>
      <c r="K138" s="94"/>
      <c r="L138" s="94"/>
      <c r="M138" s="94"/>
      <c r="N138" s="94"/>
      <c r="O138" s="93"/>
    </row>
    <row r="139" spans="1:15" x14ac:dyDescent="0.25">
      <c r="A139" s="107"/>
      <c r="B139" s="94"/>
      <c r="C139" s="94"/>
      <c r="D139" s="1363" t="s">
        <v>58</v>
      </c>
      <c r="E139" s="1362">
        <f>SUM(E131:E138)</f>
        <v>61.194738073096175</v>
      </c>
      <c r="F139" s="99"/>
      <c r="G139" s="99"/>
      <c r="H139" s="99"/>
      <c r="I139" s="99"/>
      <c r="J139" s="99"/>
      <c r="K139" s="99"/>
      <c r="L139" s="99"/>
      <c r="M139" s="99"/>
      <c r="N139" s="99"/>
      <c r="O139" s="93"/>
    </row>
    <row r="140" spans="1:15" x14ac:dyDescent="0.25">
      <c r="A140" s="107"/>
      <c r="B140" s="94"/>
      <c r="C140" s="94"/>
      <c r="D140" s="94"/>
      <c r="E140" s="94"/>
      <c r="F140" s="94"/>
      <c r="G140" s="94"/>
      <c r="H140" s="94"/>
      <c r="I140" s="94"/>
      <c r="J140" s="94"/>
      <c r="K140" s="94"/>
      <c r="L140" s="94"/>
      <c r="M140" s="94"/>
      <c r="N140" s="94"/>
      <c r="O140" s="93"/>
    </row>
    <row r="141" spans="1:15" x14ac:dyDescent="0.25">
      <c r="A141" s="1367" t="s">
        <v>67</v>
      </c>
      <c r="B141" s="1367" t="s">
        <v>112</v>
      </c>
      <c r="C141" s="1367" t="s">
        <v>66</v>
      </c>
      <c r="D141" s="1367" t="s">
        <v>65</v>
      </c>
      <c r="E141" s="1367" t="s">
        <v>81</v>
      </c>
      <c r="F141" s="1367" t="s">
        <v>80</v>
      </c>
      <c r="G141" s="1367" t="s">
        <v>79</v>
      </c>
      <c r="H141" s="1367" t="s">
        <v>78</v>
      </c>
      <c r="I141" s="1367" t="s">
        <v>111</v>
      </c>
      <c r="J141" s="1367" t="s">
        <v>110</v>
      </c>
      <c r="K141" s="1367" t="s">
        <v>109</v>
      </c>
      <c r="L141" s="1367" t="s">
        <v>108</v>
      </c>
      <c r="M141" s="1367" t="s">
        <v>40</v>
      </c>
      <c r="N141" s="1367" t="s">
        <v>58</v>
      </c>
      <c r="O141" s="93"/>
    </row>
    <row r="142" spans="1:15" x14ac:dyDescent="0.25">
      <c r="A142" s="282">
        <v>10</v>
      </c>
      <c r="B142" s="282" t="s">
        <v>2386</v>
      </c>
      <c r="C142" s="282" t="s">
        <v>2401</v>
      </c>
      <c r="D142" s="283">
        <v>0</v>
      </c>
      <c r="E142" s="282"/>
      <c r="F142" s="282"/>
      <c r="G142" s="282"/>
      <c r="H142" s="278"/>
      <c r="I142" s="303"/>
      <c r="J142" s="435"/>
      <c r="K142" s="278"/>
      <c r="L142" s="278"/>
      <c r="M142" s="381">
        <v>1</v>
      </c>
      <c r="N142" s="387">
        <f>M142*D142</f>
        <v>0</v>
      </c>
      <c r="O142" s="93"/>
    </row>
    <row r="143" spans="1:15" x14ac:dyDescent="0.25">
      <c r="A143" s="282">
        <v>20</v>
      </c>
      <c r="B143" s="282" t="s">
        <v>2457</v>
      </c>
      <c r="C143" s="292" t="s">
        <v>2456</v>
      </c>
      <c r="D143" s="324">
        <v>6.92</v>
      </c>
      <c r="E143" s="315">
        <v>8</v>
      </c>
      <c r="F143" s="315" t="s">
        <v>68</v>
      </c>
      <c r="G143" s="315"/>
      <c r="H143" s="314"/>
      <c r="I143" s="357"/>
      <c r="J143" s="356"/>
      <c r="K143" s="320"/>
      <c r="L143" s="355"/>
      <c r="M143" s="1424">
        <v>3</v>
      </c>
      <c r="N143" s="387">
        <f>M143*D143</f>
        <v>20.759999999999998</v>
      </c>
      <c r="O143" s="143"/>
    </row>
    <row r="144" spans="1:15" x14ac:dyDescent="0.25">
      <c r="A144" s="282">
        <v>30</v>
      </c>
      <c r="B144" s="282" t="s">
        <v>250</v>
      </c>
      <c r="C144" s="292" t="s">
        <v>2400</v>
      </c>
      <c r="D144" s="324">
        <v>10</v>
      </c>
      <c r="E144" s="315">
        <v>0.01</v>
      </c>
      <c r="F144" s="315" t="s">
        <v>241</v>
      </c>
      <c r="G144" s="315"/>
      <c r="H144" s="314"/>
      <c r="I144" s="357"/>
      <c r="J144" s="356"/>
      <c r="K144" s="320"/>
      <c r="L144" s="355"/>
      <c r="M144" s="1424">
        <v>1</v>
      </c>
      <c r="N144" s="1423">
        <f>M144*D144*E144</f>
        <v>0.1</v>
      </c>
      <c r="O144" s="93"/>
    </row>
    <row r="145" spans="1:15" x14ac:dyDescent="0.25">
      <c r="A145" s="98"/>
      <c r="B145" s="95"/>
      <c r="C145" s="95"/>
      <c r="D145" s="95"/>
      <c r="E145" s="95"/>
      <c r="F145" s="95"/>
      <c r="G145" s="95"/>
      <c r="H145" s="95"/>
      <c r="I145" s="95"/>
      <c r="J145" s="95"/>
      <c r="K145" s="95"/>
      <c r="L145" s="95"/>
      <c r="M145" s="1367" t="s">
        <v>58</v>
      </c>
      <c r="N145" s="1362">
        <f>SUM(N142:N144)</f>
        <v>20.86</v>
      </c>
      <c r="O145" s="93"/>
    </row>
    <row r="146" spans="1:15" x14ac:dyDescent="0.25">
      <c r="A146" s="107"/>
      <c r="B146" s="94"/>
      <c r="C146" s="94"/>
      <c r="D146" s="94"/>
      <c r="E146" s="94"/>
      <c r="F146" s="94"/>
      <c r="G146" s="94"/>
      <c r="H146" s="94"/>
      <c r="I146" s="94"/>
      <c r="J146" s="94"/>
      <c r="K146" s="94"/>
      <c r="L146" s="94"/>
      <c r="M146" s="94"/>
      <c r="N146" s="94"/>
      <c r="O146" s="93"/>
    </row>
    <row r="147" spans="1:15" x14ac:dyDescent="0.25">
      <c r="A147" s="1367" t="s">
        <v>67</v>
      </c>
      <c r="B147" s="1414" t="s">
        <v>106</v>
      </c>
      <c r="C147" s="1367" t="s">
        <v>66</v>
      </c>
      <c r="D147" s="1367" t="s">
        <v>65</v>
      </c>
      <c r="E147" s="1367" t="s">
        <v>64</v>
      </c>
      <c r="F147" s="1367" t="s">
        <v>40</v>
      </c>
      <c r="G147" s="1367" t="s">
        <v>105</v>
      </c>
      <c r="H147" s="1367" t="s">
        <v>104</v>
      </c>
      <c r="I147" s="1367" t="s">
        <v>58</v>
      </c>
      <c r="J147" s="95"/>
      <c r="K147" s="95"/>
      <c r="L147" s="95"/>
      <c r="M147" s="95"/>
      <c r="N147" s="95"/>
      <c r="O147" s="120"/>
    </row>
    <row r="148" spans="1:15" ht="30" x14ac:dyDescent="0.25">
      <c r="A148" s="282">
        <v>10</v>
      </c>
      <c r="B148" s="309" t="s">
        <v>1185</v>
      </c>
      <c r="C148" s="292" t="s">
        <v>2455</v>
      </c>
      <c r="D148" s="337">
        <v>0.02</v>
      </c>
      <c r="E148" s="282" t="s">
        <v>1164</v>
      </c>
      <c r="F148" s="299">
        <v>8.66</v>
      </c>
      <c r="G148" s="299" t="s">
        <v>1182</v>
      </c>
      <c r="H148" s="299">
        <v>2</v>
      </c>
      <c r="I148" s="337">
        <f t="shared" ref="I148:I169" si="5">IF(H148="",D148*F148,D148*F148*H148)</f>
        <v>0.34639999999999999</v>
      </c>
      <c r="J148" s="95"/>
      <c r="K148" s="95"/>
      <c r="L148" s="95"/>
      <c r="M148" s="95"/>
      <c r="N148" s="95"/>
      <c r="O148" s="120"/>
    </row>
    <row r="149" spans="1:15" x14ac:dyDescent="0.25">
      <c r="A149" s="282">
        <v>20</v>
      </c>
      <c r="B149" s="309" t="s">
        <v>1166</v>
      </c>
      <c r="C149" s="292" t="s">
        <v>2454</v>
      </c>
      <c r="D149" s="337">
        <v>0.02</v>
      </c>
      <c r="E149" s="282" t="s">
        <v>1164</v>
      </c>
      <c r="F149" s="299">
        <v>8.66</v>
      </c>
      <c r="G149" s="299" t="s">
        <v>1182</v>
      </c>
      <c r="H149" s="299">
        <v>2</v>
      </c>
      <c r="I149" s="337">
        <f t="shared" si="5"/>
        <v>0.34639999999999999</v>
      </c>
      <c r="J149" s="94"/>
      <c r="K149" s="94"/>
      <c r="L149" s="94"/>
      <c r="M149" s="94"/>
      <c r="N149" s="94"/>
      <c r="O149" s="93"/>
    </row>
    <row r="150" spans="1:15" x14ac:dyDescent="0.25">
      <c r="A150" s="282">
        <v>30</v>
      </c>
      <c r="B150" s="309" t="s">
        <v>1185</v>
      </c>
      <c r="C150" s="292" t="s">
        <v>2450</v>
      </c>
      <c r="D150" s="337">
        <v>0.02</v>
      </c>
      <c r="E150" s="282" t="s">
        <v>1164</v>
      </c>
      <c r="F150" s="299">
        <v>8.66</v>
      </c>
      <c r="G150" s="299" t="s">
        <v>1182</v>
      </c>
      <c r="H150" s="299">
        <v>2</v>
      </c>
      <c r="I150" s="337">
        <f t="shared" si="5"/>
        <v>0.34639999999999999</v>
      </c>
      <c r="J150" s="95"/>
      <c r="K150" s="95"/>
      <c r="L150" s="95"/>
      <c r="M150" s="95"/>
      <c r="N150" s="95"/>
      <c r="O150" s="120"/>
    </row>
    <row r="151" spans="1:15" x14ac:dyDescent="0.25">
      <c r="A151" s="282">
        <v>40</v>
      </c>
      <c r="B151" s="309" t="s">
        <v>374</v>
      </c>
      <c r="C151" s="376" t="s">
        <v>2453</v>
      </c>
      <c r="D151" s="337">
        <v>0.06</v>
      </c>
      <c r="E151" s="309" t="s">
        <v>64</v>
      </c>
      <c r="F151" s="299">
        <v>1</v>
      </c>
      <c r="G151" s="299" t="s">
        <v>1182</v>
      </c>
      <c r="H151" s="299">
        <v>2</v>
      </c>
      <c r="I151" s="337">
        <f t="shared" si="5"/>
        <v>0.12</v>
      </c>
      <c r="J151" s="94"/>
      <c r="K151" s="94"/>
      <c r="L151" s="94"/>
      <c r="M151" s="94"/>
      <c r="N151" s="94"/>
      <c r="O151" s="93"/>
    </row>
    <row r="152" spans="1:15" x14ac:dyDescent="0.25">
      <c r="A152" s="282">
        <v>50</v>
      </c>
      <c r="B152" s="309" t="s">
        <v>1185</v>
      </c>
      <c r="C152" s="292" t="s">
        <v>2452</v>
      </c>
      <c r="D152" s="337">
        <v>0.02</v>
      </c>
      <c r="E152" s="282" t="s">
        <v>1164</v>
      </c>
      <c r="F152" s="299">
        <v>12.43</v>
      </c>
      <c r="G152" s="299" t="s">
        <v>1182</v>
      </c>
      <c r="H152" s="299">
        <v>2</v>
      </c>
      <c r="I152" s="337">
        <f t="shared" si="5"/>
        <v>0.49719999999999998</v>
      </c>
      <c r="J152" s="95"/>
      <c r="K152" s="95"/>
      <c r="L152" s="95"/>
      <c r="M152" s="95"/>
      <c r="N152" s="95"/>
      <c r="O152" s="120"/>
    </row>
    <row r="153" spans="1:15" x14ac:dyDescent="0.25">
      <c r="A153" s="282">
        <v>60</v>
      </c>
      <c r="B153" s="309" t="s">
        <v>1166</v>
      </c>
      <c r="C153" s="292" t="s">
        <v>1183</v>
      </c>
      <c r="D153" s="337">
        <v>0.02</v>
      </c>
      <c r="E153" s="282" t="s">
        <v>1164</v>
      </c>
      <c r="F153" s="299">
        <v>12.43</v>
      </c>
      <c r="G153" s="299" t="s">
        <v>1182</v>
      </c>
      <c r="H153" s="299">
        <v>2</v>
      </c>
      <c r="I153" s="337">
        <f t="shared" si="5"/>
        <v>0.49719999999999998</v>
      </c>
      <c r="J153" s="94"/>
      <c r="K153" s="94"/>
      <c r="L153" s="94"/>
      <c r="M153" s="94"/>
      <c r="N153" s="94"/>
      <c r="O153" s="93"/>
    </row>
    <row r="154" spans="1:15" x14ac:dyDescent="0.25">
      <c r="A154" s="282">
        <v>70</v>
      </c>
      <c r="B154" s="309" t="s">
        <v>1185</v>
      </c>
      <c r="C154" s="292" t="s">
        <v>2383</v>
      </c>
      <c r="D154" s="337">
        <v>0.02</v>
      </c>
      <c r="E154" s="282" t="s">
        <v>1164</v>
      </c>
      <c r="F154" s="299">
        <v>12.43</v>
      </c>
      <c r="G154" s="299" t="s">
        <v>1182</v>
      </c>
      <c r="H154" s="299">
        <v>2</v>
      </c>
      <c r="I154" s="337">
        <f t="shared" si="5"/>
        <v>0.49719999999999998</v>
      </c>
      <c r="J154" s="95"/>
      <c r="K154" s="95"/>
      <c r="L154" s="95"/>
      <c r="M154" s="95"/>
      <c r="N154" s="95"/>
      <c r="O154" s="120"/>
    </row>
    <row r="155" spans="1:15" x14ac:dyDescent="0.25">
      <c r="A155" s="282">
        <v>80</v>
      </c>
      <c r="B155" s="309" t="s">
        <v>374</v>
      </c>
      <c r="C155" s="376" t="s">
        <v>2451</v>
      </c>
      <c r="D155" s="337">
        <v>0.14000000000000001</v>
      </c>
      <c r="E155" s="309" t="s">
        <v>64</v>
      </c>
      <c r="F155" s="299">
        <v>1</v>
      </c>
      <c r="G155" s="299" t="s">
        <v>1182</v>
      </c>
      <c r="H155" s="299">
        <v>2</v>
      </c>
      <c r="I155" s="337">
        <f t="shared" si="5"/>
        <v>0.28000000000000003</v>
      </c>
      <c r="J155" s="99"/>
      <c r="K155" s="99"/>
      <c r="L155" s="99"/>
      <c r="M155" s="99"/>
      <c r="N155" s="99"/>
      <c r="O155" s="130"/>
    </row>
    <row r="156" spans="1:15" x14ac:dyDescent="0.25">
      <c r="A156" s="282">
        <v>90</v>
      </c>
      <c r="B156" s="309" t="s">
        <v>1185</v>
      </c>
      <c r="C156" s="292" t="s">
        <v>2450</v>
      </c>
      <c r="D156" s="337">
        <v>0.02</v>
      </c>
      <c r="E156" s="282" t="s">
        <v>1164</v>
      </c>
      <c r="F156" s="299">
        <v>12.43</v>
      </c>
      <c r="G156" s="299" t="s">
        <v>1182</v>
      </c>
      <c r="H156" s="299">
        <v>2</v>
      </c>
      <c r="I156" s="337">
        <f t="shared" si="5"/>
        <v>0.49719999999999998</v>
      </c>
      <c r="J156" s="95"/>
      <c r="K156" s="95"/>
      <c r="L156" s="95"/>
      <c r="M156" s="95"/>
      <c r="N156" s="95"/>
      <c r="O156" s="120"/>
    </row>
    <row r="157" spans="1:15" x14ac:dyDescent="0.25">
      <c r="A157" s="282">
        <v>100</v>
      </c>
      <c r="B157" s="309" t="s">
        <v>1166</v>
      </c>
      <c r="C157" s="292" t="s">
        <v>2449</v>
      </c>
      <c r="D157" s="337">
        <v>0.18</v>
      </c>
      <c r="E157" s="282" t="s">
        <v>1164</v>
      </c>
      <c r="F157" s="299">
        <v>12.43</v>
      </c>
      <c r="G157" s="299" t="s">
        <v>1182</v>
      </c>
      <c r="H157" s="299">
        <v>2</v>
      </c>
      <c r="I157" s="337">
        <f t="shared" si="5"/>
        <v>4.4748000000000001</v>
      </c>
      <c r="J157" s="99"/>
      <c r="K157" s="99"/>
      <c r="L157" s="99"/>
      <c r="M157" s="99"/>
      <c r="N157" s="99"/>
      <c r="O157" s="120"/>
    </row>
    <row r="158" spans="1:15" x14ac:dyDescent="0.25">
      <c r="A158" s="282">
        <v>110</v>
      </c>
      <c r="B158" s="309" t="s">
        <v>1185</v>
      </c>
      <c r="C158" s="292" t="s">
        <v>2383</v>
      </c>
      <c r="D158" s="337">
        <v>0.02</v>
      </c>
      <c r="E158" s="282" t="s">
        <v>1164</v>
      </c>
      <c r="F158" s="299">
        <v>12.43</v>
      </c>
      <c r="G158" s="299" t="s">
        <v>1182</v>
      </c>
      <c r="H158" s="299">
        <v>2</v>
      </c>
      <c r="I158" s="337">
        <f t="shared" si="5"/>
        <v>0.49719999999999998</v>
      </c>
      <c r="J158" s="95"/>
      <c r="K158" s="95"/>
      <c r="L158" s="95"/>
      <c r="M158" s="95"/>
      <c r="N158" s="95"/>
      <c r="O158" s="120"/>
    </row>
    <row r="159" spans="1:15" ht="30" x14ac:dyDescent="0.25">
      <c r="A159" s="282">
        <v>120</v>
      </c>
      <c r="B159" s="309" t="s">
        <v>374</v>
      </c>
      <c r="C159" s="376" t="s">
        <v>2448</v>
      </c>
      <c r="D159" s="337">
        <v>0.22</v>
      </c>
      <c r="E159" s="309" t="s">
        <v>64</v>
      </c>
      <c r="F159" s="299">
        <v>1</v>
      </c>
      <c r="G159" s="299" t="s">
        <v>1182</v>
      </c>
      <c r="H159" s="299">
        <v>2</v>
      </c>
      <c r="I159" s="337">
        <f t="shared" si="5"/>
        <v>0.44</v>
      </c>
      <c r="J159" s="99"/>
      <c r="K159" s="99"/>
      <c r="L159" s="99"/>
      <c r="M159" s="99"/>
      <c r="N159" s="99"/>
      <c r="O159" s="120"/>
    </row>
    <row r="160" spans="1:15" x14ac:dyDescent="0.25">
      <c r="A160" s="282">
        <v>130</v>
      </c>
      <c r="B160" s="309" t="s">
        <v>1185</v>
      </c>
      <c r="C160" s="292" t="s">
        <v>2447</v>
      </c>
      <c r="D160" s="337">
        <v>0.02</v>
      </c>
      <c r="E160" s="282" t="s">
        <v>1164</v>
      </c>
      <c r="F160" s="299">
        <v>4.01</v>
      </c>
      <c r="G160" s="299" t="s">
        <v>786</v>
      </c>
      <c r="H160" s="299">
        <v>3</v>
      </c>
      <c r="I160" s="337">
        <f t="shared" si="5"/>
        <v>0.24059999999999998</v>
      </c>
      <c r="J160" s="95"/>
      <c r="K160" s="95"/>
      <c r="L160" s="95"/>
      <c r="M160" s="95"/>
      <c r="N160" s="95"/>
      <c r="O160" s="120"/>
    </row>
    <row r="161" spans="1:15" x14ac:dyDescent="0.25">
      <c r="A161" s="282">
        <v>140</v>
      </c>
      <c r="B161" s="1369" t="s">
        <v>1166</v>
      </c>
      <c r="C161" s="292" t="s">
        <v>2446</v>
      </c>
      <c r="D161" s="337">
        <v>0.02</v>
      </c>
      <c r="E161" s="282" t="s">
        <v>1164</v>
      </c>
      <c r="F161" s="299">
        <v>4.01</v>
      </c>
      <c r="G161" s="299" t="s">
        <v>786</v>
      </c>
      <c r="H161" s="299">
        <v>3</v>
      </c>
      <c r="I161" s="337">
        <f t="shared" si="5"/>
        <v>0.24059999999999998</v>
      </c>
      <c r="J161" s="99"/>
      <c r="K161" s="99"/>
      <c r="L161" s="99"/>
      <c r="M161" s="99"/>
      <c r="N161" s="99"/>
      <c r="O161" s="120"/>
    </row>
    <row r="162" spans="1:15" x14ac:dyDescent="0.25">
      <c r="A162" s="282">
        <v>150</v>
      </c>
      <c r="B162" s="309" t="s">
        <v>374</v>
      </c>
      <c r="C162" s="292" t="s">
        <v>2445</v>
      </c>
      <c r="D162" s="337">
        <v>0.3</v>
      </c>
      <c r="E162" s="309" t="s">
        <v>64</v>
      </c>
      <c r="F162" s="299">
        <v>1</v>
      </c>
      <c r="G162" s="299" t="s">
        <v>786</v>
      </c>
      <c r="H162" s="299">
        <v>3</v>
      </c>
      <c r="I162" s="337">
        <f t="shared" si="5"/>
        <v>0.89999999999999991</v>
      </c>
      <c r="J162" s="99"/>
      <c r="K162" s="99"/>
      <c r="L162" s="99"/>
      <c r="M162" s="99"/>
      <c r="N162" s="99"/>
      <c r="O162" s="120"/>
    </row>
    <row r="163" spans="1:15" x14ac:dyDescent="0.25">
      <c r="A163" s="282">
        <v>160</v>
      </c>
      <c r="B163" s="282" t="s">
        <v>103</v>
      </c>
      <c r="C163" s="292" t="s">
        <v>2397</v>
      </c>
      <c r="D163" s="337">
        <v>0.15</v>
      </c>
      <c r="E163" s="282" t="s">
        <v>1164</v>
      </c>
      <c r="F163" s="299">
        <v>22</v>
      </c>
      <c r="G163" s="299"/>
      <c r="H163" s="299"/>
      <c r="I163" s="337">
        <f t="shared" si="5"/>
        <v>3.3</v>
      </c>
      <c r="J163" s="99"/>
      <c r="K163" s="99"/>
      <c r="L163" s="99"/>
      <c r="M163" s="99"/>
      <c r="N163" s="99"/>
      <c r="O163" s="120"/>
    </row>
    <row r="164" spans="1:15" x14ac:dyDescent="0.25">
      <c r="A164" s="282">
        <v>170</v>
      </c>
      <c r="B164" s="309" t="s">
        <v>535</v>
      </c>
      <c r="C164" s="376" t="s">
        <v>2396</v>
      </c>
      <c r="D164" s="337">
        <v>5.25</v>
      </c>
      <c r="E164" s="309" t="s">
        <v>241</v>
      </c>
      <c r="F164" s="299">
        <v>0.01</v>
      </c>
      <c r="G164" s="299"/>
      <c r="H164" s="299"/>
      <c r="I164" s="337">
        <f t="shared" si="5"/>
        <v>5.2499999999999998E-2</v>
      </c>
      <c r="J164" s="99"/>
      <c r="K164" s="99"/>
      <c r="L164" s="99"/>
      <c r="M164" s="245"/>
      <c r="N164" s="99"/>
      <c r="O164" s="120"/>
    </row>
    <row r="165" spans="1:15" x14ac:dyDescent="0.25">
      <c r="A165" s="282">
        <v>180</v>
      </c>
      <c r="B165" s="282" t="s">
        <v>374</v>
      </c>
      <c r="C165" s="292" t="s">
        <v>2444</v>
      </c>
      <c r="D165" s="337">
        <v>0.14000000000000001</v>
      </c>
      <c r="E165" s="282" t="s">
        <v>64</v>
      </c>
      <c r="F165" s="299">
        <v>1</v>
      </c>
      <c r="G165" s="299"/>
      <c r="H165" s="299"/>
      <c r="I165" s="337">
        <f t="shared" si="5"/>
        <v>0.14000000000000001</v>
      </c>
      <c r="J165" s="99"/>
      <c r="K165" s="99"/>
      <c r="L165" s="99"/>
      <c r="M165" s="99"/>
      <c r="N165" s="99"/>
      <c r="O165" s="120"/>
    </row>
    <row r="166" spans="1:15" x14ac:dyDescent="0.25">
      <c r="A166" s="282">
        <v>190</v>
      </c>
      <c r="B166" s="309" t="s">
        <v>2371</v>
      </c>
      <c r="C166" s="376" t="s">
        <v>2443</v>
      </c>
      <c r="D166" s="337">
        <v>0.13</v>
      </c>
      <c r="E166" s="309" t="s">
        <v>64</v>
      </c>
      <c r="F166" s="299">
        <v>4</v>
      </c>
      <c r="G166" s="299"/>
      <c r="H166" s="299"/>
      <c r="I166" s="337">
        <f t="shared" si="5"/>
        <v>0.52</v>
      </c>
      <c r="J166" s="99"/>
      <c r="K166" s="99"/>
      <c r="L166" s="99"/>
      <c r="M166" s="99"/>
      <c r="N166" s="99"/>
      <c r="O166" s="120"/>
    </row>
    <row r="167" spans="1:15" x14ac:dyDescent="0.25">
      <c r="A167" s="282">
        <v>200</v>
      </c>
      <c r="B167" s="309" t="s">
        <v>2371</v>
      </c>
      <c r="C167" s="376" t="s">
        <v>2370</v>
      </c>
      <c r="D167" s="337">
        <v>0.13</v>
      </c>
      <c r="E167" s="309" t="s">
        <v>64</v>
      </c>
      <c r="F167" s="299">
        <v>8</v>
      </c>
      <c r="G167" s="299"/>
      <c r="H167" s="299"/>
      <c r="I167" s="337">
        <f t="shared" si="5"/>
        <v>1.04</v>
      </c>
      <c r="J167" s="99"/>
      <c r="K167" s="99"/>
      <c r="L167" s="99"/>
      <c r="M167" s="99"/>
      <c r="N167" s="99"/>
      <c r="O167" s="120"/>
    </row>
    <row r="168" spans="1:15" x14ac:dyDescent="0.25">
      <c r="A168" s="282">
        <v>210</v>
      </c>
      <c r="B168" s="282" t="s">
        <v>1451</v>
      </c>
      <c r="C168" s="292" t="s">
        <v>2394</v>
      </c>
      <c r="D168" s="337">
        <v>0.13</v>
      </c>
      <c r="E168" s="282" t="s">
        <v>64</v>
      </c>
      <c r="F168" s="299">
        <v>2</v>
      </c>
      <c r="G168" s="299"/>
      <c r="H168" s="299"/>
      <c r="I168" s="337">
        <f t="shared" si="5"/>
        <v>0.26</v>
      </c>
      <c r="J168" s="99"/>
      <c r="K168" s="99"/>
      <c r="L168" s="99"/>
      <c r="M168" s="99"/>
      <c r="N168" s="99"/>
      <c r="O168" s="120"/>
    </row>
    <row r="169" spans="1:15" x14ac:dyDescent="0.25">
      <c r="A169" s="282">
        <v>220</v>
      </c>
      <c r="B169" s="309" t="s">
        <v>2393</v>
      </c>
      <c r="C169" s="376" t="s">
        <v>2442</v>
      </c>
      <c r="D169" s="337">
        <v>0.25</v>
      </c>
      <c r="E169" s="309" t="s">
        <v>64</v>
      </c>
      <c r="F169" s="299">
        <v>2</v>
      </c>
      <c r="G169" s="299"/>
      <c r="H169" s="299"/>
      <c r="I169" s="337">
        <f t="shared" si="5"/>
        <v>0.5</v>
      </c>
      <c r="J169" s="99"/>
      <c r="K169" s="99"/>
      <c r="L169" s="99"/>
      <c r="M169" s="99"/>
      <c r="N169" s="99"/>
      <c r="O169" s="130"/>
    </row>
    <row r="170" spans="1:15" x14ac:dyDescent="0.25">
      <c r="A170" s="98"/>
      <c r="B170" s="95"/>
      <c r="C170" s="95"/>
      <c r="D170" s="95"/>
      <c r="E170" s="95"/>
      <c r="F170" s="95"/>
      <c r="G170" s="95"/>
      <c r="H170" s="1363" t="s">
        <v>58</v>
      </c>
      <c r="I170" s="1362">
        <f>SUM(I148:I169)</f>
        <v>16.033700000000003</v>
      </c>
      <c r="J170" s="94"/>
      <c r="K170" s="94"/>
      <c r="L170" s="94"/>
      <c r="M170" s="94"/>
      <c r="N170" s="94"/>
      <c r="O170" s="93"/>
    </row>
    <row r="171" spans="1:15" x14ac:dyDescent="0.25">
      <c r="A171" s="107"/>
      <c r="B171" s="94"/>
      <c r="C171" s="94"/>
      <c r="D171" s="94"/>
      <c r="E171" s="94"/>
      <c r="F171" s="94"/>
      <c r="G171" s="94"/>
      <c r="H171" s="94"/>
      <c r="I171" s="94"/>
      <c r="J171" s="94"/>
      <c r="K171" s="94"/>
      <c r="L171" s="94"/>
      <c r="M171" s="94"/>
      <c r="N171" s="94"/>
      <c r="O171" s="93"/>
    </row>
    <row r="172" spans="1:15" x14ac:dyDescent="0.25">
      <c r="A172" s="1367" t="s">
        <v>67</v>
      </c>
      <c r="B172" s="1367" t="s">
        <v>82</v>
      </c>
      <c r="C172" s="1367" t="s">
        <v>66</v>
      </c>
      <c r="D172" s="1367" t="s">
        <v>65</v>
      </c>
      <c r="E172" s="1367" t="s">
        <v>81</v>
      </c>
      <c r="F172" s="1367" t="s">
        <v>80</v>
      </c>
      <c r="G172" s="1367" t="s">
        <v>79</v>
      </c>
      <c r="H172" s="1367" t="s">
        <v>78</v>
      </c>
      <c r="I172" s="1367" t="s">
        <v>40</v>
      </c>
      <c r="J172" s="1367" t="s">
        <v>58</v>
      </c>
      <c r="K172" s="94"/>
      <c r="L172" s="94"/>
      <c r="M172" s="94"/>
      <c r="N172" s="94"/>
      <c r="O172" s="93"/>
    </row>
    <row r="173" spans="1:15" x14ac:dyDescent="0.25">
      <c r="A173" s="282">
        <v>10</v>
      </c>
      <c r="B173" s="282" t="s">
        <v>2391</v>
      </c>
      <c r="C173" s="282" t="s">
        <v>2441</v>
      </c>
      <c r="D173" s="630">
        <v>0.19</v>
      </c>
      <c r="E173" s="629">
        <v>8</v>
      </c>
      <c r="F173" s="629" t="s">
        <v>68</v>
      </c>
      <c r="G173" s="629">
        <v>30</v>
      </c>
      <c r="H173" s="629" t="s">
        <v>68</v>
      </c>
      <c r="I173" s="534">
        <v>3</v>
      </c>
      <c r="J173" s="337">
        <f>I173*D173</f>
        <v>0.57000000000000006</v>
      </c>
      <c r="K173" s="94"/>
      <c r="L173" s="94"/>
      <c r="M173" s="94"/>
      <c r="N173" s="94"/>
      <c r="O173" s="93"/>
    </row>
    <row r="174" spans="1:15" x14ac:dyDescent="0.25">
      <c r="A174" s="282">
        <v>20</v>
      </c>
      <c r="B174" s="282" t="s">
        <v>75</v>
      </c>
      <c r="C174" s="282" t="s">
        <v>2440</v>
      </c>
      <c r="D174" s="630">
        <v>0.01</v>
      </c>
      <c r="E174" s="282">
        <v>8</v>
      </c>
      <c r="F174" s="535" t="s">
        <v>68</v>
      </c>
      <c r="G174" s="282"/>
      <c r="H174" s="285"/>
      <c r="I174" s="534">
        <v>3</v>
      </c>
      <c r="J174" s="337">
        <f>I174*D174</f>
        <v>0.03</v>
      </c>
      <c r="K174" s="94"/>
      <c r="L174" s="94"/>
      <c r="M174" s="94"/>
      <c r="N174" s="94"/>
      <c r="O174" s="93"/>
    </row>
    <row r="175" spans="1:15" x14ac:dyDescent="0.25">
      <c r="D175" s="95"/>
      <c r="E175" s="95"/>
      <c r="F175" s="95"/>
      <c r="G175" s="95"/>
      <c r="H175" s="95"/>
      <c r="I175" s="1429" t="s">
        <v>58</v>
      </c>
      <c r="J175" s="1428">
        <f>SUM(J173:J174)</f>
        <v>0.60000000000000009</v>
      </c>
      <c r="K175" s="94"/>
      <c r="L175" s="94"/>
      <c r="M175" s="94"/>
      <c r="N175" s="94"/>
      <c r="O175" s="93"/>
    </row>
    <row r="176" spans="1:15" x14ac:dyDescent="0.25">
      <c r="A176" s="107"/>
      <c r="B176" s="94"/>
      <c r="C176" s="94"/>
      <c r="D176" s="94"/>
      <c r="E176" s="94"/>
      <c r="F176" s="94"/>
      <c r="G176" s="94"/>
      <c r="H176" s="94"/>
      <c r="I176" s="94"/>
      <c r="J176" s="94"/>
      <c r="K176" s="94"/>
      <c r="L176" s="94"/>
      <c r="M176" s="94"/>
      <c r="N176" s="94"/>
      <c r="O176" s="93"/>
    </row>
    <row r="177" spans="1:16" x14ac:dyDescent="0.25">
      <c r="A177" s="1367" t="s">
        <v>67</v>
      </c>
      <c r="B177" s="1367" t="s">
        <v>13</v>
      </c>
      <c r="C177" s="1367" t="s">
        <v>66</v>
      </c>
      <c r="D177" s="1367" t="s">
        <v>65</v>
      </c>
      <c r="E177" s="1367" t="s">
        <v>64</v>
      </c>
      <c r="F177" s="1367" t="s">
        <v>40</v>
      </c>
      <c r="G177" s="1367" t="s">
        <v>63</v>
      </c>
      <c r="H177" s="1367" t="s">
        <v>62</v>
      </c>
      <c r="I177" s="1367" t="s">
        <v>58</v>
      </c>
      <c r="J177" s="95"/>
      <c r="K177" s="94"/>
      <c r="L177" s="94"/>
      <c r="M177" s="94"/>
      <c r="N177" s="94"/>
      <c r="O177" s="93"/>
    </row>
    <row r="178" spans="1:16" x14ac:dyDescent="0.25">
      <c r="A178" s="282">
        <v>10</v>
      </c>
      <c r="B178" s="282" t="s">
        <v>61</v>
      </c>
      <c r="C178" s="282" t="s">
        <v>2438</v>
      </c>
      <c r="D178" s="283">
        <v>500</v>
      </c>
      <c r="E178" s="282" t="s">
        <v>59</v>
      </c>
      <c r="F178" s="282">
        <f>8</f>
        <v>8</v>
      </c>
      <c r="G178" s="282">
        <v>3000</v>
      </c>
      <c r="H178" s="282">
        <v>1</v>
      </c>
      <c r="I178" s="387">
        <f>D178*F178/G178*H178</f>
        <v>1.3333333333333333</v>
      </c>
      <c r="J178" s="95"/>
      <c r="K178" s="94"/>
      <c r="L178" s="94"/>
      <c r="M178" s="94"/>
      <c r="N178" s="94"/>
      <c r="O178" s="93"/>
    </row>
    <row r="179" spans="1:16" x14ac:dyDescent="0.25">
      <c r="A179" s="98"/>
      <c r="B179" s="95"/>
      <c r="C179" s="95"/>
      <c r="D179" s="95"/>
      <c r="E179" s="95"/>
      <c r="F179" s="95"/>
      <c r="G179" s="95"/>
      <c r="H179" s="1429" t="s">
        <v>58</v>
      </c>
      <c r="I179" s="1428">
        <f>SUM(I178:I178)</f>
        <v>1.3333333333333333</v>
      </c>
      <c r="J179" s="95"/>
      <c r="K179" s="94"/>
      <c r="L179" s="94"/>
      <c r="M179" s="94"/>
      <c r="N179" s="94"/>
      <c r="O179" s="93"/>
    </row>
    <row r="180" spans="1:16" ht="15.75" thickBot="1" x14ac:dyDescent="0.3">
      <c r="A180" s="92"/>
      <c r="B180" s="91"/>
      <c r="C180" s="91"/>
      <c r="D180" s="91"/>
      <c r="E180" s="91"/>
      <c r="F180" s="91"/>
      <c r="G180" s="91"/>
      <c r="H180" s="91"/>
      <c r="I180" s="91"/>
      <c r="J180" s="91"/>
      <c r="K180" s="91"/>
      <c r="L180" s="91"/>
      <c r="M180" s="91"/>
      <c r="N180" s="91"/>
      <c r="O180" s="90"/>
    </row>
    <row r="181" spans="1:16" ht="15.75" thickBot="1" x14ac:dyDescent="0.3">
      <c r="A181" s="107"/>
      <c r="B181" s="94"/>
      <c r="C181" s="94"/>
      <c r="D181" s="94"/>
      <c r="E181" s="94"/>
      <c r="F181" s="94"/>
      <c r="G181" s="94"/>
      <c r="H181" s="94"/>
      <c r="I181" s="94"/>
      <c r="J181" s="94"/>
      <c r="K181" s="94"/>
      <c r="L181" s="94"/>
      <c r="M181" s="94"/>
      <c r="N181" s="94"/>
      <c r="O181" s="94"/>
      <c r="P181" s="94"/>
    </row>
    <row r="182" spans="1:16" x14ac:dyDescent="0.25">
      <c r="A182" s="141"/>
      <c r="B182" s="140"/>
      <c r="C182" s="140"/>
      <c r="D182" s="140"/>
      <c r="E182" s="140"/>
      <c r="F182" s="140"/>
      <c r="G182" s="140"/>
      <c r="H182" s="140"/>
      <c r="I182" s="140"/>
      <c r="J182" s="140"/>
      <c r="K182" s="140"/>
      <c r="L182" s="140"/>
      <c r="M182" s="140"/>
      <c r="N182" s="140"/>
      <c r="O182" s="139"/>
    </row>
    <row r="183" spans="1:16" x14ac:dyDescent="0.25">
      <c r="A183" s="1367" t="s">
        <v>57</v>
      </c>
      <c r="B183" s="133" t="s">
        <v>127</v>
      </c>
      <c r="C183" s="94"/>
      <c r="D183" s="94"/>
      <c r="E183" s="94"/>
      <c r="F183" s="94"/>
      <c r="G183" s="94"/>
      <c r="H183" s="94"/>
      <c r="I183" s="94"/>
      <c r="J183" s="1367" t="s">
        <v>51</v>
      </c>
      <c r="K183" s="138">
        <v>81</v>
      </c>
      <c r="L183" s="94"/>
      <c r="M183" s="1367" t="s">
        <v>126</v>
      </c>
      <c r="N183" s="137">
        <f>SU_A0004_m+SU_A0004_p+SU_A0004_f+SU_A0004_t+E199</f>
        <v>101.04346070139299</v>
      </c>
      <c r="O183" s="93"/>
    </row>
    <row r="184" spans="1:16" x14ac:dyDescent="0.25">
      <c r="A184" s="1367" t="s">
        <v>125</v>
      </c>
      <c r="B184" s="133" t="s">
        <v>5</v>
      </c>
      <c r="C184" s="94"/>
      <c r="D184" s="94"/>
      <c r="E184" s="94"/>
      <c r="F184" s="94"/>
      <c r="G184" s="94"/>
      <c r="H184" s="94"/>
      <c r="I184" s="94"/>
      <c r="J184" s="94"/>
      <c r="K184" s="94"/>
      <c r="L184" s="94"/>
      <c r="M184" s="1367" t="s">
        <v>124</v>
      </c>
      <c r="N184" s="136">
        <v>2</v>
      </c>
      <c r="O184" s="93"/>
    </row>
    <row r="185" spans="1:16" x14ac:dyDescent="0.25">
      <c r="A185" s="1367" t="s">
        <v>123</v>
      </c>
      <c r="B185" s="94" t="s">
        <v>2466</v>
      </c>
      <c r="C185" s="94"/>
      <c r="D185" s="94"/>
      <c r="E185" s="94"/>
      <c r="F185" s="94"/>
      <c r="G185" s="94"/>
      <c r="H185" s="94"/>
      <c r="I185" s="94"/>
      <c r="J185" s="1373" t="s">
        <v>122</v>
      </c>
      <c r="K185" s="94"/>
      <c r="L185" s="94"/>
      <c r="M185" s="94"/>
      <c r="N185" s="94"/>
      <c r="O185" s="93"/>
    </row>
    <row r="186" spans="1:16" x14ac:dyDescent="0.25">
      <c r="A186" s="1367" t="s">
        <v>121</v>
      </c>
      <c r="B186" s="135" t="s">
        <v>2465</v>
      </c>
      <c r="C186" s="94"/>
      <c r="D186" s="94"/>
      <c r="E186" s="94"/>
      <c r="F186" s="94"/>
      <c r="G186" s="94"/>
      <c r="H186" s="94"/>
      <c r="I186" s="94"/>
      <c r="J186" s="1373" t="s">
        <v>119</v>
      </c>
      <c r="K186" s="94"/>
      <c r="L186" s="94"/>
      <c r="M186" s="1367" t="s">
        <v>118</v>
      </c>
      <c r="N186" s="100">
        <f>N183*N184</f>
        <v>202.08692140278598</v>
      </c>
      <c r="O186" s="93"/>
    </row>
    <row r="187" spans="1:16" x14ac:dyDescent="0.25">
      <c r="A187" s="1367" t="s">
        <v>117</v>
      </c>
      <c r="B187" s="133" t="s">
        <v>23</v>
      </c>
      <c r="C187" s="94"/>
      <c r="D187" s="94"/>
      <c r="E187" s="94"/>
      <c r="F187" s="94"/>
      <c r="G187" s="94"/>
      <c r="H187" s="94"/>
      <c r="I187" s="94"/>
      <c r="J187" s="1373" t="s">
        <v>116</v>
      </c>
      <c r="K187" s="94"/>
      <c r="L187" s="94"/>
      <c r="M187" s="94"/>
      <c r="N187" s="94"/>
      <c r="O187" s="93"/>
    </row>
    <row r="188" spans="1:16" x14ac:dyDescent="0.25">
      <c r="A188" s="1367" t="s">
        <v>115</v>
      </c>
      <c r="B188" s="133"/>
      <c r="C188" s="94"/>
      <c r="D188" s="94"/>
      <c r="E188" s="94"/>
      <c r="F188" s="94"/>
      <c r="G188" s="94"/>
      <c r="H188" s="94"/>
      <c r="I188" s="94"/>
      <c r="J188" s="94"/>
      <c r="K188" s="94"/>
      <c r="L188" s="94"/>
      <c r="M188" s="94"/>
      <c r="N188" s="94"/>
      <c r="O188" s="93"/>
    </row>
    <row r="189" spans="1:16" x14ac:dyDescent="0.25">
      <c r="A189" s="107"/>
      <c r="B189" s="94"/>
      <c r="C189" s="94"/>
      <c r="D189" s="94"/>
      <c r="E189" s="94"/>
      <c r="F189" s="94"/>
      <c r="G189" s="94"/>
      <c r="H189" s="94"/>
      <c r="I189" s="94"/>
      <c r="J189" s="94"/>
      <c r="K189" s="94"/>
      <c r="L189" s="94"/>
      <c r="M189" s="94"/>
      <c r="N189" s="94"/>
      <c r="O189" s="93"/>
    </row>
    <row r="190" spans="1:16" x14ac:dyDescent="0.25">
      <c r="A190" s="1367" t="s">
        <v>67</v>
      </c>
      <c r="B190" s="1367" t="s">
        <v>114</v>
      </c>
      <c r="C190" s="1367" t="s">
        <v>113</v>
      </c>
      <c r="D190" s="1367" t="s">
        <v>40</v>
      </c>
      <c r="E190" s="1367" t="s">
        <v>58</v>
      </c>
      <c r="F190" s="94"/>
      <c r="G190" s="94"/>
      <c r="H190" s="94"/>
      <c r="I190" s="94"/>
      <c r="J190" s="94"/>
      <c r="K190" s="94"/>
      <c r="L190" s="94"/>
      <c r="M190" s="94"/>
      <c r="N190" s="94"/>
      <c r="O190" s="93"/>
    </row>
    <row r="191" spans="1:16" x14ac:dyDescent="0.25">
      <c r="A191" s="129">
        <v>10</v>
      </c>
      <c r="B191" s="1446" t="s">
        <v>2464</v>
      </c>
      <c r="C191" s="100">
        <f>'SU Parts'!N542</f>
        <v>3.8036110707199997</v>
      </c>
      <c r="D191" s="127">
        <f>'SU Parts'!N543</f>
        <v>2</v>
      </c>
      <c r="E191" s="100">
        <f t="shared" ref="E191:E198" si="6">C191*D191</f>
        <v>7.6072221414399994</v>
      </c>
      <c r="F191" s="94"/>
      <c r="G191" s="94"/>
      <c r="H191" s="94"/>
      <c r="I191" s="94"/>
      <c r="J191" s="94"/>
      <c r="K191" s="94"/>
      <c r="L191" s="94"/>
      <c r="M191" s="94"/>
      <c r="N191" s="94"/>
      <c r="O191" s="93"/>
    </row>
    <row r="192" spans="1:16" x14ac:dyDescent="0.25">
      <c r="A192" s="1374">
        <v>20</v>
      </c>
      <c r="B192" s="1446" t="s">
        <v>2463</v>
      </c>
      <c r="C192" s="100">
        <f>'SU Parts'!N565</f>
        <v>11.679055999999999</v>
      </c>
      <c r="D192" s="127">
        <f>'SU Parts'!N566</f>
        <v>1</v>
      </c>
      <c r="E192" s="100">
        <f t="shared" si="6"/>
        <v>11.679055999999999</v>
      </c>
      <c r="F192" s="99"/>
      <c r="G192" s="99"/>
      <c r="H192" s="99"/>
      <c r="I192" s="99"/>
      <c r="J192" s="99"/>
      <c r="K192" s="99"/>
      <c r="L192" s="99"/>
      <c r="M192" s="99"/>
      <c r="N192" s="99"/>
      <c r="O192" s="93"/>
    </row>
    <row r="193" spans="1:15" x14ac:dyDescent="0.25">
      <c r="A193" s="129">
        <v>30</v>
      </c>
      <c r="B193" s="132" t="s">
        <v>2462</v>
      </c>
      <c r="C193" s="100">
        <f>'SU Parts'!N594</f>
        <v>0.46456844800000002</v>
      </c>
      <c r="D193" s="127">
        <f>'SU Parts'!N595</f>
        <v>2</v>
      </c>
      <c r="E193" s="100">
        <f t="shared" si="6"/>
        <v>0.92913689600000005</v>
      </c>
      <c r="F193" s="99"/>
      <c r="G193" s="99"/>
      <c r="H193" s="99"/>
      <c r="I193" s="99"/>
      <c r="J193" s="99"/>
      <c r="K193" s="99"/>
      <c r="L193" s="99"/>
      <c r="M193" s="99"/>
      <c r="N193" s="99"/>
      <c r="O193" s="131"/>
    </row>
    <row r="194" spans="1:15" x14ac:dyDescent="0.25">
      <c r="A194" s="1374">
        <v>40</v>
      </c>
      <c r="B194" s="132" t="s">
        <v>2461</v>
      </c>
      <c r="C194" s="100">
        <f>'SU Parts'!N612</f>
        <v>11.598131758522795</v>
      </c>
      <c r="D194" s="127">
        <f>'SU Parts'!N613</f>
        <v>1</v>
      </c>
      <c r="E194" s="100">
        <f t="shared" si="6"/>
        <v>11.598131758522795</v>
      </c>
      <c r="F194" s="99"/>
      <c r="G194" s="99"/>
      <c r="H194" s="99"/>
      <c r="I194" s="99"/>
      <c r="J194" s="99"/>
      <c r="K194" s="99"/>
      <c r="L194" s="99"/>
      <c r="M194" s="99"/>
      <c r="N194" s="99"/>
      <c r="O194" s="131"/>
    </row>
    <row r="195" spans="1:15" x14ac:dyDescent="0.25">
      <c r="A195" s="129">
        <v>50</v>
      </c>
      <c r="B195" s="132" t="s">
        <v>2460</v>
      </c>
      <c r="C195" s="100">
        <f>'SU Parts'!N633</f>
        <v>7.4022206103882704</v>
      </c>
      <c r="D195" s="127">
        <f>'SU Parts'!N634</f>
        <v>1</v>
      </c>
      <c r="E195" s="100">
        <f t="shared" si="6"/>
        <v>7.4022206103882704</v>
      </c>
      <c r="F195" s="99"/>
      <c r="G195" s="99"/>
      <c r="H195" s="99"/>
      <c r="I195" s="99"/>
      <c r="J195" s="99"/>
      <c r="K195" s="99"/>
      <c r="L195" s="99"/>
      <c r="M195" s="99"/>
      <c r="N195" s="99"/>
      <c r="O195" s="130"/>
    </row>
    <row r="196" spans="1:15" x14ac:dyDescent="0.25">
      <c r="A196" s="1374">
        <v>60</v>
      </c>
      <c r="B196" s="128" t="s">
        <v>1104</v>
      </c>
      <c r="C196" s="100">
        <f>'SU Parts'!N654</f>
        <v>1.6884895769514321</v>
      </c>
      <c r="D196" s="127">
        <f>'SU Parts'!N655</f>
        <v>6</v>
      </c>
      <c r="E196" s="100">
        <f t="shared" si="6"/>
        <v>10.130937461708593</v>
      </c>
      <c r="F196" s="94"/>
      <c r="G196" s="94"/>
      <c r="H196" s="94"/>
      <c r="I196" s="94"/>
      <c r="J196" s="94"/>
      <c r="K196" s="94"/>
      <c r="L196" s="94"/>
      <c r="M196" s="94"/>
      <c r="N196" s="94"/>
      <c r="O196" s="93"/>
    </row>
    <row r="197" spans="1:15" x14ac:dyDescent="0.25">
      <c r="A197" s="129">
        <v>70</v>
      </c>
      <c r="B197" s="132" t="s">
        <v>2459</v>
      </c>
      <c r="C197" s="100">
        <f>'SU Parts'!N675</f>
        <v>6.3175974999999989</v>
      </c>
      <c r="D197" s="127">
        <f>'SU Parts'!N676</f>
        <v>1</v>
      </c>
      <c r="E197" s="100">
        <f t="shared" si="6"/>
        <v>6.3175974999999989</v>
      </c>
      <c r="F197" s="99"/>
      <c r="G197" s="99"/>
      <c r="H197" s="99"/>
      <c r="I197" s="99"/>
      <c r="J197" s="99"/>
      <c r="K197" s="99"/>
      <c r="L197" s="99"/>
      <c r="M197" s="99"/>
      <c r="N197" s="99"/>
      <c r="O197" s="130"/>
    </row>
    <row r="198" spans="1:15" x14ac:dyDescent="0.25">
      <c r="A198" s="1374">
        <v>80</v>
      </c>
      <c r="B198" s="128" t="s">
        <v>2458</v>
      </c>
      <c r="C198" s="100">
        <f>'SU Parts'!N699</f>
        <v>6.3321250000000004</v>
      </c>
      <c r="D198" s="127">
        <f>'SU Parts'!N700</f>
        <v>1</v>
      </c>
      <c r="E198" s="100">
        <f t="shared" si="6"/>
        <v>6.3321250000000004</v>
      </c>
      <c r="F198" s="94"/>
      <c r="G198" s="94"/>
      <c r="H198" s="94"/>
      <c r="I198" s="94"/>
      <c r="J198" s="94"/>
      <c r="K198" s="94"/>
      <c r="L198" s="94"/>
      <c r="M198" s="94"/>
      <c r="N198" s="94"/>
      <c r="O198" s="93"/>
    </row>
    <row r="199" spans="1:15" x14ac:dyDescent="0.25">
      <c r="A199" s="107"/>
      <c r="B199" s="94"/>
      <c r="C199" s="94"/>
      <c r="D199" s="1363" t="s">
        <v>58</v>
      </c>
      <c r="E199" s="1362">
        <f>SUM(E191:E198)</f>
        <v>61.996427368059649</v>
      </c>
      <c r="F199" s="99"/>
      <c r="G199" s="99"/>
      <c r="H199" s="99"/>
      <c r="I199" s="99"/>
      <c r="J199" s="99"/>
      <c r="K199" s="99"/>
      <c r="L199" s="99"/>
      <c r="M199" s="99"/>
      <c r="N199" s="99"/>
      <c r="O199" s="93"/>
    </row>
    <row r="200" spans="1:15" x14ac:dyDescent="0.25">
      <c r="A200" s="107"/>
      <c r="B200" s="94"/>
      <c r="C200" s="94"/>
      <c r="D200" s="94"/>
      <c r="E200" s="94"/>
      <c r="F200" s="94"/>
      <c r="G200" s="94"/>
      <c r="H200" s="94"/>
      <c r="I200" s="94"/>
      <c r="J200" s="94"/>
      <c r="K200" s="94"/>
      <c r="L200" s="94"/>
      <c r="M200" s="94"/>
      <c r="N200" s="94"/>
      <c r="O200" s="93"/>
    </row>
    <row r="201" spans="1:15" x14ac:dyDescent="0.25">
      <c r="A201" s="1367" t="s">
        <v>67</v>
      </c>
      <c r="B201" s="1367" t="s">
        <v>112</v>
      </c>
      <c r="C201" s="1367" t="s">
        <v>66</v>
      </c>
      <c r="D201" s="1367" t="s">
        <v>65</v>
      </c>
      <c r="E201" s="1367" t="s">
        <v>81</v>
      </c>
      <c r="F201" s="1367" t="s">
        <v>80</v>
      </c>
      <c r="G201" s="1367" t="s">
        <v>79</v>
      </c>
      <c r="H201" s="1367" t="s">
        <v>78</v>
      </c>
      <c r="I201" s="1367" t="s">
        <v>111</v>
      </c>
      <c r="J201" s="1367" t="s">
        <v>110</v>
      </c>
      <c r="K201" s="1367" t="s">
        <v>109</v>
      </c>
      <c r="L201" s="1367" t="s">
        <v>108</v>
      </c>
      <c r="M201" s="1367" t="s">
        <v>40</v>
      </c>
      <c r="N201" s="1367" t="s">
        <v>58</v>
      </c>
      <c r="O201" s="93"/>
    </row>
    <row r="202" spans="1:15" x14ac:dyDescent="0.25">
      <c r="A202" s="1374">
        <v>10</v>
      </c>
      <c r="B202" s="1374" t="s">
        <v>2386</v>
      </c>
      <c r="C202" s="1374" t="s">
        <v>2401</v>
      </c>
      <c r="D202" s="1375">
        <v>0</v>
      </c>
      <c r="E202" s="1374"/>
      <c r="F202" s="1374"/>
      <c r="G202" s="1374"/>
      <c r="H202" s="1443"/>
      <c r="I202" s="1445"/>
      <c r="J202" s="1444"/>
      <c r="K202" s="1443"/>
      <c r="L202" s="1443"/>
      <c r="M202" s="1442">
        <v>1</v>
      </c>
      <c r="N202" s="1441">
        <f>M202*D202</f>
        <v>0</v>
      </c>
      <c r="O202" s="93"/>
    </row>
    <row r="203" spans="1:15" x14ac:dyDescent="0.25">
      <c r="A203" s="1374">
        <v>20</v>
      </c>
      <c r="B203" s="1374" t="s">
        <v>2457</v>
      </c>
      <c r="C203" s="1379" t="s">
        <v>2456</v>
      </c>
      <c r="D203" s="1440">
        <v>6.92</v>
      </c>
      <c r="E203" s="1439">
        <v>8</v>
      </c>
      <c r="F203" s="1439" t="s">
        <v>68</v>
      </c>
      <c r="G203" s="1439"/>
      <c r="H203" s="1438"/>
      <c r="I203" s="1437"/>
      <c r="J203" s="1436"/>
      <c r="K203" s="1435"/>
      <c r="L203" s="1434"/>
      <c r="M203" s="1433">
        <v>3</v>
      </c>
      <c r="N203" s="1441">
        <f>M203*D203</f>
        <v>20.759999999999998</v>
      </c>
      <c r="O203" s="143"/>
    </row>
    <row r="204" spans="1:15" x14ac:dyDescent="0.25">
      <c r="A204" s="1374">
        <v>30</v>
      </c>
      <c r="B204" s="1374" t="s">
        <v>250</v>
      </c>
      <c r="C204" s="1379" t="s">
        <v>2400</v>
      </c>
      <c r="D204" s="1440">
        <v>10</v>
      </c>
      <c r="E204" s="1439">
        <v>0.01</v>
      </c>
      <c r="F204" s="1439" t="s">
        <v>241</v>
      </c>
      <c r="G204" s="1439"/>
      <c r="H204" s="1438"/>
      <c r="I204" s="1437"/>
      <c r="J204" s="1436"/>
      <c r="K204" s="1435"/>
      <c r="L204" s="1434"/>
      <c r="M204" s="1433">
        <v>1</v>
      </c>
      <c r="N204" s="1432">
        <f>M204*D204*E204</f>
        <v>0.1</v>
      </c>
      <c r="O204" s="93"/>
    </row>
    <row r="205" spans="1:15" x14ac:dyDescent="0.25">
      <c r="A205" s="98"/>
      <c r="B205" s="95"/>
      <c r="C205" s="95"/>
      <c r="D205" s="95"/>
      <c r="E205" s="95"/>
      <c r="F205" s="95"/>
      <c r="G205" s="95"/>
      <c r="H205" s="95"/>
      <c r="I205" s="95"/>
      <c r="J205" s="95"/>
      <c r="K205" s="95"/>
      <c r="L205" s="95"/>
      <c r="M205" s="1367" t="s">
        <v>58</v>
      </c>
      <c r="N205" s="1362">
        <f>SUM(N202:N204)</f>
        <v>20.86</v>
      </c>
      <c r="O205" s="93"/>
    </row>
    <row r="206" spans="1:15" x14ac:dyDescent="0.25">
      <c r="A206" s="107"/>
      <c r="B206" s="94"/>
      <c r="C206" s="94"/>
      <c r="D206" s="94"/>
      <c r="E206" s="94"/>
      <c r="F206" s="94"/>
      <c r="G206" s="94"/>
      <c r="H206" s="94"/>
      <c r="I206" s="94"/>
      <c r="J206" s="94"/>
      <c r="K206" s="94"/>
      <c r="L206" s="94"/>
      <c r="M206" s="94"/>
      <c r="N206" s="94"/>
      <c r="O206" s="93"/>
    </row>
    <row r="207" spans="1:15" x14ac:dyDescent="0.25">
      <c r="A207" s="1367" t="s">
        <v>67</v>
      </c>
      <c r="B207" s="1414" t="s">
        <v>106</v>
      </c>
      <c r="C207" s="1367" t="s">
        <v>66</v>
      </c>
      <c r="D207" s="1367" t="s">
        <v>65</v>
      </c>
      <c r="E207" s="1367" t="s">
        <v>64</v>
      </c>
      <c r="F207" s="1367" t="s">
        <v>40</v>
      </c>
      <c r="G207" s="1367" t="s">
        <v>105</v>
      </c>
      <c r="H207" s="1367" t="s">
        <v>104</v>
      </c>
      <c r="I207" s="1367" t="s">
        <v>58</v>
      </c>
      <c r="J207" s="95"/>
      <c r="K207" s="95"/>
      <c r="L207" s="95"/>
      <c r="M207" s="95"/>
      <c r="N207" s="95"/>
      <c r="O207" s="120"/>
    </row>
    <row r="208" spans="1:15" ht="30" x14ac:dyDescent="0.25">
      <c r="A208" s="282">
        <v>10</v>
      </c>
      <c r="B208" s="309" t="s">
        <v>1185</v>
      </c>
      <c r="C208" s="292" t="s">
        <v>2455</v>
      </c>
      <c r="D208" s="337">
        <v>0.02</v>
      </c>
      <c r="E208" s="282" t="s">
        <v>1164</v>
      </c>
      <c r="F208" s="299">
        <v>8.66</v>
      </c>
      <c r="G208" s="299" t="s">
        <v>1182</v>
      </c>
      <c r="H208" s="299">
        <v>2</v>
      </c>
      <c r="I208" s="337">
        <f t="shared" ref="I208:I229" si="7">IF(H208="",D208*F208,D208*F208*H208)</f>
        <v>0.34639999999999999</v>
      </c>
      <c r="J208" s="95"/>
      <c r="K208" s="95"/>
      <c r="L208" s="95"/>
      <c r="M208" s="95"/>
      <c r="N208" s="95"/>
      <c r="O208" s="120"/>
    </row>
    <row r="209" spans="1:15" x14ac:dyDescent="0.25">
      <c r="A209" s="282">
        <v>20</v>
      </c>
      <c r="B209" s="309" t="s">
        <v>1166</v>
      </c>
      <c r="C209" s="292" t="s">
        <v>2454</v>
      </c>
      <c r="D209" s="337">
        <v>0.02</v>
      </c>
      <c r="E209" s="282" t="s">
        <v>1164</v>
      </c>
      <c r="F209" s="299">
        <v>8.66</v>
      </c>
      <c r="G209" s="299" t="s">
        <v>1182</v>
      </c>
      <c r="H209" s="299">
        <v>2</v>
      </c>
      <c r="I209" s="337">
        <f t="shared" si="7"/>
        <v>0.34639999999999999</v>
      </c>
      <c r="J209" s="94"/>
      <c r="K209" s="94"/>
      <c r="L209" s="94"/>
      <c r="M209" s="94"/>
      <c r="N209" s="94"/>
      <c r="O209" s="93"/>
    </row>
    <row r="210" spans="1:15" x14ac:dyDescent="0.25">
      <c r="A210" s="282">
        <v>30</v>
      </c>
      <c r="B210" s="309" t="s">
        <v>1185</v>
      </c>
      <c r="C210" s="292" t="s">
        <v>2450</v>
      </c>
      <c r="D210" s="337">
        <v>0.02</v>
      </c>
      <c r="E210" s="282" t="s">
        <v>1164</v>
      </c>
      <c r="F210" s="299">
        <v>8.66</v>
      </c>
      <c r="G210" s="299" t="s">
        <v>1182</v>
      </c>
      <c r="H210" s="299">
        <v>2</v>
      </c>
      <c r="I210" s="337">
        <f t="shared" si="7"/>
        <v>0.34639999999999999</v>
      </c>
      <c r="J210" s="95"/>
      <c r="K210" s="95"/>
      <c r="L210" s="95"/>
      <c r="M210" s="95"/>
      <c r="N210" s="95"/>
      <c r="O210" s="120"/>
    </row>
    <row r="211" spans="1:15" x14ac:dyDescent="0.25">
      <c r="A211" s="282">
        <v>40</v>
      </c>
      <c r="B211" s="309" t="s">
        <v>374</v>
      </c>
      <c r="C211" s="376" t="s">
        <v>2453</v>
      </c>
      <c r="D211" s="337">
        <v>0.06</v>
      </c>
      <c r="E211" s="309" t="s">
        <v>64</v>
      </c>
      <c r="F211" s="299">
        <v>1</v>
      </c>
      <c r="G211" s="299" t="s">
        <v>1182</v>
      </c>
      <c r="H211" s="299">
        <v>2</v>
      </c>
      <c r="I211" s="337">
        <f t="shared" si="7"/>
        <v>0.12</v>
      </c>
      <c r="J211" s="94"/>
      <c r="K211" s="94"/>
      <c r="L211" s="94"/>
      <c r="M211" s="94"/>
      <c r="N211" s="94"/>
      <c r="O211" s="93"/>
    </row>
    <row r="212" spans="1:15" x14ac:dyDescent="0.25">
      <c r="A212" s="282">
        <v>50</v>
      </c>
      <c r="B212" s="309" t="s">
        <v>1185</v>
      </c>
      <c r="C212" s="292" t="s">
        <v>2452</v>
      </c>
      <c r="D212" s="337">
        <v>0.02</v>
      </c>
      <c r="E212" s="282" t="s">
        <v>1164</v>
      </c>
      <c r="F212" s="299">
        <v>12.43</v>
      </c>
      <c r="G212" s="299" t="s">
        <v>1182</v>
      </c>
      <c r="H212" s="299">
        <v>2</v>
      </c>
      <c r="I212" s="337">
        <f t="shared" si="7"/>
        <v>0.49719999999999998</v>
      </c>
      <c r="J212" s="95"/>
      <c r="K212" s="95"/>
      <c r="L212" s="95"/>
      <c r="M212" s="95"/>
      <c r="N212" s="95"/>
      <c r="O212" s="120"/>
    </row>
    <row r="213" spans="1:15" x14ac:dyDescent="0.25">
      <c r="A213" s="282">
        <v>60</v>
      </c>
      <c r="B213" s="309" t="s">
        <v>1166</v>
      </c>
      <c r="C213" s="292" t="s">
        <v>1183</v>
      </c>
      <c r="D213" s="337">
        <v>0.02</v>
      </c>
      <c r="E213" s="282" t="s">
        <v>1164</v>
      </c>
      <c r="F213" s="299">
        <v>12.43</v>
      </c>
      <c r="G213" s="299" t="s">
        <v>1182</v>
      </c>
      <c r="H213" s="299">
        <v>2</v>
      </c>
      <c r="I213" s="337">
        <f t="shared" si="7"/>
        <v>0.49719999999999998</v>
      </c>
      <c r="J213" s="94"/>
      <c r="K213" s="94"/>
      <c r="L213" s="94"/>
      <c r="M213" s="94"/>
      <c r="N213" s="94"/>
      <c r="O213" s="93"/>
    </row>
    <row r="214" spans="1:15" x14ac:dyDescent="0.25">
      <c r="A214" s="282">
        <v>70</v>
      </c>
      <c r="B214" s="309" t="s">
        <v>1185</v>
      </c>
      <c r="C214" s="292" t="s">
        <v>2383</v>
      </c>
      <c r="D214" s="337">
        <v>0.02</v>
      </c>
      <c r="E214" s="282" t="s">
        <v>1164</v>
      </c>
      <c r="F214" s="299">
        <v>12.43</v>
      </c>
      <c r="G214" s="299" t="s">
        <v>1182</v>
      </c>
      <c r="H214" s="299">
        <v>2</v>
      </c>
      <c r="I214" s="337">
        <f t="shared" si="7"/>
        <v>0.49719999999999998</v>
      </c>
      <c r="J214" s="95"/>
      <c r="K214" s="95"/>
      <c r="L214" s="95"/>
      <c r="M214" s="95"/>
      <c r="N214" s="95"/>
      <c r="O214" s="120"/>
    </row>
    <row r="215" spans="1:15" x14ac:dyDescent="0.25">
      <c r="A215" s="282">
        <v>80</v>
      </c>
      <c r="B215" s="309" t="s">
        <v>374</v>
      </c>
      <c r="C215" s="376" t="s">
        <v>2451</v>
      </c>
      <c r="D215" s="337">
        <v>0.14000000000000001</v>
      </c>
      <c r="E215" s="309" t="s">
        <v>64</v>
      </c>
      <c r="F215" s="299">
        <v>1</v>
      </c>
      <c r="G215" s="299" t="s">
        <v>1182</v>
      </c>
      <c r="H215" s="299">
        <v>2</v>
      </c>
      <c r="I215" s="337">
        <f t="shared" si="7"/>
        <v>0.28000000000000003</v>
      </c>
      <c r="J215" s="99"/>
      <c r="K215" s="99"/>
      <c r="L215" s="99"/>
      <c r="M215" s="99"/>
      <c r="N215" s="99"/>
      <c r="O215" s="130"/>
    </row>
    <row r="216" spans="1:15" x14ac:dyDescent="0.25">
      <c r="A216" s="282">
        <v>90</v>
      </c>
      <c r="B216" s="309" t="s">
        <v>1185</v>
      </c>
      <c r="C216" s="292" t="s">
        <v>2450</v>
      </c>
      <c r="D216" s="337">
        <v>0.02</v>
      </c>
      <c r="E216" s="282" t="s">
        <v>1164</v>
      </c>
      <c r="F216" s="299">
        <v>12.43</v>
      </c>
      <c r="G216" s="299" t="s">
        <v>1182</v>
      </c>
      <c r="H216" s="299">
        <v>2</v>
      </c>
      <c r="I216" s="337">
        <f t="shared" si="7"/>
        <v>0.49719999999999998</v>
      </c>
      <c r="J216" s="95"/>
      <c r="K216" s="95"/>
      <c r="L216" s="95"/>
      <c r="M216" s="95"/>
      <c r="N216" s="95"/>
      <c r="O216" s="120"/>
    </row>
    <row r="217" spans="1:15" x14ac:dyDescent="0.25">
      <c r="A217" s="282">
        <v>100</v>
      </c>
      <c r="B217" s="309" t="s">
        <v>1166</v>
      </c>
      <c r="C217" s="292" t="s">
        <v>2449</v>
      </c>
      <c r="D217" s="337">
        <v>0.18</v>
      </c>
      <c r="E217" s="282" t="s">
        <v>1164</v>
      </c>
      <c r="F217" s="299">
        <v>12.43</v>
      </c>
      <c r="G217" s="299" t="s">
        <v>1182</v>
      </c>
      <c r="H217" s="299">
        <v>2</v>
      </c>
      <c r="I217" s="337">
        <f t="shared" si="7"/>
        <v>4.4748000000000001</v>
      </c>
      <c r="J217" s="99"/>
      <c r="K217" s="99"/>
      <c r="L217" s="99"/>
      <c r="M217" s="99"/>
      <c r="N217" s="99"/>
      <c r="O217" s="120"/>
    </row>
    <row r="218" spans="1:15" x14ac:dyDescent="0.25">
      <c r="A218" s="282">
        <v>110</v>
      </c>
      <c r="B218" s="309" t="s">
        <v>1185</v>
      </c>
      <c r="C218" s="292" t="s">
        <v>2383</v>
      </c>
      <c r="D218" s="337">
        <v>0.02</v>
      </c>
      <c r="E218" s="282" t="s">
        <v>1164</v>
      </c>
      <c r="F218" s="299">
        <v>12.43</v>
      </c>
      <c r="G218" s="299" t="s">
        <v>1182</v>
      </c>
      <c r="H218" s="299">
        <v>2</v>
      </c>
      <c r="I218" s="337">
        <f t="shared" si="7"/>
        <v>0.49719999999999998</v>
      </c>
      <c r="J218" s="95"/>
      <c r="K218" s="95"/>
      <c r="L218" s="95"/>
      <c r="M218" s="95"/>
      <c r="N218" s="95"/>
      <c r="O218" s="120"/>
    </row>
    <row r="219" spans="1:15" ht="30" x14ac:dyDescent="0.25">
      <c r="A219" s="282">
        <v>120</v>
      </c>
      <c r="B219" s="309" t="s">
        <v>374</v>
      </c>
      <c r="C219" s="376" t="s">
        <v>2448</v>
      </c>
      <c r="D219" s="337">
        <v>0.22</v>
      </c>
      <c r="E219" s="309" t="s">
        <v>64</v>
      </c>
      <c r="F219" s="299">
        <v>1</v>
      </c>
      <c r="G219" s="299" t="s">
        <v>1182</v>
      </c>
      <c r="H219" s="299">
        <v>2</v>
      </c>
      <c r="I219" s="337">
        <f t="shared" si="7"/>
        <v>0.44</v>
      </c>
      <c r="J219" s="99"/>
      <c r="K219" s="99"/>
      <c r="L219" s="99"/>
      <c r="M219" s="99"/>
      <c r="N219" s="99"/>
      <c r="O219" s="120"/>
    </row>
    <row r="220" spans="1:15" x14ac:dyDescent="0.25">
      <c r="A220" s="282">
        <v>130</v>
      </c>
      <c r="B220" s="309" t="s">
        <v>1185</v>
      </c>
      <c r="C220" s="292" t="s">
        <v>2447</v>
      </c>
      <c r="D220" s="337">
        <v>0.02</v>
      </c>
      <c r="E220" s="282" t="s">
        <v>1164</v>
      </c>
      <c r="F220" s="299">
        <v>4.01</v>
      </c>
      <c r="G220" s="299" t="s">
        <v>786</v>
      </c>
      <c r="H220" s="299">
        <v>3</v>
      </c>
      <c r="I220" s="337">
        <f t="shared" si="7"/>
        <v>0.24059999999999998</v>
      </c>
      <c r="J220" s="95"/>
      <c r="K220" s="95"/>
      <c r="L220" s="95"/>
      <c r="M220" s="95"/>
      <c r="N220" s="95"/>
      <c r="O220" s="120"/>
    </row>
    <row r="221" spans="1:15" x14ac:dyDescent="0.25">
      <c r="A221" s="282">
        <v>140</v>
      </c>
      <c r="B221" s="1369" t="s">
        <v>1166</v>
      </c>
      <c r="C221" s="292" t="s">
        <v>2446</v>
      </c>
      <c r="D221" s="337">
        <v>0.02</v>
      </c>
      <c r="E221" s="282" t="s">
        <v>1164</v>
      </c>
      <c r="F221" s="299">
        <v>4.01</v>
      </c>
      <c r="G221" s="299" t="s">
        <v>786</v>
      </c>
      <c r="H221" s="299">
        <v>3</v>
      </c>
      <c r="I221" s="337">
        <f t="shared" si="7"/>
        <v>0.24059999999999998</v>
      </c>
      <c r="J221" s="99"/>
      <c r="K221" s="99"/>
      <c r="L221" s="99"/>
      <c r="M221" s="99"/>
      <c r="N221" s="99"/>
      <c r="O221" s="120"/>
    </row>
    <row r="222" spans="1:15" x14ac:dyDescent="0.25">
      <c r="A222" s="282">
        <v>150</v>
      </c>
      <c r="B222" s="309" t="s">
        <v>374</v>
      </c>
      <c r="C222" s="292" t="s">
        <v>2445</v>
      </c>
      <c r="D222" s="337">
        <v>0.3</v>
      </c>
      <c r="E222" s="309" t="s">
        <v>64</v>
      </c>
      <c r="F222" s="299">
        <v>1</v>
      </c>
      <c r="G222" s="299" t="s">
        <v>786</v>
      </c>
      <c r="H222" s="299">
        <v>3</v>
      </c>
      <c r="I222" s="337">
        <f t="shared" si="7"/>
        <v>0.89999999999999991</v>
      </c>
      <c r="J222" s="99"/>
      <c r="K222" s="99"/>
      <c r="L222" s="99"/>
      <c r="M222" s="99"/>
      <c r="N222" s="99"/>
      <c r="O222" s="120"/>
    </row>
    <row r="223" spans="1:15" x14ac:dyDescent="0.25">
      <c r="A223" s="282">
        <v>160</v>
      </c>
      <c r="B223" s="282" t="s">
        <v>103</v>
      </c>
      <c r="C223" s="292" t="s">
        <v>2397</v>
      </c>
      <c r="D223" s="337">
        <v>0.15</v>
      </c>
      <c r="E223" s="282" t="s">
        <v>1164</v>
      </c>
      <c r="F223" s="299">
        <v>22</v>
      </c>
      <c r="G223" s="299"/>
      <c r="H223" s="299"/>
      <c r="I223" s="337">
        <f t="shared" si="7"/>
        <v>3.3</v>
      </c>
      <c r="J223" s="99"/>
      <c r="K223" s="99"/>
      <c r="L223" s="99"/>
      <c r="M223" s="99"/>
      <c r="N223" s="99"/>
      <c r="O223" s="120"/>
    </row>
    <row r="224" spans="1:15" x14ac:dyDescent="0.25">
      <c r="A224" s="282">
        <v>170</v>
      </c>
      <c r="B224" s="309" t="s">
        <v>535</v>
      </c>
      <c r="C224" s="376" t="s">
        <v>2396</v>
      </c>
      <c r="D224" s="337">
        <v>5.25</v>
      </c>
      <c r="E224" s="309" t="s">
        <v>241</v>
      </c>
      <c r="F224" s="299">
        <v>0.01</v>
      </c>
      <c r="G224" s="299"/>
      <c r="H224" s="299"/>
      <c r="I224" s="337">
        <f t="shared" si="7"/>
        <v>5.2499999999999998E-2</v>
      </c>
      <c r="J224" s="99"/>
      <c r="K224" s="99"/>
      <c r="L224" s="99"/>
      <c r="M224" s="245"/>
      <c r="N224" s="99"/>
      <c r="O224" s="120"/>
    </row>
    <row r="225" spans="1:15" x14ac:dyDescent="0.25">
      <c r="A225" s="282">
        <v>180</v>
      </c>
      <c r="B225" s="282" t="s">
        <v>374</v>
      </c>
      <c r="C225" s="292" t="s">
        <v>2444</v>
      </c>
      <c r="D225" s="337">
        <v>0.14000000000000001</v>
      </c>
      <c r="E225" s="282" t="s">
        <v>64</v>
      </c>
      <c r="F225" s="299">
        <v>1</v>
      </c>
      <c r="G225" s="299"/>
      <c r="H225" s="299"/>
      <c r="I225" s="337">
        <f t="shared" si="7"/>
        <v>0.14000000000000001</v>
      </c>
      <c r="J225" s="99"/>
      <c r="K225" s="99"/>
      <c r="L225" s="99"/>
      <c r="M225" s="99"/>
      <c r="N225" s="99"/>
      <c r="O225" s="120"/>
    </row>
    <row r="226" spans="1:15" x14ac:dyDescent="0.25">
      <c r="A226" s="282">
        <v>190</v>
      </c>
      <c r="B226" s="309" t="s">
        <v>2371</v>
      </c>
      <c r="C226" s="376" t="s">
        <v>2443</v>
      </c>
      <c r="D226" s="337">
        <v>0.13</v>
      </c>
      <c r="E226" s="309" t="s">
        <v>64</v>
      </c>
      <c r="F226" s="299">
        <v>4</v>
      </c>
      <c r="G226" s="299"/>
      <c r="H226" s="299"/>
      <c r="I226" s="337">
        <f t="shared" si="7"/>
        <v>0.52</v>
      </c>
      <c r="J226" s="99"/>
      <c r="K226" s="99"/>
      <c r="L226" s="99"/>
      <c r="M226" s="99"/>
      <c r="N226" s="99"/>
      <c r="O226" s="120"/>
    </row>
    <row r="227" spans="1:15" x14ac:dyDescent="0.25">
      <c r="A227" s="282">
        <v>200</v>
      </c>
      <c r="B227" s="309" t="s">
        <v>2371</v>
      </c>
      <c r="C227" s="376" t="s">
        <v>2370</v>
      </c>
      <c r="D227" s="337">
        <v>0.13</v>
      </c>
      <c r="E227" s="309" t="s">
        <v>64</v>
      </c>
      <c r="F227" s="299">
        <v>8</v>
      </c>
      <c r="G227" s="299"/>
      <c r="H227" s="299"/>
      <c r="I227" s="337">
        <f t="shared" si="7"/>
        <v>1.04</v>
      </c>
      <c r="J227" s="99"/>
      <c r="K227" s="99"/>
      <c r="L227" s="99"/>
      <c r="M227" s="99"/>
      <c r="N227" s="99"/>
      <c r="O227" s="120"/>
    </row>
    <row r="228" spans="1:15" x14ac:dyDescent="0.25">
      <c r="A228" s="282">
        <v>210</v>
      </c>
      <c r="B228" s="282" t="s">
        <v>1451</v>
      </c>
      <c r="C228" s="292" t="s">
        <v>2394</v>
      </c>
      <c r="D228" s="337">
        <v>0.13</v>
      </c>
      <c r="E228" s="282" t="s">
        <v>64</v>
      </c>
      <c r="F228" s="299">
        <v>2</v>
      </c>
      <c r="G228" s="299"/>
      <c r="H228" s="299"/>
      <c r="I228" s="337">
        <f t="shared" si="7"/>
        <v>0.26</v>
      </c>
      <c r="J228" s="99"/>
      <c r="K228" s="99"/>
      <c r="L228" s="99"/>
      <c r="M228" s="99"/>
      <c r="N228" s="99"/>
      <c r="O228" s="120"/>
    </row>
    <row r="229" spans="1:15" x14ac:dyDescent="0.25">
      <c r="A229" s="282">
        <v>220</v>
      </c>
      <c r="B229" s="309" t="s">
        <v>2393</v>
      </c>
      <c r="C229" s="376" t="s">
        <v>2442</v>
      </c>
      <c r="D229" s="337">
        <v>0.25</v>
      </c>
      <c r="E229" s="309" t="s">
        <v>64</v>
      </c>
      <c r="F229" s="299">
        <v>2</v>
      </c>
      <c r="G229" s="299"/>
      <c r="H229" s="299"/>
      <c r="I229" s="337">
        <f t="shared" si="7"/>
        <v>0.5</v>
      </c>
      <c r="J229" s="99"/>
      <c r="K229" s="99"/>
      <c r="L229" s="99"/>
      <c r="M229" s="99"/>
      <c r="N229" s="99"/>
      <c r="O229" s="130"/>
    </row>
    <row r="230" spans="1:15" x14ac:dyDescent="0.25">
      <c r="A230" s="98"/>
      <c r="B230" s="95"/>
      <c r="C230" s="95"/>
      <c r="D230" s="95"/>
      <c r="E230" s="95"/>
      <c r="F230" s="95"/>
      <c r="G230" s="95"/>
      <c r="H230" s="1363" t="s">
        <v>58</v>
      </c>
      <c r="I230" s="1362">
        <f>SUM(I208:I229)</f>
        <v>16.033700000000003</v>
      </c>
      <c r="J230" s="94"/>
      <c r="K230" s="94"/>
      <c r="L230" s="94"/>
      <c r="M230" s="94"/>
      <c r="N230" s="94"/>
      <c r="O230" s="93"/>
    </row>
    <row r="231" spans="1:15" x14ac:dyDescent="0.25">
      <c r="A231" s="107"/>
      <c r="B231" s="94"/>
      <c r="C231" s="94"/>
      <c r="D231" s="94"/>
      <c r="E231" s="94"/>
      <c r="F231" s="94"/>
      <c r="G231" s="94"/>
      <c r="H231" s="94"/>
      <c r="I231" s="94"/>
      <c r="J231" s="94"/>
      <c r="K231" s="94"/>
      <c r="L231" s="94"/>
      <c r="M231" s="94"/>
      <c r="N231" s="94"/>
      <c r="O231" s="93"/>
    </row>
    <row r="232" spans="1:15" x14ac:dyDescent="0.25">
      <c r="A232" s="1367" t="s">
        <v>67</v>
      </c>
      <c r="B232" s="1367" t="s">
        <v>82</v>
      </c>
      <c r="C232" s="1367" t="s">
        <v>66</v>
      </c>
      <c r="D232" s="1367" t="s">
        <v>65</v>
      </c>
      <c r="E232" s="1367" t="s">
        <v>81</v>
      </c>
      <c r="F232" s="1367" t="s">
        <v>80</v>
      </c>
      <c r="G232" s="1367" t="s">
        <v>79</v>
      </c>
      <c r="H232" s="1367" t="s">
        <v>78</v>
      </c>
      <c r="I232" s="1367" t="s">
        <v>40</v>
      </c>
      <c r="J232" s="1367" t="s">
        <v>58</v>
      </c>
      <c r="K232" s="94"/>
      <c r="L232" s="94"/>
      <c r="M232" s="94"/>
      <c r="N232" s="94"/>
      <c r="O232" s="93"/>
    </row>
    <row r="233" spans="1:15" x14ac:dyDescent="0.25">
      <c r="A233" s="282">
        <v>10</v>
      </c>
      <c r="B233" s="282" t="s">
        <v>2391</v>
      </c>
      <c r="C233" s="282" t="s">
        <v>2441</v>
      </c>
      <c r="D233" s="630">
        <v>0.19</v>
      </c>
      <c r="E233" s="629">
        <v>8</v>
      </c>
      <c r="F233" s="629" t="s">
        <v>68</v>
      </c>
      <c r="G233" s="629">
        <v>30</v>
      </c>
      <c r="H233" s="629" t="s">
        <v>68</v>
      </c>
      <c r="I233" s="534">
        <v>4</v>
      </c>
      <c r="J233" s="337">
        <f>I233*D233</f>
        <v>0.76</v>
      </c>
      <c r="K233" s="94"/>
      <c r="L233" s="94"/>
      <c r="M233" s="94"/>
      <c r="N233" s="94"/>
      <c r="O233" s="93"/>
    </row>
    <row r="234" spans="1:15" x14ac:dyDescent="0.25">
      <c r="A234" s="282">
        <v>20</v>
      </c>
      <c r="B234" s="282" t="s">
        <v>75</v>
      </c>
      <c r="C234" s="282" t="s">
        <v>2440</v>
      </c>
      <c r="D234" s="630">
        <v>0.01</v>
      </c>
      <c r="E234" s="282">
        <v>8</v>
      </c>
      <c r="F234" s="535" t="s">
        <v>68</v>
      </c>
      <c r="G234" s="282"/>
      <c r="H234" s="285"/>
      <c r="I234" s="534">
        <v>4</v>
      </c>
      <c r="J234" s="337">
        <f>I234*D234</f>
        <v>0.04</v>
      </c>
      <c r="K234" s="94"/>
      <c r="L234" s="94"/>
      <c r="M234" s="94"/>
      <c r="N234" s="94"/>
      <c r="O234" s="93"/>
    </row>
    <row r="235" spans="1:15" x14ac:dyDescent="0.25">
      <c r="A235" s="299">
        <v>30</v>
      </c>
      <c r="B235" s="1364" t="s">
        <v>74</v>
      </c>
      <c r="C235" s="299" t="s">
        <v>2439</v>
      </c>
      <c r="D235" s="1431">
        <v>0.01</v>
      </c>
      <c r="E235" s="299">
        <v>8</v>
      </c>
      <c r="F235" s="338" t="s">
        <v>68</v>
      </c>
      <c r="G235" s="299"/>
      <c r="H235" s="299"/>
      <c r="I235" s="1430">
        <v>2</v>
      </c>
      <c r="J235" s="337">
        <f>I235*D235</f>
        <v>0.02</v>
      </c>
      <c r="K235" s="94"/>
      <c r="L235" s="94"/>
      <c r="M235" s="94"/>
      <c r="N235" s="94"/>
      <c r="O235" s="93"/>
    </row>
    <row r="236" spans="1:15" x14ac:dyDescent="0.25">
      <c r="D236" s="95"/>
      <c r="E236" s="95"/>
      <c r="F236" s="95"/>
      <c r="G236" s="95"/>
      <c r="H236" s="95"/>
      <c r="I236" s="1429" t="s">
        <v>58</v>
      </c>
      <c r="J236" s="1428">
        <f>SUM(J233:J235)</f>
        <v>0.82000000000000006</v>
      </c>
      <c r="K236" s="94"/>
      <c r="L236" s="94"/>
      <c r="M236" s="94"/>
      <c r="N236" s="94"/>
      <c r="O236" s="93"/>
    </row>
    <row r="237" spans="1:15" x14ac:dyDescent="0.25">
      <c r="A237" s="107"/>
      <c r="B237" s="94"/>
      <c r="C237" s="94"/>
      <c r="D237" s="94"/>
      <c r="E237" s="94"/>
      <c r="F237" s="94"/>
      <c r="G237" s="94"/>
      <c r="H237" s="94"/>
      <c r="I237" s="94"/>
      <c r="J237" s="94"/>
      <c r="K237" s="94"/>
      <c r="L237" s="94"/>
      <c r="M237" s="94"/>
      <c r="N237" s="94"/>
      <c r="O237" s="93"/>
    </row>
    <row r="238" spans="1:15" x14ac:dyDescent="0.25">
      <c r="A238" s="1367" t="s">
        <v>67</v>
      </c>
      <c r="B238" s="1367" t="s">
        <v>13</v>
      </c>
      <c r="C238" s="1367" t="s">
        <v>66</v>
      </c>
      <c r="D238" s="1367" t="s">
        <v>65</v>
      </c>
      <c r="E238" s="1367" t="s">
        <v>64</v>
      </c>
      <c r="F238" s="1367" t="s">
        <v>40</v>
      </c>
      <c r="G238" s="1367" t="s">
        <v>63</v>
      </c>
      <c r="H238" s="1367" t="s">
        <v>62</v>
      </c>
      <c r="I238" s="1367" t="s">
        <v>58</v>
      </c>
      <c r="J238" s="95"/>
      <c r="K238" s="94"/>
      <c r="L238" s="94"/>
      <c r="M238" s="94"/>
      <c r="N238" s="94"/>
      <c r="O238" s="93"/>
    </row>
    <row r="239" spans="1:15" x14ac:dyDescent="0.25">
      <c r="A239" s="282">
        <v>10</v>
      </c>
      <c r="B239" s="282" t="s">
        <v>61</v>
      </c>
      <c r="C239" s="282" t="s">
        <v>2438</v>
      </c>
      <c r="D239" s="283">
        <v>500</v>
      </c>
      <c r="E239" s="282" t="s">
        <v>59</v>
      </c>
      <c r="F239" s="282">
        <f>8</f>
        <v>8</v>
      </c>
      <c r="G239" s="282">
        <v>3000</v>
      </c>
      <c r="H239" s="282">
        <v>1</v>
      </c>
      <c r="I239" s="387">
        <f>D239*F239/G239*H239</f>
        <v>1.3333333333333333</v>
      </c>
      <c r="J239" s="95"/>
      <c r="K239" s="94"/>
      <c r="L239" s="94"/>
      <c r="M239" s="94"/>
      <c r="N239" s="94"/>
      <c r="O239" s="93"/>
    </row>
    <row r="240" spans="1:15" x14ac:dyDescent="0.25">
      <c r="A240" s="98"/>
      <c r="B240" s="95"/>
      <c r="C240" s="95"/>
      <c r="D240" s="95"/>
      <c r="E240" s="95"/>
      <c r="F240" s="95"/>
      <c r="G240" s="95"/>
      <c r="H240" s="1429" t="s">
        <v>58</v>
      </c>
      <c r="I240" s="1428">
        <f>SUM(I239:I239)</f>
        <v>1.3333333333333333</v>
      </c>
      <c r="J240" s="95"/>
      <c r="K240" s="94"/>
      <c r="L240" s="94"/>
      <c r="M240" s="94"/>
      <c r="N240" s="94"/>
      <c r="O240" s="93"/>
    </row>
    <row r="241" spans="1:15" ht="15.75" thickBot="1" x14ac:dyDescent="0.3">
      <c r="A241" s="92"/>
      <c r="B241" s="91"/>
      <c r="C241" s="91"/>
      <c r="D241" s="91"/>
      <c r="E241" s="91"/>
      <c r="F241" s="91"/>
      <c r="G241" s="91"/>
      <c r="H241" s="91"/>
      <c r="I241" s="91"/>
      <c r="J241" s="91"/>
      <c r="K241" s="91"/>
      <c r="L241" s="91"/>
      <c r="M241" s="91"/>
      <c r="N241" s="91"/>
      <c r="O241" s="540"/>
    </row>
    <row r="242" spans="1:15" ht="15.75" thickBot="1" x14ac:dyDescent="0.3">
      <c r="A242" s="107"/>
      <c r="B242" s="94"/>
      <c r="C242" s="94"/>
      <c r="D242" s="94"/>
      <c r="E242" s="94"/>
      <c r="F242" s="94"/>
      <c r="G242" s="94"/>
      <c r="H242" s="94"/>
      <c r="I242" s="94"/>
      <c r="J242" s="94"/>
      <c r="K242" s="94"/>
      <c r="L242" s="94"/>
      <c r="M242" s="94"/>
      <c r="N242" s="94"/>
      <c r="O242" s="1627"/>
    </row>
    <row r="243" spans="1:15" x14ac:dyDescent="0.25">
      <c r="A243" s="141"/>
      <c r="B243" s="140"/>
      <c r="C243" s="140"/>
      <c r="D243" s="140"/>
      <c r="E243" s="140"/>
      <c r="F243" s="140"/>
      <c r="G243" s="140"/>
      <c r="H243" s="140"/>
      <c r="I243" s="140"/>
      <c r="J243" s="140"/>
      <c r="K243" s="140"/>
      <c r="L243" s="140"/>
      <c r="M243" s="140"/>
      <c r="N243" s="140"/>
      <c r="O243" s="93"/>
    </row>
    <row r="244" spans="1:15" x14ac:dyDescent="0.25">
      <c r="A244" s="1367" t="s">
        <v>57</v>
      </c>
      <c r="B244" s="133" t="s">
        <v>127</v>
      </c>
      <c r="C244" s="94"/>
      <c r="D244" s="94"/>
      <c r="E244" s="94"/>
      <c r="F244" s="94"/>
      <c r="G244" s="94"/>
      <c r="H244" s="94"/>
      <c r="I244" s="94"/>
      <c r="J244" s="1367" t="s">
        <v>51</v>
      </c>
      <c r="K244" s="138">
        <v>81</v>
      </c>
      <c r="L244" s="94"/>
      <c r="M244" s="1367" t="s">
        <v>126</v>
      </c>
      <c r="N244" s="137">
        <f>E256+SU_A0005_f+SU_A0005_m+SU_A0005_p+SU_A0005_t</f>
        <v>347.80479684947238</v>
      </c>
      <c r="O244" s="93"/>
    </row>
    <row r="245" spans="1:15" x14ac:dyDescent="0.25">
      <c r="A245" s="1367" t="s">
        <v>125</v>
      </c>
      <c r="B245" s="133" t="s">
        <v>5</v>
      </c>
      <c r="C245" s="94"/>
      <c r="D245" s="94"/>
      <c r="E245" s="94"/>
      <c r="F245" s="94"/>
      <c r="G245" s="94"/>
      <c r="H245" s="94"/>
      <c r="I245" s="94"/>
      <c r="J245" s="94"/>
      <c r="K245" s="94"/>
      <c r="L245" s="94"/>
      <c r="M245" s="1367" t="s">
        <v>124</v>
      </c>
      <c r="N245" s="136">
        <v>2</v>
      </c>
      <c r="O245" s="93"/>
    </row>
    <row r="246" spans="1:15" x14ac:dyDescent="0.25">
      <c r="A246" s="1367" t="s">
        <v>123</v>
      </c>
      <c r="B246" s="99" t="s">
        <v>2437</v>
      </c>
      <c r="C246" s="94"/>
      <c r="D246" s="94"/>
      <c r="E246" s="94"/>
      <c r="F246" s="94"/>
      <c r="G246" s="94"/>
      <c r="H246" s="94"/>
      <c r="I246" s="94"/>
      <c r="J246" s="1373" t="s">
        <v>122</v>
      </c>
      <c r="K246" s="94"/>
      <c r="L246" s="94"/>
      <c r="M246" s="94"/>
      <c r="N246" s="94"/>
      <c r="O246" s="93"/>
    </row>
    <row r="247" spans="1:15" x14ac:dyDescent="0.25">
      <c r="A247" s="1367" t="s">
        <v>121</v>
      </c>
      <c r="B247" s="135" t="s">
        <v>2436</v>
      </c>
      <c r="C247" s="94"/>
      <c r="D247" s="94"/>
      <c r="E247" s="94"/>
      <c r="F247" s="94"/>
      <c r="G247" s="94"/>
      <c r="H247" s="94"/>
      <c r="I247" s="94"/>
      <c r="J247" s="1373" t="s">
        <v>119</v>
      </c>
      <c r="K247" s="94"/>
      <c r="L247" s="94"/>
      <c r="M247" s="1367" t="s">
        <v>118</v>
      </c>
      <c r="N247" s="100">
        <f>N244*N245</f>
        <v>695.60959369894476</v>
      </c>
      <c r="O247" s="93"/>
    </row>
    <row r="248" spans="1:15" x14ac:dyDescent="0.25">
      <c r="A248" s="1367" t="s">
        <v>117</v>
      </c>
      <c r="B248" s="133" t="s">
        <v>23</v>
      </c>
      <c r="C248" s="94"/>
      <c r="D248" s="94"/>
      <c r="E248" s="94"/>
      <c r="F248" s="94"/>
      <c r="G248" s="94"/>
      <c r="H248" s="94"/>
      <c r="I248" s="94"/>
      <c r="J248" s="1373" t="s">
        <v>116</v>
      </c>
      <c r="K248" s="94"/>
      <c r="L248" s="94"/>
      <c r="M248" s="94"/>
      <c r="N248" s="94"/>
      <c r="O248" s="93"/>
    </row>
    <row r="249" spans="1:15" x14ac:dyDescent="0.25">
      <c r="A249" s="1367" t="s">
        <v>115</v>
      </c>
      <c r="B249" s="133" t="s">
        <v>2435</v>
      </c>
      <c r="C249" s="94"/>
      <c r="D249" s="94"/>
      <c r="E249" s="94"/>
      <c r="F249" s="94"/>
      <c r="G249" s="94"/>
      <c r="H249" s="94"/>
      <c r="I249" s="94"/>
      <c r="J249" s="94"/>
      <c r="K249" s="94"/>
      <c r="L249" s="94"/>
      <c r="M249" s="94"/>
      <c r="N249" s="94"/>
      <c r="O249" s="93"/>
    </row>
    <row r="250" spans="1:15" x14ac:dyDescent="0.25">
      <c r="A250" s="107"/>
      <c r="B250" s="94"/>
      <c r="C250" s="94"/>
      <c r="D250" s="94"/>
      <c r="E250" s="94"/>
      <c r="F250" s="94"/>
      <c r="G250" s="94"/>
      <c r="H250" s="94"/>
      <c r="I250" s="94"/>
      <c r="J250" s="94"/>
      <c r="K250" s="94"/>
      <c r="L250" s="94"/>
      <c r="M250" s="94"/>
      <c r="N250" s="94"/>
      <c r="O250" s="93"/>
    </row>
    <row r="251" spans="1:15" x14ac:dyDescent="0.25">
      <c r="A251" s="1367" t="s">
        <v>67</v>
      </c>
      <c r="B251" s="1367" t="s">
        <v>114</v>
      </c>
      <c r="C251" s="1367" t="s">
        <v>113</v>
      </c>
      <c r="D251" s="1367" t="s">
        <v>40</v>
      </c>
      <c r="E251" s="1367" t="s">
        <v>58</v>
      </c>
      <c r="F251" s="94"/>
      <c r="G251" s="94"/>
      <c r="H251" s="94"/>
      <c r="I251" s="94"/>
      <c r="J251" s="94"/>
      <c r="K251" s="94"/>
      <c r="L251" s="94"/>
      <c r="M251" s="94"/>
      <c r="N251" s="94"/>
      <c r="O251" s="93"/>
    </row>
    <row r="252" spans="1:15" x14ac:dyDescent="0.25">
      <c r="A252" s="129">
        <v>10</v>
      </c>
      <c r="B252" s="132" t="str">
        <f>'SU Parts'!B727</f>
        <v>Damper</v>
      </c>
      <c r="C252" s="100">
        <f>'SU Parts'!N724</f>
        <v>305</v>
      </c>
      <c r="D252" s="127">
        <f>SU_05001_q</f>
        <v>1</v>
      </c>
      <c r="E252" s="100">
        <f>C252*D252</f>
        <v>305</v>
      </c>
      <c r="F252" s="94"/>
      <c r="G252" s="94"/>
      <c r="H252" s="94"/>
      <c r="I252" s="94"/>
      <c r="J252" s="94"/>
      <c r="K252" s="94"/>
      <c r="L252" s="94"/>
      <c r="M252" s="94"/>
      <c r="N252" s="94"/>
      <c r="O252" s="93"/>
    </row>
    <row r="253" spans="1:15" x14ac:dyDescent="0.25">
      <c r="A253" s="129">
        <v>20</v>
      </c>
      <c r="B253" s="132" t="str">
        <f>'SU Parts'!B742</f>
        <v>Spring</v>
      </c>
      <c r="C253" s="100">
        <f>'SU Parts'!N739</f>
        <v>25</v>
      </c>
      <c r="D253" s="127">
        <f>SU_05002_q</f>
        <v>1</v>
      </c>
      <c r="E253" s="100">
        <f>C253*D253</f>
        <v>25</v>
      </c>
      <c r="F253" s="99"/>
      <c r="G253" s="99"/>
      <c r="H253" s="99"/>
      <c r="I253" s="99"/>
      <c r="J253" s="99"/>
      <c r="K253" s="99"/>
      <c r="L253" s="99"/>
      <c r="M253" s="99"/>
      <c r="N253" s="99"/>
      <c r="O253" s="93"/>
    </row>
    <row r="254" spans="1:15" x14ac:dyDescent="0.25">
      <c r="A254" s="129">
        <v>30</v>
      </c>
      <c r="B254" s="132" t="str">
        <f>'SU Parts'!B757</f>
        <v>Front suspension mount</v>
      </c>
      <c r="C254" s="100">
        <f>'SU Parts'!N754</f>
        <v>8.1179218750000004</v>
      </c>
      <c r="D254" s="127">
        <f>SU_05003_q</f>
        <v>1</v>
      </c>
      <c r="E254" s="100">
        <f>C254*D254</f>
        <v>8.1179218750000004</v>
      </c>
      <c r="F254" s="99"/>
      <c r="G254" s="99"/>
      <c r="H254" s="99"/>
      <c r="I254" s="99"/>
      <c r="J254" s="99"/>
      <c r="K254" s="99"/>
      <c r="L254" s="99"/>
      <c r="M254" s="99"/>
      <c r="N254" s="99"/>
      <c r="O254" s="131"/>
    </row>
    <row r="255" spans="1:15" x14ac:dyDescent="0.25">
      <c r="A255" s="129">
        <v>40</v>
      </c>
      <c r="B255" s="132" t="str">
        <f>'SU Parts'!B782</f>
        <v>Spacer</v>
      </c>
      <c r="C255" s="100">
        <f>'SU Parts'!N779</f>
        <v>1.6884895769514321</v>
      </c>
      <c r="D255" s="127">
        <f>SU_05004_q</f>
        <v>4</v>
      </c>
      <c r="E255" s="100">
        <f>C255*D255</f>
        <v>6.7539583078057284</v>
      </c>
      <c r="F255" s="99"/>
      <c r="G255" s="99"/>
      <c r="H255" s="99"/>
      <c r="I255" s="99"/>
      <c r="J255" s="99"/>
      <c r="K255" s="99"/>
      <c r="L255" s="99"/>
      <c r="M255" s="99"/>
      <c r="N255" s="99"/>
      <c r="O255" s="131"/>
    </row>
    <row r="256" spans="1:15" x14ac:dyDescent="0.25">
      <c r="A256" s="107"/>
      <c r="B256" s="94"/>
      <c r="C256" s="94"/>
      <c r="D256" s="1363" t="s">
        <v>58</v>
      </c>
      <c r="E256" s="1362">
        <f>SUM(E252:E255)</f>
        <v>344.87188018280568</v>
      </c>
      <c r="F256" s="99"/>
      <c r="G256" s="99"/>
      <c r="H256" s="99"/>
      <c r="I256" s="99"/>
      <c r="J256" s="99"/>
      <c r="K256" s="99"/>
      <c r="L256" s="99"/>
      <c r="M256" s="99"/>
      <c r="N256" s="99"/>
      <c r="O256" s="93"/>
    </row>
    <row r="257" spans="1:15" x14ac:dyDescent="0.25">
      <c r="A257" s="107"/>
      <c r="B257" s="94"/>
      <c r="C257" s="94"/>
      <c r="D257" s="94"/>
      <c r="E257" s="94"/>
      <c r="F257" s="94"/>
      <c r="G257" s="94"/>
      <c r="H257" s="94"/>
      <c r="I257" s="94"/>
      <c r="J257" s="94"/>
      <c r="K257" s="94"/>
      <c r="L257" s="94"/>
      <c r="M257" s="94"/>
      <c r="N257" s="94"/>
      <c r="O257" s="93"/>
    </row>
    <row r="258" spans="1:15" x14ac:dyDescent="0.25">
      <c r="A258" s="1367" t="s">
        <v>67</v>
      </c>
      <c r="B258" s="1367" t="s">
        <v>112</v>
      </c>
      <c r="C258" s="1367" t="s">
        <v>66</v>
      </c>
      <c r="D258" s="1367" t="s">
        <v>65</v>
      </c>
      <c r="E258" s="1367" t="s">
        <v>81</v>
      </c>
      <c r="F258" s="1367" t="s">
        <v>80</v>
      </c>
      <c r="G258" s="1367" t="s">
        <v>79</v>
      </c>
      <c r="H258" s="1367" t="s">
        <v>78</v>
      </c>
      <c r="I258" s="1367" t="s">
        <v>111</v>
      </c>
      <c r="J258" s="1367" t="s">
        <v>110</v>
      </c>
      <c r="K258" s="1367" t="s">
        <v>109</v>
      </c>
      <c r="L258" s="1367" t="s">
        <v>108</v>
      </c>
      <c r="M258" s="1367" t="s">
        <v>40</v>
      </c>
      <c r="N258" s="1367" t="s">
        <v>58</v>
      </c>
      <c r="O258" s="93"/>
    </row>
    <row r="259" spans="1:15" x14ac:dyDescent="0.25">
      <c r="A259" s="282">
        <v>10</v>
      </c>
      <c r="B259" s="282" t="s">
        <v>250</v>
      </c>
      <c r="C259" s="292" t="s">
        <v>2428</v>
      </c>
      <c r="D259" s="283">
        <v>10</v>
      </c>
      <c r="E259" s="282">
        <v>5.0000000000000001E-3</v>
      </c>
      <c r="F259" s="282" t="s">
        <v>299</v>
      </c>
      <c r="G259" s="282"/>
      <c r="H259" s="278"/>
      <c r="I259" s="303"/>
      <c r="J259" s="435"/>
      <c r="K259" s="278"/>
      <c r="L259" s="278"/>
      <c r="M259" s="279">
        <v>5.0000000000000001E-3</v>
      </c>
      <c r="N259" s="100">
        <f>M259*D259</f>
        <v>0.05</v>
      </c>
      <c r="O259" s="93"/>
    </row>
    <row r="260" spans="1:15" x14ac:dyDescent="0.25">
      <c r="A260" s="98"/>
      <c r="B260" s="95"/>
      <c r="C260" s="95"/>
      <c r="D260" s="95"/>
      <c r="E260" s="95"/>
      <c r="F260" s="95"/>
      <c r="G260" s="95"/>
      <c r="H260" s="95"/>
      <c r="I260" s="95"/>
      <c r="J260" s="95"/>
      <c r="K260" s="95"/>
      <c r="L260" s="95"/>
      <c r="M260" s="1367" t="s">
        <v>58</v>
      </c>
      <c r="N260" s="1362">
        <f>SUM(N259:N259)</f>
        <v>0.05</v>
      </c>
      <c r="O260" s="93"/>
    </row>
    <row r="261" spans="1:15" x14ac:dyDescent="0.25">
      <c r="A261" s="107"/>
      <c r="B261" s="94"/>
      <c r="C261" s="94"/>
      <c r="D261" s="94"/>
      <c r="E261" s="94"/>
      <c r="F261" s="94"/>
      <c r="G261" s="94"/>
      <c r="H261" s="94"/>
      <c r="I261" s="94"/>
      <c r="J261" s="94"/>
      <c r="K261" s="94"/>
      <c r="L261" s="94"/>
      <c r="M261" s="94"/>
      <c r="N261" s="94"/>
      <c r="O261" s="93"/>
    </row>
    <row r="262" spans="1:15" x14ac:dyDescent="0.25">
      <c r="A262" s="1367" t="s">
        <v>67</v>
      </c>
      <c r="B262" s="1367" t="s">
        <v>106</v>
      </c>
      <c r="C262" s="1367" t="s">
        <v>66</v>
      </c>
      <c r="D262" s="1367" t="s">
        <v>65</v>
      </c>
      <c r="E262" s="1367" t="s">
        <v>64</v>
      </c>
      <c r="F262" s="1367" t="s">
        <v>40</v>
      </c>
      <c r="G262" s="1367" t="s">
        <v>105</v>
      </c>
      <c r="H262" s="1367" t="s">
        <v>104</v>
      </c>
      <c r="I262" s="1367" t="s">
        <v>58</v>
      </c>
      <c r="J262" s="95"/>
      <c r="K262" s="95"/>
      <c r="L262" s="95"/>
      <c r="M262" s="95"/>
      <c r="N262" s="95"/>
      <c r="O262" s="120"/>
    </row>
    <row r="263" spans="1:15" ht="30" x14ac:dyDescent="0.25">
      <c r="A263" s="282">
        <v>10</v>
      </c>
      <c r="B263" s="282" t="s">
        <v>103</v>
      </c>
      <c r="C263" s="376" t="s">
        <v>2426</v>
      </c>
      <c r="D263" s="337">
        <v>0.15</v>
      </c>
      <c r="E263" s="282" t="s">
        <v>101</v>
      </c>
      <c r="F263" s="308">
        <v>8.6</v>
      </c>
      <c r="G263" s="308"/>
      <c r="H263" s="308"/>
      <c r="I263" s="100">
        <f t="shared" ref="I263:I271" si="8">IF(H263="",D263*F263,D263*F263*H263)</f>
        <v>1.2899999999999998</v>
      </c>
      <c r="J263" s="94"/>
      <c r="K263" s="94"/>
      <c r="L263" s="94"/>
      <c r="M263" s="94"/>
      <c r="N263" s="94"/>
      <c r="O263" s="93"/>
    </row>
    <row r="264" spans="1:15" x14ac:dyDescent="0.25">
      <c r="A264" s="282">
        <v>20</v>
      </c>
      <c r="B264" s="309" t="s">
        <v>243</v>
      </c>
      <c r="C264" s="282" t="s">
        <v>2379</v>
      </c>
      <c r="D264" s="337">
        <v>5.25</v>
      </c>
      <c r="E264" s="309" t="s">
        <v>299</v>
      </c>
      <c r="F264" s="308">
        <v>5.0000000000000001E-3</v>
      </c>
      <c r="G264" s="282"/>
      <c r="H264" s="282"/>
      <c r="I264" s="100">
        <f t="shared" si="8"/>
        <v>2.6249999999999999E-2</v>
      </c>
      <c r="J264" s="94"/>
      <c r="K264" s="94"/>
      <c r="L264" s="94"/>
      <c r="M264" s="94"/>
      <c r="N264" s="94"/>
      <c r="O264" s="93"/>
    </row>
    <row r="265" spans="1:15" x14ac:dyDescent="0.25">
      <c r="A265" s="282">
        <v>30</v>
      </c>
      <c r="B265" s="309" t="s">
        <v>87</v>
      </c>
      <c r="C265" s="282" t="s">
        <v>2425</v>
      </c>
      <c r="D265" s="337">
        <v>0.06</v>
      </c>
      <c r="E265" s="282" t="s">
        <v>64</v>
      </c>
      <c r="F265" s="308">
        <v>1</v>
      </c>
      <c r="G265" s="282"/>
      <c r="H265" s="282"/>
      <c r="I265" s="100">
        <f t="shared" si="8"/>
        <v>0.06</v>
      </c>
      <c r="J265" s="94"/>
      <c r="K265" s="94"/>
      <c r="L265" s="94"/>
      <c r="M265" s="94"/>
      <c r="N265" s="94"/>
      <c r="O265" s="93"/>
    </row>
    <row r="266" spans="1:15" x14ac:dyDescent="0.25">
      <c r="A266" s="282">
        <v>40</v>
      </c>
      <c r="B266" s="309" t="s">
        <v>87</v>
      </c>
      <c r="C266" s="282" t="s">
        <v>2424</v>
      </c>
      <c r="D266" s="337">
        <v>0.06</v>
      </c>
      <c r="E266" s="282" t="s">
        <v>64</v>
      </c>
      <c r="F266" s="308">
        <v>1</v>
      </c>
      <c r="G266" s="282"/>
      <c r="H266" s="282"/>
      <c r="I266" s="100">
        <f t="shared" si="8"/>
        <v>0.06</v>
      </c>
      <c r="J266" s="94"/>
      <c r="K266" s="94"/>
      <c r="L266" s="94"/>
      <c r="M266" s="94"/>
      <c r="N266" s="94"/>
      <c r="O266" s="93"/>
    </row>
    <row r="267" spans="1:15" x14ac:dyDescent="0.25">
      <c r="A267" s="282">
        <v>50</v>
      </c>
      <c r="B267" s="309" t="s">
        <v>85</v>
      </c>
      <c r="C267" s="282" t="s">
        <v>2423</v>
      </c>
      <c r="D267" s="337">
        <v>0.75</v>
      </c>
      <c r="E267" s="282" t="s">
        <v>64</v>
      </c>
      <c r="F267" s="308">
        <v>1</v>
      </c>
      <c r="G267" s="282"/>
      <c r="H267" s="282"/>
      <c r="I267" s="100">
        <f t="shared" si="8"/>
        <v>0.75</v>
      </c>
      <c r="J267" s="94"/>
      <c r="K267" s="94"/>
      <c r="L267" s="94"/>
      <c r="M267" s="94"/>
      <c r="N267" s="94"/>
      <c r="O267" s="93"/>
    </row>
    <row r="268" spans="1:15" x14ac:dyDescent="0.25">
      <c r="A268" s="282">
        <v>60</v>
      </c>
      <c r="B268" s="309" t="s">
        <v>84</v>
      </c>
      <c r="C268" s="282" t="s">
        <v>2420</v>
      </c>
      <c r="D268" s="337">
        <v>0.25</v>
      </c>
      <c r="E268" s="282" t="s">
        <v>64</v>
      </c>
      <c r="F268" s="308">
        <v>1</v>
      </c>
      <c r="G268" s="282"/>
      <c r="H268" s="282"/>
      <c r="I268" s="100">
        <f t="shared" si="8"/>
        <v>0.25</v>
      </c>
      <c r="J268" s="94"/>
      <c r="K268" s="94"/>
      <c r="L268" s="94"/>
      <c r="M268" s="94"/>
      <c r="N268" s="94"/>
      <c r="O268" s="93"/>
    </row>
    <row r="269" spans="1:15" x14ac:dyDescent="0.25">
      <c r="A269" s="282">
        <v>70</v>
      </c>
      <c r="B269" s="309" t="s">
        <v>87</v>
      </c>
      <c r="C269" s="282" t="s">
        <v>2422</v>
      </c>
      <c r="D269" s="337">
        <v>0.06</v>
      </c>
      <c r="E269" s="282" t="s">
        <v>64</v>
      </c>
      <c r="F269" s="308">
        <v>1</v>
      </c>
      <c r="G269" s="282"/>
      <c r="H269" s="282"/>
      <c r="I269" s="100">
        <f t="shared" si="8"/>
        <v>0.06</v>
      </c>
      <c r="J269" s="94"/>
      <c r="K269" s="94"/>
      <c r="L269" s="94"/>
      <c r="M269" s="94"/>
      <c r="N269" s="94"/>
      <c r="O269" s="93"/>
    </row>
    <row r="270" spans="1:15" x14ac:dyDescent="0.25">
      <c r="A270" s="282">
        <v>80</v>
      </c>
      <c r="B270" s="309" t="s">
        <v>85</v>
      </c>
      <c r="C270" s="282" t="s">
        <v>2421</v>
      </c>
      <c r="D270" s="337">
        <v>0.75</v>
      </c>
      <c r="E270" s="282" t="s">
        <v>64</v>
      </c>
      <c r="F270" s="308">
        <v>1</v>
      </c>
      <c r="G270" s="282"/>
      <c r="H270" s="282"/>
      <c r="I270" s="100">
        <f t="shared" si="8"/>
        <v>0.75</v>
      </c>
      <c r="J270" s="94"/>
      <c r="K270" s="94"/>
      <c r="L270" s="94"/>
      <c r="M270" s="94"/>
      <c r="N270" s="94"/>
      <c r="O270" s="93"/>
    </row>
    <row r="271" spans="1:15" x14ac:dyDescent="0.25">
      <c r="A271" s="282">
        <v>90</v>
      </c>
      <c r="B271" s="282" t="s">
        <v>84</v>
      </c>
      <c r="C271" s="282" t="s">
        <v>2420</v>
      </c>
      <c r="D271" s="337">
        <v>0.25</v>
      </c>
      <c r="E271" s="282" t="s">
        <v>64</v>
      </c>
      <c r="F271" s="308">
        <v>1</v>
      </c>
      <c r="G271" s="308"/>
      <c r="H271" s="308"/>
      <c r="I271" s="100">
        <f t="shared" si="8"/>
        <v>0.25</v>
      </c>
      <c r="J271" s="94"/>
      <c r="K271" s="94"/>
      <c r="L271" s="94"/>
      <c r="M271" s="94"/>
      <c r="N271" s="94"/>
      <c r="O271" s="93"/>
    </row>
    <row r="272" spans="1:15" x14ac:dyDescent="0.25">
      <c r="A272" s="98"/>
      <c r="B272" s="95"/>
      <c r="C272" s="95"/>
      <c r="D272" s="95"/>
      <c r="E272" s="95"/>
      <c r="F272" s="95"/>
      <c r="G272" s="95"/>
      <c r="H272" s="1363" t="s">
        <v>58</v>
      </c>
      <c r="I272" s="1362">
        <f>SUM(I263:I265)</f>
        <v>1.37625</v>
      </c>
      <c r="J272" s="94"/>
      <c r="K272" s="94"/>
      <c r="L272" s="94"/>
      <c r="M272" s="94"/>
      <c r="N272" s="94"/>
      <c r="O272" s="93"/>
    </row>
    <row r="273" spans="1:15" x14ac:dyDescent="0.25">
      <c r="A273" s="107"/>
      <c r="B273" s="94"/>
      <c r="C273" s="94"/>
      <c r="D273" s="94"/>
      <c r="E273" s="94"/>
      <c r="F273" s="94"/>
      <c r="G273" s="94"/>
      <c r="H273" s="94"/>
      <c r="I273" s="94"/>
      <c r="J273" s="94"/>
      <c r="K273" s="94"/>
      <c r="L273" s="94"/>
      <c r="M273" s="94"/>
      <c r="N273" s="94"/>
      <c r="O273" s="93"/>
    </row>
    <row r="274" spans="1:15" x14ac:dyDescent="0.25">
      <c r="A274" s="1367" t="s">
        <v>67</v>
      </c>
      <c r="B274" s="1367" t="s">
        <v>82</v>
      </c>
      <c r="C274" s="1367" t="s">
        <v>66</v>
      </c>
      <c r="D274" s="1367" t="s">
        <v>65</v>
      </c>
      <c r="E274" s="1367" t="s">
        <v>81</v>
      </c>
      <c r="F274" s="1367" t="s">
        <v>80</v>
      </c>
      <c r="G274" s="1367" t="s">
        <v>79</v>
      </c>
      <c r="H274" s="1367" t="s">
        <v>78</v>
      </c>
      <c r="I274" s="1367" t="s">
        <v>40</v>
      </c>
      <c r="J274" s="1367" t="s">
        <v>58</v>
      </c>
      <c r="K274" s="94"/>
      <c r="L274" s="94"/>
      <c r="M274" s="94"/>
      <c r="N274" s="94"/>
      <c r="O274" s="93"/>
    </row>
    <row r="275" spans="1:15" ht="30" x14ac:dyDescent="0.25">
      <c r="A275" s="282">
        <v>10</v>
      </c>
      <c r="B275" s="282" t="s">
        <v>2418</v>
      </c>
      <c r="C275" s="292" t="s">
        <v>2419</v>
      </c>
      <c r="D275" s="630">
        <v>0.33</v>
      </c>
      <c r="E275" s="629">
        <v>8</v>
      </c>
      <c r="F275" s="629" t="s">
        <v>68</v>
      </c>
      <c r="G275" s="629">
        <v>50</v>
      </c>
      <c r="H275" s="629" t="s">
        <v>68</v>
      </c>
      <c r="I275" s="534">
        <v>1</v>
      </c>
      <c r="J275" s="100">
        <f>I275*D275</f>
        <v>0.33</v>
      </c>
      <c r="K275" s="94"/>
      <c r="L275" s="94"/>
      <c r="M275" s="94"/>
      <c r="N275" s="94"/>
      <c r="O275" s="93"/>
    </row>
    <row r="276" spans="1:15" x14ac:dyDescent="0.25">
      <c r="A276" s="282">
        <v>20</v>
      </c>
      <c r="B276" s="282" t="s">
        <v>2418</v>
      </c>
      <c r="C276" s="292" t="s">
        <v>2417</v>
      </c>
      <c r="D276" s="630">
        <v>0.37</v>
      </c>
      <c r="E276" s="629">
        <v>8</v>
      </c>
      <c r="F276" s="535" t="s">
        <v>68</v>
      </c>
      <c r="G276" s="282">
        <v>55</v>
      </c>
      <c r="H276" s="285" t="s">
        <v>68</v>
      </c>
      <c r="I276" s="534">
        <v>1</v>
      </c>
      <c r="J276" s="100">
        <f>I276*D276</f>
        <v>0.37</v>
      </c>
      <c r="K276" s="94"/>
      <c r="L276" s="94"/>
      <c r="M276" s="94"/>
      <c r="N276" s="94"/>
      <c r="O276" s="93"/>
    </row>
    <row r="277" spans="1:15" x14ac:dyDescent="0.25">
      <c r="A277" s="282">
        <v>30</v>
      </c>
      <c r="B277" s="1364" t="s">
        <v>488</v>
      </c>
      <c r="C277" s="292"/>
      <c r="D277" s="642">
        <v>7.0000000000000007E-2</v>
      </c>
      <c r="E277" s="629">
        <v>8</v>
      </c>
      <c r="F277" s="641" t="s">
        <v>68</v>
      </c>
      <c r="G277" s="292"/>
      <c r="H277" s="376"/>
      <c r="I277" s="640">
        <v>2</v>
      </c>
      <c r="J277" s="100">
        <f>I277*D277</f>
        <v>0.14000000000000001</v>
      </c>
      <c r="K277" s="142"/>
      <c r="L277" s="142"/>
      <c r="M277" s="142"/>
      <c r="N277" s="142"/>
      <c r="O277" s="93"/>
    </row>
    <row r="278" spans="1:15" x14ac:dyDescent="0.25">
      <c r="A278" s="98"/>
      <c r="B278" s="95"/>
      <c r="C278" s="95"/>
      <c r="D278" s="95"/>
      <c r="E278" s="95"/>
      <c r="F278" s="95"/>
      <c r="G278" s="95"/>
      <c r="H278" s="95"/>
      <c r="I278" s="1363" t="s">
        <v>58</v>
      </c>
      <c r="J278" s="1362">
        <f>SUM(J275:J277)</f>
        <v>0.84</v>
      </c>
      <c r="K278" s="94"/>
      <c r="L278" s="94"/>
      <c r="M278" s="94"/>
      <c r="N278" s="94"/>
      <c r="O278" s="93"/>
    </row>
    <row r="279" spans="1:15" x14ac:dyDescent="0.25">
      <c r="A279" s="107"/>
      <c r="B279" s="94"/>
      <c r="C279" s="94"/>
      <c r="D279" s="94"/>
      <c r="E279" s="94"/>
      <c r="F279" s="94"/>
      <c r="G279" s="94"/>
      <c r="H279" s="94"/>
      <c r="I279" s="94"/>
      <c r="J279" s="94"/>
      <c r="K279" s="94"/>
      <c r="L279" s="94"/>
      <c r="M279" s="94"/>
      <c r="N279" s="94"/>
      <c r="O279" s="93"/>
    </row>
    <row r="280" spans="1:15" x14ac:dyDescent="0.25">
      <c r="A280" s="1367" t="s">
        <v>67</v>
      </c>
      <c r="B280" s="1367" t="s">
        <v>13</v>
      </c>
      <c r="C280" s="1367" t="s">
        <v>66</v>
      </c>
      <c r="D280" s="1367" t="s">
        <v>65</v>
      </c>
      <c r="E280" s="1367" t="s">
        <v>64</v>
      </c>
      <c r="F280" s="1367" t="s">
        <v>40</v>
      </c>
      <c r="G280" s="1367" t="s">
        <v>63</v>
      </c>
      <c r="H280" s="1367" t="s">
        <v>62</v>
      </c>
      <c r="I280" s="1367" t="s">
        <v>58</v>
      </c>
      <c r="J280" s="95"/>
      <c r="K280" s="94"/>
      <c r="L280" s="94"/>
      <c r="M280" s="94"/>
      <c r="N280" s="94"/>
      <c r="O280" s="93"/>
    </row>
    <row r="281" spans="1:15" x14ac:dyDescent="0.25">
      <c r="A281" s="282">
        <v>10</v>
      </c>
      <c r="B281" s="282" t="s">
        <v>61</v>
      </c>
      <c r="C281" s="282" t="s">
        <v>2365</v>
      </c>
      <c r="D281" s="283">
        <v>500</v>
      </c>
      <c r="E281" s="282" t="s">
        <v>59</v>
      </c>
      <c r="F281" s="282">
        <v>4</v>
      </c>
      <c r="G281" s="282">
        <v>3000</v>
      </c>
      <c r="H281" s="282">
        <v>1</v>
      </c>
      <c r="I281" s="100">
        <f>D281*F281/G281*H281</f>
        <v>0.66666666666666663</v>
      </c>
      <c r="J281" s="99"/>
      <c r="K281" s="94"/>
      <c r="L281" s="94"/>
      <c r="M281" s="94"/>
      <c r="N281" s="94"/>
      <c r="O281" s="93"/>
    </row>
    <row r="282" spans="1:15" x14ac:dyDescent="0.25">
      <c r="A282" s="98"/>
      <c r="B282" s="95"/>
      <c r="C282" s="95"/>
      <c r="D282" s="95"/>
      <c r="E282" s="95"/>
      <c r="F282" s="95"/>
      <c r="G282" s="95"/>
      <c r="H282" s="1363" t="s">
        <v>58</v>
      </c>
      <c r="I282" s="1362">
        <f>SUM(I281)</f>
        <v>0.66666666666666663</v>
      </c>
      <c r="J282" s="95"/>
      <c r="K282" s="94"/>
      <c r="L282" s="94"/>
      <c r="M282" s="94"/>
      <c r="N282" s="94"/>
      <c r="O282" s="93"/>
    </row>
    <row r="283" spans="1:15" ht="15.75" thickBot="1" x14ac:dyDescent="0.3">
      <c r="A283" s="92"/>
      <c r="B283" s="91"/>
      <c r="C283" s="91"/>
      <c r="D283" s="91"/>
      <c r="E283" s="91"/>
      <c r="F283" s="91"/>
      <c r="G283" s="91"/>
      <c r="H283" s="91"/>
      <c r="I283" s="91"/>
      <c r="J283" s="91"/>
      <c r="K283" s="91"/>
      <c r="L283" s="91"/>
      <c r="M283" s="91"/>
      <c r="N283" s="91"/>
      <c r="O283" s="90"/>
    </row>
    <row r="284" spans="1:15" ht="15.75" thickBot="1" x14ac:dyDescent="0.3"/>
    <row r="285" spans="1:15" x14ac:dyDescent="0.25">
      <c r="A285" s="141"/>
      <c r="B285" s="140"/>
      <c r="C285" s="140"/>
      <c r="D285" s="140"/>
      <c r="E285" s="140"/>
      <c r="F285" s="140"/>
      <c r="G285" s="140"/>
      <c r="H285" s="140"/>
      <c r="I285" s="140"/>
      <c r="J285" s="140"/>
      <c r="K285" s="140"/>
      <c r="L285" s="140"/>
      <c r="M285" s="140"/>
      <c r="N285" s="140"/>
      <c r="O285" s="139"/>
    </row>
    <row r="286" spans="1:15" x14ac:dyDescent="0.25">
      <c r="A286" s="1367" t="s">
        <v>57</v>
      </c>
      <c r="B286" s="133" t="s">
        <v>127</v>
      </c>
      <c r="C286" s="94"/>
      <c r="D286" s="94"/>
      <c r="E286" s="94"/>
      <c r="F286" s="94"/>
      <c r="G286" s="94"/>
      <c r="H286" s="94"/>
      <c r="I286" s="94"/>
      <c r="J286" s="1367" t="s">
        <v>51</v>
      </c>
      <c r="K286" s="138">
        <v>81</v>
      </c>
      <c r="L286" s="94"/>
      <c r="M286" s="1367" t="s">
        <v>126</v>
      </c>
      <c r="N286" s="137">
        <f>E300+SU_A0006_m+SU_A0006_p+SU_A0006_f+SU_A0006_t</f>
        <v>61.84996189703476</v>
      </c>
      <c r="O286" s="93"/>
    </row>
    <row r="287" spans="1:15" x14ac:dyDescent="0.25">
      <c r="A287" s="1367" t="s">
        <v>125</v>
      </c>
      <c r="B287" s="133" t="s">
        <v>5</v>
      </c>
      <c r="C287" s="94"/>
      <c r="D287" s="94"/>
      <c r="E287" s="94"/>
      <c r="F287" s="94"/>
      <c r="G287" s="94"/>
      <c r="H287" s="94"/>
      <c r="I287" s="94"/>
      <c r="J287" s="94"/>
      <c r="K287" s="94"/>
      <c r="L287" s="94"/>
      <c r="M287" s="1367" t="s">
        <v>124</v>
      </c>
      <c r="N287" s="136">
        <v>2</v>
      </c>
      <c r="O287" s="93"/>
    </row>
    <row r="288" spans="1:15" x14ac:dyDescent="0.25">
      <c r="A288" s="1367" t="s">
        <v>123</v>
      </c>
      <c r="B288" s="99" t="s">
        <v>2434</v>
      </c>
      <c r="C288" s="94"/>
      <c r="D288" s="94"/>
      <c r="E288" s="94"/>
      <c r="F288" s="94"/>
      <c r="G288" s="94"/>
      <c r="H288" s="94"/>
      <c r="I288" s="94"/>
      <c r="J288" s="1373" t="s">
        <v>122</v>
      </c>
      <c r="K288" s="94"/>
      <c r="L288" s="94"/>
      <c r="M288" s="94"/>
      <c r="N288" s="94"/>
      <c r="O288" s="93"/>
    </row>
    <row r="289" spans="1:15" x14ac:dyDescent="0.25">
      <c r="A289" s="1367" t="s">
        <v>121</v>
      </c>
      <c r="B289" s="135" t="s">
        <v>2433</v>
      </c>
      <c r="C289" s="94"/>
      <c r="D289" s="94"/>
      <c r="E289" s="94"/>
      <c r="F289" s="94"/>
      <c r="G289" s="94"/>
      <c r="H289" s="94"/>
      <c r="I289" s="94"/>
      <c r="J289" s="1373" t="s">
        <v>119</v>
      </c>
      <c r="K289" s="94"/>
      <c r="L289" s="94"/>
      <c r="M289" s="1367" t="s">
        <v>118</v>
      </c>
      <c r="N289" s="100">
        <f>N286*N287</f>
        <v>123.69992379406952</v>
      </c>
      <c r="O289" s="93"/>
    </row>
    <row r="290" spans="1:15" x14ac:dyDescent="0.25">
      <c r="A290" s="1367" t="s">
        <v>117</v>
      </c>
      <c r="B290" s="133" t="s">
        <v>23</v>
      </c>
      <c r="C290" s="94"/>
      <c r="D290" s="94"/>
      <c r="E290" s="94"/>
      <c r="F290" s="94"/>
      <c r="G290" s="94"/>
      <c r="H290" s="94"/>
      <c r="I290" s="94"/>
      <c r="J290" s="1373" t="s">
        <v>116</v>
      </c>
      <c r="K290" s="94"/>
      <c r="L290" s="94"/>
      <c r="M290" s="94"/>
      <c r="N290" s="94"/>
      <c r="O290" s="93"/>
    </row>
    <row r="291" spans="1:15" x14ac:dyDescent="0.25">
      <c r="A291" s="1367" t="s">
        <v>115</v>
      </c>
      <c r="B291" s="133"/>
      <c r="C291" s="94"/>
      <c r="D291" s="94"/>
      <c r="E291" s="94"/>
      <c r="F291" s="94"/>
      <c r="G291" s="94"/>
      <c r="H291" s="94"/>
      <c r="I291" s="94"/>
      <c r="J291" s="94"/>
      <c r="K291" s="94"/>
      <c r="L291" s="94"/>
      <c r="M291" s="94"/>
      <c r="N291" s="94"/>
      <c r="O291" s="93"/>
    </row>
    <row r="292" spans="1:15" x14ac:dyDescent="0.25">
      <c r="A292" s="107"/>
      <c r="B292" s="94"/>
      <c r="C292" s="94"/>
      <c r="D292" s="94"/>
      <c r="E292" s="94"/>
      <c r="F292" s="94"/>
      <c r="G292" s="94"/>
      <c r="H292" s="94"/>
      <c r="I292" s="94"/>
      <c r="J292" s="94"/>
      <c r="K292" s="94"/>
      <c r="L292" s="94"/>
      <c r="M292" s="94"/>
      <c r="N292" s="94"/>
      <c r="O292" s="93"/>
    </row>
    <row r="293" spans="1:15" x14ac:dyDescent="0.25">
      <c r="A293" s="1367" t="s">
        <v>67</v>
      </c>
      <c r="B293" s="1367" t="s">
        <v>114</v>
      </c>
      <c r="C293" s="1367" t="s">
        <v>113</v>
      </c>
      <c r="D293" s="1367" t="s">
        <v>40</v>
      </c>
      <c r="E293" s="1367" t="s">
        <v>58</v>
      </c>
      <c r="F293" s="94"/>
      <c r="G293" s="94"/>
      <c r="H293" s="94"/>
      <c r="I293" s="94"/>
      <c r="J293" s="94"/>
      <c r="K293" s="94"/>
      <c r="L293" s="94"/>
      <c r="M293" s="94"/>
      <c r="N293" s="94"/>
      <c r="O293" s="93"/>
    </row>
    <row r="294" spans="1:15" x14ac:dyDescent="0.25">
      <c r="A294" s="129">
        <v>10</v>
      </c>
      <c r="B294" s="132" t="str">
        <f>'SU Parts'!B803</f>
        <v>Rocker metal sheets</v>
      </c>
      <c r="C294" s="100">
        <f>'SU Parts'!N800</f>
        <v>5.4529940000000003</v>
      </c>
      <c r="D294" s="1372">
        <f>SU_06001_q</f>
        <v>2</v>
      </c>
      <c r="E294" s="100">
        <f t="shared" ref="E294:E299" si="9">C294*D294</f>
        <v>10.905988000000001</v>
      </c>
      <c r="F294" s="94"/>
      <c r="G294" s="94"/>
      <c r="H294" s="94"/>
      <c r="I294" s="94"/>
      <c r="J294" s="94"/>
      <c r="K294" s="94"/>
      <c r="L294" s="94"/>
      <c r="M294" s="94"/>
      <c r="N294" s="94"/>
      <c r="O294" s="93"/>
    </row>
    <row r="295" spans="1:15" x14ac:dyDescent="0.25">
      <c r="A295" s="129">
        <v>20</v>
      </c>
      <c r="B295" s="132" t="str">
        <f>'SU Parts'!B823</f>
        <v>Cylinder</v>
      </c>
      <c r="C295" s="100">
        <f>'SU Parts'!N820</f>
        <v>2.0214527503422883</v>
      </c>
      <c r="D295" s="1372">
        <f>SU_06002_q</f>
        <v>1</v>
      </c>
      <c r="E295" s="100">
        <f t="shared" si="9"/>
        <v>2.0214527503422883</v>
      </c>
      <c r="F295" s="99"/>
      <c r="G295" s="99"/>
      <c r="H295" s="99"/>
      <c r="I295" s="99"/>
      <c r="J295" s="99"/>
      <c r="K295" s="99"/>
      <c r="L295" s="99"/>
      <c r="M295" s="99"/>
      <c r="N295" s="99"/>
      <c r="O295" s="93"/>
    </row>
    <row r="296" spans="1:15" x14ac:dyDescent="0.25">
      <c r="A296" s="129">
        <v>30</v>
      </c>
      <c r="B296" s="132" t="str">
        <f>'SU Parts'!B844</f>
        <v>Bushing</v>
      </c>
      <c r="C296" s="100">
        <f>'SU Parts'!N841</f>
        <v>1.3200069456555323</v>
      </c>
      <c r="D296" s="1372">
        <f>SU_06003_q</f>
        <v>2</v>
      </c>
      <c r="E296" s="100">
        <f t="shared" si="9"/>
        <v>2.6400138913110647</v>
      </c>
      <c r="F296" s="99"/>
      <c r="G296" s="99"/>
      <c r="H296" s="99"/>
      <c r="I296" s="99"/>
      <c r="J296" s="99"/>
      <c r="K296" s="99"/>
      <c r="L296" s="99"/>
      <c r="M296" s="99"/>
      <c r="N296" s="99"/>
      <c r="O296" s="131"/>
    </row>
    <row r="297" spans="1:15" x14ac:dyDescent="0.25">
      <c r="A297" s="129">
        <v>40</v>
      </c>
      <c r="B297" s="132" t="str">
        <f>'SU Parts'!B864</f>
        <v>Rocker mount</v>
      </c>
      <c r="C297" s="100">
        <f>'SU Parts'!N861</f>
        <v>8.1023915470000016</v>
      </c>
      <c r="D297" s="1372">
        <f>SU_06004_q</f>
        <v>1</v>
      </c>
      <c r="E297" s="100">
        <f t="shared" si="9"/>
        <v>8.1023915470000016</v>
      </c>
      <c r="F297" s="99"/>
      <c r="G297" s="99"/>
      <c r="H297" s="99"/>
      <c r="I297" s="99"/>
      <c r="J297" s="99"/>
      <c r="K297" s="99"/>
      <c r="L297" s="99"/>
      <c r="M297" s="99"/>
      <c r="N297" s="99"/>
      <c r="O297" s="131"/>
    </row>
    <row r="298" spans="1:15" x14ac:dyDescent="0.25">
      <c r="A298" s="129">
        <v>50</v>
      </c>
      <c r="B298" s="128" t="str">
        <f>'SU Parts'!B889</f>
        <v>Push rod tube</v>
      </c>
      <c r="C298" s="100">
        <f>'SU Parts'!N886</f>
        <v>16.543686816165149</v>
      </c>
      <c r="D298" s="1426">
        <f>SU_06005_q</f>
        <v>1</v>
      </c>
      <c r="E298" s="100">
        <f t="shared" si="9"/>
        <v>16.543686816165149</v>
      </c>
      <c r="F298" s="99"/>
      <c r="G298" s="99"/>
      <c r="H298" s="99"/>
      <c r="I298" s="99"/>
      <c r="J298" s="99"/>
      <c r="K298" s="99"/>
      <c r="L298" s="99"/>
      <c r="M298" s="99"/>
      <c r="N298" s="99"/>
      <c r="O298" s="130"/>
    </row>
    <row r="299" spans="1:15" x14ac:dyDescent="0.25">
      <c r="A299" s="129">
        <v>60</v>
      </c>
      <c r="B299" s="128" t="str">
        <f>'SU Parts'!B908</f>
        <v>Push rod insert</v>
      </c>
      <c r="C299" s="100">
        <f>'SU Parts'!N905</f>
        <v>2.9527811127747987</v>
      </c>
      <c r="D299" s="1426">
        <f>SU_06006_q</f>
        <v>2</v>
      </c>
      <c r="E299" s="100">
        <f t="shared" si="9"/>
        <v>5.9055622255495974</v>
      </c>
      <c r="F299" s="94"/>
      <c r="G299" s="94"/>
      <c r="H299" s="94"/>
      <c r="I299" s="94"/>
      <c r="J299" s="94"/>
      <c r="K299" s="94"/>
      <c r="L299" s="94"/>
      <c r="M299" s="94"/>
      <c r="N299" s="94"/>
      <c r="O299" s="93"/>
    </row>
    <row r="300" spans="1:15" x14ac:dyDescent="0.25">
      <c r="A300" s="107"/>
      <c r="B300" s="94"/>
      <c r="C300" s="94"/>
      <c r="D300" s="1363" t="s">
        <v>58</v>
      </c>
      <c r="E300" s="1362">
        <f>SUM(E294:E299)</f>
        <v>46.119095230368096</v>
      </c>
      <c r="F300" s="99"/>
      <c r="G300" s="99"/>
      <c r="H300" s="99"/>
      <c r="I300" s="99"/>
      <c r="J300" s="99"/>
      <c r="K300" s="99"/>
      <c r="L300" s="99"/>
      <c r="M300" s="99"/>
      <c r="N300" s="99"/>
      <c r="O300" s="93"/>
    </row>
    <row r="301" spans="1:15" x14ac:dyDescent="0.25">
      <c r="A301" s="107"/>
      <c r="B301" s="94"/>
      <c r="C301" s="94"/>
      <c r="D301" s="94"/>
      <c r="E301" s="94"/>
      <c r="F301" s="94"/>
      <c r="G301" s="94"/>
      <c r="H301" s="94"/>
      <c r="I301" s="94"/>
      <c r="J301" s="94"/>
      <c r="K301" s="94"/>
      <c r="L301" s="94"/>
      <c r="M301" s="94"/>
      <c r="N301" s="94"/>
      <c r="O301" s="93"/>
    </row>
    <row r="302" spans="1:15" x14ac:dyDescent="0.25">
      <c r="A302" s="1367" t="s">
        <v>67</v>
      </c>
      <c r="B302" s="1367" t="s">
        <v>112</v>
      </c>
      <c r="C302" s="1367" t="s">
        <v>66</v>
      </c>
      <c r="D302" s="1367" t="s">
        <v>65</v>
      </c>
      <c r="E302" s="1367" t="s">
        <v>81</v>
      </c>
      <c r="F302" s="1367" t="s">
        <v>80</v>
      </c>
      <c r="G302" s="1367" t="s">
        <v>79</v>
      </c>
      <c r="H302" s="1367" t="s">
        <v>78</v>
      </c>
      <c r="I302" s="1367" t="s">
        <v>111</v>
      </c>
      <c r="J302" s="1367" t="s">
        <v>110</v>
      </c>
      <c r="K302" s="1367" t="s">
        <v>109</v>
      </c>
      <c r="L302" s="1367" t="s">
        <v>108</v>
      </c>
      <c r="M302" s="1367" t="s">
        <v>40</v>
      </c>
      <c r="N302" s="1367" t="s">
        <v>58</v>
      </c>
      <c r="O302" s="93"/>
    </row>
    <row r="303" spans="1:15" x14ac:dyDescent="0.25">
      <c r="A303" s="129">
        <v>10</v>
      </c>
      <c r="B303" s="129" t="s">
        <v>250</v>
      </c>
      <c r="C303" s="129" t="s">
        <v>2412</v>
      </c>
      <c r="D303" s="100">
        <v>10</v>
      </c>
      <c r="E303" s="129">
        <v>6.0000000000000001E-3</v>
      </c>
      <c r="F303" s="129" t="s">
        <v>299</v>
      </c>
      <c r="G303" s="129"/>
      <c r="H303" s="200"/>
      <c r="I303" s="202"/>
      <c r="J303" s="201"/>
      <c r="K303" s="200"/>
      <c r="L303" s="200"/>
      <c r="M303" s="200">
        <v>1</v>
      </c>
      <c r="N303" s="100">
        <f>E303*D303</f>
        <v>0.06</v>
      </c>
      <c r="O303" s="93"/>
    </row>
    <row r="304" spans="1:15" x14ac:dyDescent="0.25">
      <c r="A304" s="129">
        <v>20</v>
      </c>
      <c r="B304" s="129" t="s">
        <v>250</v>
      </c>
      <c r="C304" s="601" t="s">
        <v>2414</v>
      </c>
      <c r="D304" s="100">
        <v>10</v>
      </c>
      <c r="E304" s="253">
        <v>1.2999999999999999E-2</v>
      </c>
      <c r="F304" s="253" t="s">
        <v>299</v>
      </c>
      <c r="G304" s="253"/>
      <c r="H304" s="200"/>
      <c r="I304" s="252"/>
      <c r="J304" s="249"/>
      <c r="K304" s="246"/>
      <c r="L304" s="251"/>
      <c r="M304" s="248">
        <v>1</v>
      </c>
      <c r="N304" s="100">
        <f>D304*E304</f>
        <v>0.13</v>
      </c>
      <c r="O304" s="143"/>
    </row>
    <row r="305" spans="1:15" x14ac:dyDescent="0.25">
      <c r="A305" s="98"/>
      <c r="B305" s="95"/>
      <c r="C305" s="95"/>
      <c r="D305" s="95"/>
      <c r="E305" s="95"/>
      <c r="F305" s="95"/>
      <c r="G305" s="95"/>
      <c r="H305" s="95"/>
      <c r="I305" s="95"/>
      <c r="J305" s="95"/>
      <c r="K305" s="95"/>
      <c r="L305" s="95"/>
      <c r="M305" s="1367" t="s">
        <v>58</v>
      </c>
      <c r="N305" s="1362">
        <f>SUM(N303:N304)</f>
        <v>0.19</v>
      </c>
      <c r="O305" s="93"/>
    </row>
    <row r="306" spans="1:15" x14ac:dyDescent="0.25">
      <c r="A306" s="107"/>
      <c r="B306" s="94"/>
      <c r="C306" s="94"/>
      <c r="D306" s="94"/>
      <c r="E306" s="94"/>
      <c r="F306" s="94"/>
      <c r="G306" s="94"/>
      <c r="H306" s="94"/>
      <c r="I306" s="94"/>
      <c r="J306" s="94"/>
      <c r="K306" s="94"/>
      <c r="L306" s="94"/>
      <c r="M306" s="94"/>
      <c r="N306" s="94"/>
      <c r="O306" s="93"/>
    </row>
    <row r="307" spans="1:15" x14ac:dyDescent="0.25">
      <c r="A307" s="1367" t="s">
        <v>67</v>
      </c>
      <c r="B307" s="1367" t="s">
        <v>106</v>
      </c>
      <c r="C307" s="1367" t="s">
        <v>66</v>
      </c>
      <c r="D307" s="1367" t="s">
        <v>65</v>
      </c>
      <c r="E307" s="1367" t="s">
        <v>64</v>
      </c>
      <c r="F307" s="1367" t="s">
        <v>40</v>
      </c>
      <c r="G307" s="1367" t="s">
        <v>105</v>
      </c>
      <c r="H307" s="1367" t="s">
        <v>104</v>
      </c>
      <c r="I307" s="1367" t="s">
        <v>58</v>
      </c>
      <c r="J307" s="95"/>
      <c r="K307" s="95"/>
      <c r="L307" s="95"/>
      <c r="M307" s="95"/>
      <c r="N307" s="95"/>
      <c r="O307" s="120"/>
    </row>
    <row r="308" spans="1:15" x14ac:dyDescent="0.25">
      <c r="A308" s="129">
        <v>10</v>
      </c>
      <c r="B308" s="129" t="s">
        <v>103</v>
      </c>
      <c r="C308" s="129" t="s">
        <v>2413</v>
      </c>
      <c r="D308" s="100">
        <v>0.15</v>
      </c>
      <c r="E308" s="129" t="s">
        <v>101</v>
      </c>
      <c r="F308" s="244">
        <v>5.8</v>
      </c>
      <c r="G308" s="244"/>
      <c r="H308" s="244"/>
      <c r="I308" s="100">
        <f t="shared" ref="I308:I323" si="10">IF(H308="",D308*F308,D308*F308*H308)</f>
        <v>0.87</v>
      </c>
      <c r="J308" s="94"/>
      <c r="K308" s="94"/>
      <c r="L308" s="94"/>
      <c r="M308" s="94"/>
      <c r="N308" s="94"/>
      <c r="O308" s="93"/>
    </row>
    <row r="309" spans="1:15" x14ac:dyDescent="0.25">
      <c r="A309" s="129">
        <v>20</v>
      </c>
      <c r="B309" s="555" t="s">
        <v>243</v>
      </c>
      <c r="C309" s="129" t="s">
        <v>2412</v>
      </c>
      <c r="D309" s="100">
        <v>5.25</v>
      </c>
      <c r="E309" s="555" t="s">
        <v>299</v>
      </c>
      <c r="F309" s="244">
        <v>6.0000000000000001E-3</v>
      </c>
      <c r="G309" s="129"/>
      <c r="H309" s="129"/>
      <c r="I309" s="100">
        <f t="shared" si="10"/>
        <v>3.15E-2</v>
      </c>
      <c r="J309" s="94"/>
      <c r="K309" s="94"/>
      <c r="L309" s="94"/>
      <c r="M309" s="94"/>
      <c r="N309" s="94"/>
      <c r="O309" s="93"/>
    </row>
    <row r="310" spans="1:15" x14ac:dyDescent="0.25">
      <c r="A310" s="129">
        <v>30</v>
      </c>
      <c r="B310" s="555" t="s">
        <v>243</v>
      </c>
      <c r="C310" s="129" t="s">
        <v>2411</v>
      </c>
      <c r="D310" s="100">
        <v>5.25</v>
      </c>
      <c r="E310" s="129" t="s">
        <v>299</v>
      </c>
      <c r="F310" s="244">
        <v>1.4E-2</v>
      </c>
      <c r="G310" s="129"/>
      <c r="H310" s="129"/>
      <c r="I310" s="100">
        <f t="shared" si="10"/>
        <v>7.3499999999999996E-2</v>
      </c>
      <c r="J310" s="94"/>
      <c r="K310" s="94"/>
      <c r="L310" s="94"/>
      <c r="M310" s="94"/>
      <c r="N310" s="94"/>
      <c r="O310" s="93"/>
    </row>
    <row r="311" spans="1:15" x14ac:dyDescent="0.25">
      <c r="A311" s="129">
        <v>40</v>
      </c>
      <c r="B311" s="555" t="s">
        <v>439</v>
      </c>
      <c r="C311" s="129" t="s">
        <v>2410</v>
      </c>
      <c r="D311" s="100">
        <v>0.19</v>
      </c>
      <c r="E311" s="129" t="s">
        <v>64</v>
      </c>
      <c r="F311" s="244">
        <v>2</v>
      </c>
      <c r="G311" s="129"/>
      <c r="H311" s="129"/>
      <c r="I311" s="100">
        <f t="shared" si="10"/>
        <v>0.38</v>
      </c>
      <c r="J311" s="94"/>
      <c r="K311" s="94"/>
      <c r="L311" s="94"/>
      <c r="M311" s="94"/>
      <c r="N311" s="94"/>
      <c r="O311" s="93"/>
    </row>
    <row r="312" spans="1:15" x14ac:dyDescent="0.25">
      <c r="A312" s="129">
        <v>50</v>
      </c>
      <c r="B312" s="555" t="s">
        <v>165</v>
      </c>
      <c r="C312" s="129" t="s">
        <v>2409</v>
      </c>
      <c r="D312" s="100">
        <v>0.06</v>
      </c>
      <c r="E312" s="129" t="s">
        <v>64</v>
      </c>
      <c r="F312" s="244">
        <v>1</v>
      </c>
      <c r="G312" s="129"/>
      <c r="H312" s="129"/>
      <c r="I312" s="100">
        <f t="shared" si="10"/>
        <v>0.06</v>
      </c>
      <c r="J312" s="94"/>
      <c r="K312" s="94"/>
      <c r="L312" s="94"/>
      <c r="M312" s="94"/>
      <c r="N312" s="94"/>
      <c r="O312" s="93"/>
    </row>
    <row r="313" spans="1:15" x14ac:dyDescent="0.25">
      <c r="A313" s="129">
        <v>60</v>
      </c>
      <c r="B313" s="555" t="s">
        <v>465</v>
      </c>
      <c r="C313" s="129" t="s">
        <v>2408</v>
      </c>
      <c r="D313" s="100">
        <v>0.75</v>
      </c>
      <c r="E313" s="129" t="s">
        <v>64</v>
      </c>
      <c r="F313" s="244">
        <v>1</v>
      </c>
      <c r="G313" s="129"/>
      <c r="H313" s="129"/>
      <c r="I313" s="100">
        <f t="shared" si="10"/>
        <v>0.75</v>
      </c>
      <c r="J313" s="94"/>
      <c r="K313" s="94"/>
      <c r="L313" s="94"/>
      <c r="M313" s="94"/>
      <c r="N313" s="94"/>
      <c r="O313" s="93"/>
    </row>
    <row r="314" spans="1:15" x14ac:dyDescent="0.25">
      <c r="A314" s="129">
        <v>70</v>
      </c>
      <c r="B314" s="555" t="s">
        <v>1449</v>
      </c>
      <c r="C314" s="129" t="s">
        <v>2407</v>
      </c>
      <c r="D314" s="100">
        <v>0.25</v>
      </c>
      <c r="E314" s="129" t="s">
        <v>64</v>
      </c>
      <c r="F314" s="244">
        <v>1</v>
      </c>
      <c r="G314" s="129"/>
      <c r="H314" s="129"/>
      <c r="I314" s="100">
        <f t="shared" si="10"/>
        <v>0.25</v>
      </c>
      <c r="J314" s="94"/>
      <c r="K314" s="94"/>
      <c r="L314" s="94"/>
      <c r="M314" s="94"/>
      <c r="N314" s="94"/>
      <c r="O314" s="93"/>
    </row>
    <row r="315" spans="1:15" x14ac:dyDescent="0.25">
      <c r="A315" s="129">
        <v>80</v>
      </c>
      <c r="B315" s="309" t="s">
        <v>1185</v>
      </c>
      <c r="C315" s="282" t="s">
        <v>2383</v>
      </c>
      <c r="D315" s="337">
        <v>0.02</v>
      </c>
      <c r="E315" s="282" t="s">
        <v>1164</v>
      </c>
      <c r="F315" s="299">
        <v>8.66</v>
      </c>
      <c r="G315" s="299" t="s">
        <v>1182</v>
      </c>
      <c r="H315" s="299">
        <v>2</v>
      </c>
      <c r="I315" s="337">
        <f t="shared" si="10"/>
        <v>0.34639999999999999</v>
      </c>
      <c r="J315" s="94"/>
      <c r="K315" s="94"/>
      <c r="L315" s="94"/>
      <c r="M315" s="94"/>
      <c r="N315" s="94"/>
      <c r="O315" s="93"/>
    </row>
    <row r="316" spans="1:15" x14ac:dyDescent="0.25">
      <c r="A316" s="129">
        <v>90</v>
      </c>
      <c r="B316" s="309" t="s">
        <v>1185</v>
      </c>
      <c r="C316" s="282" t="s">
        <v>1184</v>
      </c>
      <c r="D316" s="337">
        <v>0.02</v>
      </c>
      <c r="E316" s="282" t="s">
        <v>1164</v>
      </c>
      <c r="F316" s="299">
        <v>8.66</v>
      </c>
      <c r="G316" s="299" t="s">
        <v>1182</v>
      </c>
      <c r="H316" s="299">
        <v>2</v>
      </c>
      <c r="I316" s="337">
        <f t="shared" si="10"/>
        <v>0.34639999999999999</v>
      </c>
      <c r="J316" s="95"/>
      <c r="K316" s="95"/>
      <c r="L316" s="95"/>
      <c r="M316" s="95"/>
      <c r="N316" s="95"/>
      <c r="O316" s="120"/>
    </row>
    <row r="317" spans="1:15" x14ac:dyDescent="0.25">
      <c r="A317" s="129">
        <v>100</v>
      </c>
      <c r="B317" s="555" t="s">
        <v>2382</v>
      </c>
      <c r="C317" s="129" t="s">
        <v>2399</v>
      </c>
      <c r="D317" s="100">
        <v>0.02</v>
      </c>
      <c r="E317" s="129" t="s">
        <v>354</v>
      </c>
      <c r="F317" s="299">
        <v>8.66</v>
      </c>
      <c r="G317" s="129" t="s">
        <v>1182</v>
      </c>
      <c r="H317" s="129">
        <v>2</v>
      </c>
      <c r="I317" s="100">
        <f t="shared" si="10"/>
        <v>0.34639999999999999</v>
      </c>
      <c r="J317" s="95"/>
      <c r="K317" s="95"/>
      <c r="L317" s="95"/>
      <c r="M317" s="95"/>
      <c r="N317" s="95"/>
      <c r="O317" s="120"/>
    </row>
    <row r="318" spans="1:15" x14ac:dyDescent="0.25">
      <c r="A318" s="129">
        <v>110</v>
      </c>
      <c r="B318" s="1369" t="s">
        <v>2398</v>
      </c>
      <c r="C318" s="1396" t="s">
        <v>2374</v>
      </c>
      <c r="D318" s="1408">
        <v>0.5</v>
      </c>
      <c r="E318" s="1369" t="s">
        <v>64</v>
      </c>
      <c r="F318" s="1405">
        <v>2</v>
      </c>
      <c r="G318" s="1394"/>
      <c r="H318" s="1394"/>
      <c r="I318" s="100">
        <f t="shared" si="10"/>
        <v>1</v>
      </c>
      <c r="J318" s="99"/>
      <c r="K318" s="99"/>
      <c r="L318" s="99"/>
      <c r="M318" s="99"/>
      <c r="N318" s="99"/>
      <c r="O318" s="130"/>
    </row>
    <row r="319" spans="1:15" x14ac:dyDescent="0.25">
      <c r="A319" s="129">
        <v>120</v>
      </c>
      <c r="B319" s="555" t="s">
        <v>1179</v>
      </c>
      <c r="C319" s="1422" t="s">
        <v>2373</v>
      </c>
      <c r="D319" s="100">
        <v>1</v>
      </c>
      <c r="E319" s="555" t="s">
        <v>64</v>
      </c>
      <c r="F319" s="244">
        <v>2</v>
      </c>
      <c r="G319" s="129"/>
      <c r="H319" s="129"/>
      <c r="I319" s="100">
        <f t="shared" si="10"/>
        <v>2</v>
      </c>
      <c r="J319" s="95"/>
      <c r="K319" s="95"/>
      <c r="L319" s="95"/>
      <c r="M319" s="95"/>
      <c r="N319" s="95"/>
      <c r="O319" s="120"/>
    </row>
    <row r="320" spans="1:15" x14ac:dyDescent="0.25">
      <c r="A320" s="129">
        <v>130</v>
      </c>
      <c r="B320" s="282" t="s">
        <v>374</v>
      </c>
      <c r="C320" s="282" t="s">
        <v>2406</v>
      </c>
      <c r="D320" s="337">
        <v>0.14000000000000001</v>
      </c>
      <c r="E320" s="282" t="s">
        <v>64</v>
      </c>
      <c r="F320" s="299">
        <v>1</v>
      </c>
      <c r="G320" s="299"/>
      <c r="H320" s="299"/>
      <c r="I320" s="337">
        <f t="shared" si="10"/>
        <v>0.14000000000000001</v>
      </c>
      <c r="J320" s="99"/>
      <c r="K320" s="99"/>
      <c r="L320" s="99"/>
      <c r="M320" s="99"/>
      <c r="N320" s="99"/>
      <c r="O320" s="130"/>
    </row>
    <row r="321" spans="1:15" x14ac:dyDescent="0.25">
      <c r="A321" s="129">
        <v>140</v>
      </c>
      <c r="B321" s="309" t="s">
        <v>2371</v>
      </c>
      <c r="C321" s="285" t="s">
        <v>2370</v>
      </c>
      <c r="D321" s="337">
        <v>0.13</v>
      </c>
      <c r="E321" s="309" t="s">
        <v>64</v>
      </c>
      <c r="F321" s="299">
        <v>8</v>
      </c>
      <c r="G321" s="299"/>
      <c r="H321" s="299"/>
      <c r="I321" s="337">
        <f t="shared" si="10"/>
        <v>1.04</v>
      </c>
      <c r="J321" s="99"/>
      <c r="K321" s="99"/>
      <c r="L321" s="99"/>
      <c r="M321" s="99"/>
      <c r="N321" s="99"/>
      <c r="O321" s="120"/>
    </row>
    <row r="322" spans="1:15" ht="30" x14ac:dyDescent="0.25">
      <c r="A322" s="129">
        <v>150</v>
      </c>
      <c r="B322" s="129" t="s">
        <v>465</v>
      </c>
      <c r="C322" s="601" t="s">
        <v>2405</v>
      </c>
      <c r="D322" s="100">
        <v>0.5</v>
      </c>
      <c r="E322" s="129" t="s">
        <v>64</v>
      </c>
      <c r="F322" s="244">
        <v>2</v>
      </c>
      <c r="G322" s="244"/>
      <c r="H322" s="244"/>
      <c r="I322" s="100">
        <f t="shared" si="10"/>
        <v>1</v>
      </c>
      <c r="J322" s="99"/>
      <c r="K322" s="99"/>
      <c r="L322" s="99"/>
      <c r="M322" s="99"/>
      <c r="N322" s="99"/>
      <c r="O322" s="120"/>
    </row>
    <row r="323" spans="1:15" x14ac:dyDescent="0.25">
      <c r="A323" s="129">
        <v>160</v>
      </c>
      <c r="B323" s="555" t="s">
        <v>1449</v>
      </c>
      <c r="C323" s="129" t="s">
        <v>2404</v>
      </c>
      <c r="D323" s="100">
        <v>0.25</v>
      </c>
      <c r="E323" s="129" t="s">
        <v>64</v>
      </c>
      <c r="F323" s="244">
        <v>2</v>
      </c>
      <c r="G323" s="129"/>
      <c r="H323" s="129"/>
      <c r="I323" s="100">
        <f t="shared" si="10"/>
        <v>0.5</v>
      </c>
      <c r="J323" s="99"/>
      <c r="K323" s="99"/>
      <c r="L323" s="99"/>
      <c r="M323" s="99"/>
      <c r="N323" s="99"/>
      <c r="O323" s="130"/>
    </row>
    <row r="324" spans="1:15" x14ac:dyDescent="0.25">
      <c r="A324" s="98"/>
      <c r="B324" s="95"/>
      <c r="C324" s="95"/>
      <c r="D324" s="95"/>
      <c r="E324" s="95"/>
      <c r="F324" s="95"/>
      <c r="G324" s="95"/>
      <c r="H324" s="1363" t="s">
        <v>58</v>
      </c>
      <c r="I324" s="1362">
        <f>SUM(I308:I323)</f>
        <v>9.1341999999999999</v>
      </c>
      <c r="J324" s="94"/>
      <c r="K324" s="94"/>
      <c r="L324" s="94"/>
      <c r="M324" s="94"/>
      <c r="N324" s="94"/>
      <c r="O324" s="93"/>
    </row>
    <row r="325" spans="1:15" x14ac:dyDescent="0.25">
      <c r="A325" s="107"/>
      <c r="B325" s="94"/>
      <c r="C325" s="94"/>
      <c r="D325" s="94"/>
      <c r="E325" s="94"/>
      <c r="F325" s="94"/>
      <c r="G325" s="94"/>
      <c r="H325" s="94"/>
      <c r="I325" s="94"/>
      <c r="J325" s="94"/>
      <c r="K325" s="94"/>
      <c r="L325" s="94"/>
      <c r="M325" s="94"/>
      <c r="N325" s="94"/>
      <c r="O325" s="93"/>
    </row>
    <row r="326" spans="1:15" x14ac:dyDescent="0.25">
      <c r="A326" s="1367" t="s">
        <v>67</v>
      </c>
      <c r="B326" s="1367" t="s">
        <v>82</v>
      </c>
      <c r="C326" s="1367" t="s">
        <v>66</v>
      </c>
      <c r="D326" s="1367" t="s">
        <v>65</v>
      </c>
      <c r="E326" s="1367" t="s">
        <v>81</v>
      </c>
      <c r="F326" s="1367" t="s">
        <v>80</v>
      </c>
      <c r="G326" s="1367" t="s">
        <v>79</v>
      </c>
      <c r="H326" s="1367" t="s">
        <v>78</v>
      </c>
      <c r="I326" s="1367" t="s">
        <v>40</v>
      </c>
      <c r="J326" s="1367" t="s">
        <v>58</v>
      </c>
      <c r="K326" s="94"/>
      <c r="L326" s="94"/>
      <c r="M326" s="94"/>
      <c r="N326" s="94"/>
      <c r="O326" s="93"/>
    </row>
    <row r="327" spans="1:15" x14ac:dyDescent="0.25">
      <c r="A327" s="129">
        <v>10</v>
      </c>
      <c r="B327" s="129" t="s">
        <v>2391</v>
      </c>
      <c r="C327" s="129" t="s">
        <v>2704</v>
      </c>
      <c r="D327" s="553">
        <v>0.42</v>
      </c>
      <c r="E327" s="552">
        <v>8</v>
      </c>
      <c r="F327" s="552" t="s">
        <v>68</v>
      </c>
      <c r="G327" s="552">
        <v>60</v>
      </c>
      <c r="H327" s="552" t="s">
        <v>68</v>
      </c>
      <c r="I327" s="136">
        <v>1</v>
      </c>
      <c r="J327" s="100">
        <f>I327*D327</f>
        <v>0.42</v>
      </c>
      <c r="K327" s="94"/>
      <c r="L327" s="94"/>
      <c r="M327" s="94"/>
      <c r="N327" s="94"/>
      <c r="O327" s="93"/>
    </row>
    <row r="328" spans="1:15" x14ac:dyDescent="0.25">
      <c r="A328" s="129">
        <v>20</v>
      </c>
      <c r="B328" s="129" t="s">
        <v>2391</v>
      </c>
      <c r="C328" s="129" t="s">
        <v>2705</v>
      </c>
      <c r="D328" s="553">
        <v>0.26</v>
      </c>
      <c r="E328" s="552">
        <v>8</v>
      </c>
      <c r="F328" s="552" t="s">
        <v>68</v>
      </c>
      <c r="G328" s="552">
        <v>40</v>
      </c>
      <c r="H328" s="552" t="s">
        <v>68</v>
      </c>
      <c r="I328" s="136">
        <v>1</v>
      </c>
      <c r="J328" s="100">
        <f>I328*D328</f>
        <v>0.26</v>
      </c>
      <c r="K328" s="94"/>
      <c r="L328" s="94"/>
      <c r="M328" s="94"/>
      <c r="N328" s="94"/>
      <c r="O328" s="93"/>
    </row>
    <row r="329" spans="1:15" x14ac:dyDescent="0.25">
      <c r="A329" s="129">
        <v>30</v>
      </c>
      <c r="B329" s="129" t="s">
        <v>74</v>
      </c>
      <c r="C329" s="129"/>
      <c r="D329" s="553">
        <v>0.01</v>
      </c>
      <c r="E329" s="129">
        <v>8</v>
      </c>
      <c r="F329" s="1132" t="s">
        <v>68</v>
      </c>
      <c r="G329" s="129"/>
      <c r="H329" s="129"/>
      <c r="I329" s="136">
        <v>3</v>
      </c>
      <c r="J329" s="100">
        <f>I329*D329</f>
        <v>0.03</v>
      </c>
      <c r="K329" s="94"/>
      <c r="L329" s="94"/>
      <c r="M329" s="94"/>
      <c r="N329" s="94"/>
      <c r="O329" s="93"/>
    </row>
    <row r="330" spans="1:15" x14ac:dyDescent="0.25">
      <c r="A330" s="129">
        <v>40</v>
      </c>
      <c r="B330" s="129" t="s">
        <v>75</v>
      </c>
      <c r="C330" s="129"/>
      <c r="D330" s="553">
        <v>0.01</v>
      </c>
      <c r="E330" s="129">
        <v>8</v>
      </c>
      <c r="F330" s="1132" t="s">
        <v>68</v>
      </c>
      <c r="G330" s="129"/>
      <c r="H330" s="129"/>
      <c r="I330" s="136">
        <v>3</v>
      </c>
      <c r="J330" s="100">
        <f>I330*D330</f>
        <v>0.03</v>
      </c>
      <c r="K330" s="142"/>
      <c r="L330" s="142"/>
      <c r="M330" s="142"/>
      <c r="N330" s="142"/>
      <c r="O330" s="93"/>
    </row>
    <row r="331" spans="1:15" x14ac:dyDescent="0.25">
      <c r="A331" s="129">
        <v>50</v>
      </c>
      <c r="B331" s="129" t="s">
        <v>2366</v>
      </c>
      <c r="C331" s="601"/>
      <c r="D331" s="283">
        <f>0.02*E331^2+1.22</f>
        <v>2.5</v>
      </c>
      <c r="E331" s="282">
        <v>8</v>
      </c>
      <c r="F331" s="1132" t="s">
        <v>68</v>
      </c>
      <c r="G331" s="129"/>
      <c r="H331" s="129"/>
      <c r="I331" s="136">
        <v>2</v>
      </c>
      <c r="J331" s="100">
        <f>I331*D331</f>
        <v>5</v>
      </c>
      <c r="K331" s="142"/>
      <c r="L331" s="142"/>
      <c r="M331" s="142"/>
      <c r="N331" s="142"/>
      <c r="O331" s="93"/>
    </row>
    <row r="332" spans="1:15" x14ac:dyDescent="0.25">
      <c r="A332" s="98"/>
      <c r="B332" s="95"/>
      <c r="C332" s="95"/>
      <c r="D332" s="95"/>
      <c r="E332" s="95"/>
      <c r="F332" s="95"/>
      <c r="G332" s="95"/>
      <c r="H332" s="95"/>
      <c r="I332" s="1363" t="s">
        <v>58</v>
      </c>
      <c r="J332" s="1362">
        <f>SUM(J327:J331)</f>
        <v>5.74</v>
      </c>
      <c r="K332" s="94"/>
      <c r="L332" s="94"/>
      <c r="M332" s="94"/>
      <c r="N332" s="94"/>
      <c r="O332" s="93"/>
    </row>
    <row r="333" spans="1:15" x14ac:dyDescent="0.25">
      <c r="A333" s="107"/>
      <c r="B333" s="94"/>
      <c r="C333" s="94"/>
      <c r="D333" s="94"/>
      <c r="E333" s="94"/>
      <c r="F333" s="94"/>
      <c r="G333" s="94"/>
      <c r="H333" s="94"/>
      <c r="I333" s="94"/>
      <c r="J333" s="94"/>
      <c r="K333" s="94"/>
      <c r="L333" s="94"/>
      <c r="M333" s="94"/>
      <c r="N333" s="94"/>
      <c r="O333" s="93"/>
    </row>
    <row r="334" spans="1:15" x14ac:dyDescent="0.25">
      <c r="A334" s="1367" t="s">
        <v>67</v>
      </c>
      <c r="B334" s="1367" t="s">
        <v>13</v>
      </c>
      <c r="C334" s="1367" t="s">
        <v>66</v>
      </c>
      <c r="D334" s="1367" t="s">
        <v>65</v>
      </c>
      <c r="E334" s="1367" t="s">
        <v>64</v>
      </c>
      <c r="F334" s="1367" t="s">
        <v>40</v>
      </c>
      <c r="G334" s="1367" t="s">
        <v>63</v>
      </c>
      <c r="H334" s="1367" t="s">
        <v>62</v>
      </c>
      <c r="I334" s="1367" t="s">
        <v>58</v>
      </c>
      <c r="J334" s="95"/>
      <c r="K334" s="94"/>
      <c r="L334" s="94"/>
      <c r="M334" s="94"/>
      <c r="N334" s="94"/>
      <c r="O334" s="93"/>
    </row>
    <row r="335" spans="1:15" x14ac:dyDescent="0.25">
      <c r="A335" s="129">
        <v>10</v>
      </c>
      <c r="B335" s="129" t="s">
        <v>61</v>
      </c>
      <c r="C335" s="129" t="s">
        <v>2432</v>
      </c>
      <c r="D335" s="100">
        <v>500</v>
      </c>
      <c r="E335" s="129" t="s">
        <v>59</v>
      </c>
      <c r="F335" s="129">
        <v>4</v>
      </c>
      <c r="G335" s="129">
        <v>3000</v>
      </c>
      <c r="H335" s="129">
        <v>1</v>
      </c>
      <c r="I335" s="100">
        <f>D335*F335/G335*H335</f>
        <v>0.66666666666666663</v>
      </c>
      <c r="J335" s="99"/>
      <c r="K335" s="94"/>
      <c r="L335" s="94"/>
      <c r="M335" s="94"/>
      <c r="N335" s="94"/>
      <c r="O335" s="93"/>
    </row>
    <row r="336" spans="1:15" x14ac:dyDescent="0.25">
      <c r="A336" s="98"/>
      <c r="B336" s="95"/>
      <c r="C336" s="95"/>
      <c r="D336" s="95"/>
      <c r="E336" s="95"/>
      <c r="F336" s="95"/>
      <c r="G336" s="95"/>
      <c r="H336" s="1363" t="s">
        <v>58</v>
      </c>
      <c r="I336" s="1362">
        <f>SUM(I335)</f>
        <v>0.66666666666666663</v>
      </c>
      <c r="J336" s="95"/>
      <c r="K336" s="94"/>
      <c r="L336" s="94"/>
      <c r="M336" s="94"/>
      <c r="N336" s="94"/>
      <c r="O336" s="93"/>
    </row>
    <row r="337" spans="1:15" ht="15.75" thickBot="1" x14ac:dyDescent="0.3">
      <c r="A337" s="92"/>
      <c r="B337" s="91"/>
      <c r="C337" s="91"/>
      <c r="D337" s="91"/>
      <c r="E337" s="91"/>
      <c r="F337" s="91"/>
      <c r="G337" s="91"/>
      <c r="H337" s="91"/>
      <c r="I337" s="91"/>
      <c r="J337" s="91"/>
      <c r="K337" s="91"/>
      <c r="L337" s="91"/>
      <c r="M337" s="91"/>
      <c r="N337" s="91"/>
      <c r="O337" s="90"/>
    </row>
    <row r="338" spans="1:15" ht="15.75" thickBot="1" x14ac:dyDescent="0.3">
      <c r="O338" s="1229"/>
    </row>
    <row r="339" spans="1:15" x14ac:dyDescent="0.25">
      <c r="A339" s="141"/>
      <c r="B339" s="140"/>
      <c r="C339" s="140"/>
      <c r="D339" s="140"/>
      <c r="E339" s="140"/>
      <c r="F339" s="140"/>
      <c r="G339" s="140"/>
      <c r="H339" s="140"/>
      <c r="I339" s="140"/>
      <c r="J339" s="140"/>
      <c r="K339" s="140"/>
      <c r="L339" s="140"/>
      <c r="M339" s="140"/>
      <c r="N339" s="140"/>
      <c r="O339" s="93"/>
    </row>
    <row r="340" spans="1:15" x14ac:dyDescent="0.25">
      <c r="A340" s="1367" t="s">
        <v>57</v>
      </c>
      <c r="B340" s="133" t="s">
        <v>127</v>
      </c>
      <c r="C340" s="94"/>
      <c r="D340" s="94"/>
      <c r="E340" s="94"/>
      <c r="F340" s="94"/>
      <c r="G340" s="94"/>
      <c r="H340" s="94"/>
      <c r="I340" s="94"/>
      <c r="J340" s="1367" t="s">
        <v>51</v>
      </c>
      <c r="K340" s="138">
        <v>81</v>
      </c>
      <c r="L340" s="94"/>
      <c r="M340" s="1367" t="s">
        <v>126</v>
      </c>
      <c r="N340" s="137">
        <f>E352+SU_A0007_f+SU_A0007_m+SU_A0007_p+SU_A0007_t</f>
        <v>344.09130332056964</v>
      </c>
      <c r="O340" s="93"/>
    </row>
    <row r="341" spans="1:15" x14ac:dyDescent="0.25">
      <c r="A341" s="1367" t="s">
        <v>125</v>
      </c>
      <c r="B341" s="133" t="s">
        <v>5</v>
      </c>
      <c r="C341" s="94"/>
      <c r="D341" s="94"/>
      <c r="E341" s="94"/>
      <c r="F341" s="94"/>
      <c r="G341" s="94"/>
      <c r="H341" s="94"/>
      <c r="I341" s="94"/>
      <c r="J341" s="94"/>
      <c r="K341" s="94"/>
      <c r="L341" s="94"/>
      <c r="M341" s="1367" t="s">
        <v>124</v>
      </c>
      <c r="N341" s="136">
        <v>2</v>
      </c>
      <c r="O341" s="93"/>
    </row>
    <row r="342" spans="1:15" x14ac:dyDescent="0.25">
      <c r="A342" s="1367" t="s">
        <v>123</v>
      </c>
      <c r="B342" s="99" t="s">
        <v>2431</v>
      </c>
      <c r="C342" s="94"/>
      <c r="D342" s="94"/>
      <c r="E342" s="94"/>
      <c r="F342" s="94"/>
      <c r="G342" s="94"/>
      <c r="H342" s="94"/>
      <c r="I342" s="94"/>
      <c r="J342" s="1373" t="s">
        <v>122</v>
      </c>
      <c r="K342" s="94"/>
      <c r="L342" s="94"/>
      <c r="M342" s="94"/>
      <c r="N342" s="94"/>
      <c r="O342" s="93"/>
    </row>
    <row r="343" spans="1:15" x14ac:dyDescent="0.25">
      <c r="A343" s="1367" t="s">
        <v>121</v>
      </c>
      <c r="B343" s="135" t="s">
        <v>2430</v>
      </c>
      <c r="C343" s="94"/>
      <c r="D343" s="94"/>
      <c r="E343" s="94"/>
      <c r="F343" s="94"/>
      <c r="G343" s="94"/>
      <c r="H343" s="94"/>
      <c r="I343" s="94"/>
      <c r="J343" s="1373" t="s">
        <v>119</v>
      </c>
      <c r="K343" s="94"/>
      <c r="L343" s="94"/>
      <c r="M343" s="1367" t="s">
        <v>118</v>
      </c>
      <c r="N343" s="100">
        <f>N340*N341</f>
        <v>688.18260664113927</v>
      </c>
      <c r="O343" s="93"/>
    </row>
    <row r="344" spans="1:15" x14ac:dyDescent="0.25">
      <c r="A344" s="1367" t="s">
        <v>117</v>
      </c>
      <c r="B344" s="133" t="s">
        <v>23</v>
      </c>
      <c r="C344" s="94"/>
      <c r="D344" s="94"/>
      <c r="E344" s="94"/>
      <c r="F344" s="94"/>
      <c r="G344" s="94"/>
      <c r="H344" s="94"/>
      <c r="I344" s="94"/>
      <c r="J344" s="1373" t="s">
        <v>116</v>
      </c>
      <c r="K344" s="94"/>
      <c r="L344" s="94"/>
      <c r="M344" s="94"/>
      <c r="N344" s="94"/>
      <c r="O344" s="93"/>
    </row>
    <row r="345" spans="1:15" x14ac:dyDescent="0.25">
      <c r="A345" s="1367" t="s">
        <v>115</v>
      </c>
      <c r="B345" s="133" t="s">
        <v>2429</v>
      </c>
      <c r="C345" s="94"/>
      <c r="D345" s="94"/>
      <c r="E345" s="94"/>
      <c r="F345" s="94"/>
      <c r="G345" s="94"/>
      <c r="H345" s="94"/>
      <c r="I345" s="94"/>
      <c r="J345" s="94"/>
      <c r="K345" s="94"/>
      <c r="L345" s="94"/>
      <c r="M345" s="94"/>
      <c r="N345" s="94"/>
      <c r="O345" s="93"/>
    </row>
    <row r="346" spans="1:15" x14ac:dyDescent="0.25">
      <c r="A346" s="107"/>
      <c r="B346" s="94"/>
      <c r="C346" s="94"/>
      <c r="D346" s="94"/>
      <c r="E346" s="94"/>
      <c r="F346" s="94"/>
      <c r="G346" s="94"/>
      <c r="H346" s="94"/>
      <c r="I346" s="94"/>
      <c r="J346" s="94"/>
      <c r="K346" s="94"/>
      <c r="L346" s="94"/>
      <c r="M346" s="94"/>
      <c r="N346" s="94"/>
      <c r="O346" s="93"/>
    </row>
    <row r="347" spans="1:15" x14ac:dyDescent="0.25">
      <c r="A347" s="1367" t="s">
        <v>67</v>
      </c>
      <c r="B347" s="1367" t="s">
        <v>114</v>
      </c>
      <c r="C347" s="1367" t="s">
        <v>113</v>
      </c>
      <c r="D347" s="1367" t="s">
        <v>40</v>
      </c>
      <c r="E347" s="1367" t="s">
        <v>58</v>
      </c>
      <c r="F347" s="94"/>
      <c r="G347" s="94"/>
      <c r="H347" s="94"/>
      <c r="I347" s="94"/>
      <c r="J347" s="94"/>
      <c r="K347" s="94"/>
      <c r="L347" s="94"/>
      <c r="M347" s="94"/>
      <c r="N347" s="94"/>
      <c r="O347" s="93"/>
    </row>
    <row r="348" spans="1:15" x14ac:dyDescent="0.25">
      <c r="A348" s="129">
        <v>10</v>
      </c>
      <c r="B348" s="132" t="str">
        <f>'SU Parts'!B931</f>
        <v>Damper</v>
      </c>
      <c r="C348" s="100">
        <f>'SU Parts'!N928</f>
        <v>305</v>
      </c>
      <c r="D348" s="127">
        <f>SU_07001_q</f>
        <v>1</v>
      </c>
      <c r="E348" s="100">
        <f>C348*D348</f>
        <v>305</v>
      </c>
      <c r="F348" s="94"/>
      <c r="G348" s="94"/>
      <c r="H348" s="94"/>
      <c r="I348" s="94"/>
      <c r="J348" s="94"/>
      <c r="K348" s="94"/>
      <c r="L348" s="94"/>
      <c r="M348" s="94"/>
      <c r="N348" s="94"/>
      <c r="O348" s="93"/>
    </row>
    <row r="349" spans="1:15" x14ac:dyDescent="0.25">
      <c r="A349" s="129">
        <v>20</v>
      </c>
      <c r="B349" s="132" t="str">
        <f>'SU Parts'!B946</f>
        <v>Spring</v>
      </c>
      <c r="C349" s="100">
        <f>'SU Parts'!N943</f>
        <v>25</v>
      </c>
      <c r="D349" s="127">
        <f>SU_07002_q</f>
        <v>1</v>
      </c>
      <c r="E349" s="100">
        <f>C349*D349</f>
        <v>25</v>
      </c>
      <c r="F349" s="99"/>
      <c r="G349" s="99"/>
      <c r="H349" s="99"/>
      <c r="I349" s="99"/>
      <c r="J349" s="99"/>
      <c r="K349" s="99"/>
      <c r="L349" s="99"/>
      <c r="M349" s="99"/>
      <c r="N349" s="99"/>
      <c r="O349" s="93"/>
    </row>
    <row r="350" spans="1:15" x14ac:dyDescent="0.25">
      <c r="A350" s="129">
        <v>30</v>
      </c>
      <c r="B350" s="132" t="str">
        <f>'SU Parts'!B961</f>
        <v>Rear suspension mount</v>
      </c>
      <c r="C350" s="100">
        <f>'SU Parts'!N958</f>
        <v>7.9894075000000004</v>
      </c>
      <c r="D350" s="127">
        <f>SU_07003_q</f>
        <v>1</v>
      </c>
      <c r="E350" s="100">
        <f>C350*D350</f>
        <v>7.9894075000000004</v>
      </c>
      <c r="F350" s="99"/>
      <c r="G350" s="99"/>
      <c r="H350" s="99"/>
      <c r="I350" s="99"/>
      <c r="J350" s="99"/>
      <c r="K350" s="99"/>
      <c r="L350" s="99"/>
      <c r="M350" s="99"/>
      <c r="N350" s="99"/>
      <c r="O350" s="131"/>
    </row>
    <row r="351" spans="1:15" x14ac:dyDescent="0.25">
      <c r="A351" s="129">
        <v>40</v>
      </c>
      <c r="B351" s="132" t="str">
        <f>'SU Parts'!B986</f>
        <v>Spacer</v>
      </c>
      <c r="C351" s="100">
        <f>'SU Parts'!N983</f>
        <v>1.6884895769514321</v>
      </c>
      <c r="D351" s="127">
        <f>SU_07004_q</f>
        <v>2</v>
      </c>
      <c r="E351" s="100">
        <f>C351*D351</f>
        <v>3.3769791539028642</v>
      </c>
      <c r="F351" s="99"/>
      <c r="G351" s="99"/>
      <c r="H351" s="99"/>
      <c r="I351" s="99"/>
      <c r="J351" s="99"/>
      <c r="K351" s="99"/>
      <c r="L351" s="99"/>
      <c r="M351" s="99"/>
      <c r="N351" s="99"/>
      <c r="O351" s="131"/>
    </row>
    <row r="352" spans="1:15" x14ac:dyDescent="0.25">
      <c r="A352" s="107"/>
      <c r="B352" s="94"/>
      <c r="C352" s="94"/>
      <c r="D352" s="1363" t="s">
        <v>58</v>
      </c>
      <c r="E352" s="1362">
        <f>SUM(E348:E351)</f>
        <v>341.36638665390291</v>
      </c>
      <c r="F352" s="99"/>
      <c r="G352" s="99"/>
      <c r="H352" s="99"/>
      <c r="I352" s="99"/>
      <c r="J352" s="99"/>
      <c r="K352" s="99"/>
      <c r="L352" s="99"/>
      <c r="M352" s="99"/>
      <c r="N352" s="99"/>
      <c r="O352" s="93"/>
    </row>
    <row r="353" spans="1:15" x14ac:dyDescent="0.25">
      <c r="A353" s="107"/>
      <c r="B353" s="94"/>
      <c r="C353" s="94"/>
      <c r="D353" s="94"/>
      <c r="E353" s="94"/>
      <c r="F353" s="94"/>
      <c r="G353" s="94"/>
      <c r="H353" s="94"/>
      <c r="I353" s="94"/>
      <c r="J353" s="94"/>
      <c r="K353" s="94"/>
      <c r="L353" s="94"/>
      <c r="M353" s="94"/>
      <c r="N353" s="94"/>
      <c r="O353" s="93"/>
    </row>
    <row r="354" spans="1:15" x14ac:dyDescent="0.25">
      <c r="A354" s="1367" t="s">
        <v>67</v>
      </c>
      <c r="B354" s="1367" t="s">
        <v>112</v>
      </c>
      <c r="C354" s="1367" t="s">
        <v>66</v>
      </c>
      <c r="D354" s="1367" t="s">
        <v>65</v>
      </c>
      <c r="E354" s="1367" t="s">
        <v>81</v>
      </c>
      <c r="F354" s="1367" t="s">
        <v>80</v>
      </c>
      <c r="G354" s="1367" t="s">
        <v>79</v>
      </c>
      <c r="H354" s="1367" t="s">
        <v>78</v>
      </c>
      <c r="I354" s="1367" t="s">
        <v>111</v>
      </c>
      <c r="J354" s="1367" t="s">
        <v>110</v>
      </c>
      <c r="K354" s="1367" t="s">
        <v>109</v>
      </c>
      <c r="L354" s="1367" t="s">
        <v>108</v>
      </c>
      <c r="M354" s="1367" t="s">
        <v>40</v>
      </c>
      <c r="N354" s="1367" t="s">
        <v>58</v>
      </c>
      <c r="O354" s="93"/>
    </row>
    <row r="355" spans="1:15" x14ac:dyDescent="0.25">
      <c r="A355" s="282">
        <v>10</v>
      </c>
      <c r="B355" s="282" t="s">
        <v>250</v>
      </c>
      <c r="C355" s="292" t="s">
        <v>2428</v>
      </c>
      <c r="D355" s="283">
        <v>10</v>
      </c>
      <c r="E355" s="282">
        <v>5.0000000000000001E-3</v>
      </c>
      <c r="F355" s="282" t="s">
        <v>299</v>
      </c>
      <c r="G355" s="282"/>
      <c r="H355" s="278"/>
      <c r="I355" s="303"/>
      <c r="J355" s="435"/>
      <c r="K355" s="278"/>
      <c r="L355" s="278"/>
      <c r="M355" s="279">
        <v>5.0000000000000001E-3</v>
      </c>
      <c r="N355" s="100">
        <f>M355*D355</f>
        <v>0.05</v>
      </c>
      <c r="O355" s="93"/>
    </row>
    <row r="356" spans="1:15" x14ac:dyDescent="0.25">
      <c r="A356" s="98"/>
      <c r="B356" s="95"/>
      <c r="C356" s="95"/>
      <c r="D356" s="95"/>
      <c r="E356" s="95"/>
      <c r="F356" s="95"/>
      <c r="G356" s="95"/>
      <c r="H356" s="95"/>
      <c r="I356" s="95"/>
      <c r="J356" s="95"/>
      <c r="K356" s="95"/>
      <c r="L356" s="95"/>
      <c r="M356" s="1367" t="s">
        <v>58</v>
      </c>
      <c r="N356" s="1362">
        <f>SUM(N355:N355)</f>
        <v>0.05</v>
      </c>
      <c r="O356" s="93"/>
    </row>
    <row r="357" spans="1:15" x14ac:dyDescent="0.25">
      <c r="A357" s="107"/>
      <c r="B357" s="94"/>
      <c r="C357" s="94"/>
      <c r="D357" s="94"/>
      <c r="E357" s="94"/>
      <c r="F357" s="94"/>
      <c r="G357" s="94"/>
      <c r="H357" s="94"/>
      <c r="I357" s="94"/>
      <c r="J357" s="94"/>
      <c r="K357" s="94"/>
      <c r="L357" s="94"/>
      <c r="M357" s="94"/>
      <c r="N357" s="94"/>
      <c r="O357" s="93"/>
    </row>
    <row r="358" spans="1:15" x14ac:dyDescent="0.25">
      <c r="A358" s="1367" t="s">
        <v>67</v>
      </c>
      <c r="B358" s="1367" t="s">
        <v>106</v>
      </c>
      <c r="C358" s="1367" t="s">
        <v>66</v>
      </c>
      <c r="D358" s="1367" t="s">
        <v>65</v>
      </c>
      <c r="E358" s="1367" t="s">
        <v>64</v>
      </c>
      <c r="F358" s="1367" t="s">
        <v>40</v>
      </c>
      <c r="G358" s="1367" t="s">
        <v>105</v>
      </c>
      <c r="H358" s="1367" t="s">
        <v>104</v>
      </c>
      <c r="I358" s="1367" t="s">
        <v>58</v>
      </c>
      <c r="J358" s="95"/>
      <c r="K358" s="95"/>
      <c r="L358" s="95"/>
      <c r="M358" s="95"/>
      <c r="N358" s="95"/>
      <c r="O358" s="120"/>
    </row>
    <row r="359" spans="1:15" x14ac:dyDescent="0.25">
      <c r="A359" s="129">
        <v>10</v>
      </c>
      <c r="B359" s="129" t="s">
        <v>87</v>
      </c>
      <c r="C359" s="129" t="s">
        <v>2427</v>
      </c>
      <c r="D359" s="100">
        <v>0.06</v>
      </c>
      <c r="E359" s="129" t="s">
        <v>64</v>
      </c>
      <c r="F359" s="244">
        <v>1</v>
      </c>
      <c r="G359" s="244"/>
      <c r="H359" s="244"/>
      <c r="I359" s="100">
        <f t="shared" ref="I359:I368" si="11">IF(H359="",D359*F359,D359*F359*H359)</f>
        <v>0.06</v>
      </c>
      <c r="J359" s="94"/>
      <c r="K359" s="94"/>
      <c r="L359" s="94"/>
      <c r="M359" s="94"/>
      <c r="N359" s="94"/>
      <c r="O359" s="93"/>
    </row>
    <row r="360" spans="1:15" ht="30" x14ac:dyDescent="0.25">
      <c r="A360" s="282">
        <v>20</v>
      </c>
      <c r="B360" s="282" t="s">
        <v>103</v>
      </c>
      <c r="C360" s="376" t="s">
        <v>2426</v>
      </c>
      <c r="D360" s="337">
        <v>0.15</v>
      </c>
      <c r="E360" s="282" t="s">
        <v>101</v>
      </c>
      <c r="F360" s="308">
        <v>6.28</v>
      </c>
      <c r="G360" s="308"/>
      <c r="H360" s="308"/>
      <c r="I360" s="100">
        <f t="shared" si="11"/>
        <v>0.94199999999999995</v>
      </c>
      <c r="J360" s="94"/>
      <c r="K360" s="94"/>
      <c r="L360" s="94"/>
      <c r="M360" s="94"/>
      <c r="N360" s="94"/>
      <c r="O360" s="93"/>
    </row>
    <row r="361" spans="1:15" x14ac:dyDescent="0.25">
      <c r="A361" s="129">
        <v>30</v>
      </c>
      <c r="B361" s="309" t="s">
        <v>243</v>
      </c>
      <c r="C361" s="282" t="s">
        <v>2379</v>
      </c>
      <c r="D361" s="337">
        <v>5.25</v>
      </c>
      <c r="E361" s="309" t="s">
        <v>299</v>
      </c>
      <c r="F361" s="308">
        <v>5.0000000000000001E-3</v>
      </c>
      <c r="G361" s="282"/>
      <c r="H361" s="282"/>
      <c r="I361" s="100">
        <f t="shared" si="11"/>
        <v>2.6249999999999999E-2</v>
      </c>
      <c r="J361" s="94"/>
      <c r="K361" s="94"/>
      <c r="L361" s="94"/>
      <c r="M361" s="94"/>
      <c r="N361" s="94"/>
      <c r="O361" s="93"/>
    </row>
    <row r="362" spans="1:15" x14ac:dyDescent="0.25">
      <c r="A362" s="282">
        <v>40</v>
      </c>
      <c r="B362" s="309" t="s">
        <v>87</v>
      </c>
      <c r="C362" s="282" t="s">
        <v>2425</v>
      </c>
      <c r="D362" s="337">
        <v>0.06</v>
      </c>
      <c r="E362" s="282" t="s">
        <v>64</v>
      </c>
      <c r="F362" s="308">
        <v>1</v>
      </c>
      <c r="G362" s="282"/>
      <c r="H362" s="282"/>
      <c r="I362" s="100">
        <f t="shared" si="11"/>
        <v>0.06</v>
      </c>
      <c r="J362" s="94"/>
      <c r="K362" s="94"/>
      <c r="L362" s="94"/>
      <c r="M362" s="94"/>
      <c r="N362" s="94"/>
      <c r="O362" s="93"/>
    </row>
    <row r="363" spans="1:15" x14ac:dyDescent="0.25">
      <c r="A363" s="129">
        <v>50</v>
      </c>
      <c r="B363" s="309" t="s">
        <v>87</v>
      </c>
      <c r="C363" s="282" t="s">
        <v>2424</v>
      </c>
      <c r="D363" s="337">
        <v>0.06</v>
      </c>
      <c r="E363" s="282" t="s">
        <v>64</v>
      </c>
      <c r="F363" s="308">
        <v>1</v>
      </c>
      <c r="G363" s="282"/>
      <c r="H363" s="282"/>
      <c r="I363" s="100">
        <f t="shared" si="11"/>
        <v>0.06</v>
      </c>
      <c r="J363" s="94"/>
      <c r="K363" s="94"/>
      <c r="L363" s="94"/>
      <c r="M363" s="94"/>
      <c r="N363" s="94"/>
      <c r="O363" s="93"/>
    </row>
    <row r="364" spans="1:15" x14ac:dyDescent="0.25">
      <c r="A364" s="282">
        <v>60</v>
      </c>
      <c r="B364" s="309" t="s">
        <v>85</v>
      </c>
      <c r="C364" s="282" t="s">
        <v>2423</v>
      </c>
      <c r="D364" s="337">
        <v>0.75</v>
      </c>
      <c r="E364" s="282" t="s">
        <v>64</v>
      </c>
      <c r="F364" s="308">
        <v>1</v>
      </c>
      <c r="G364" s="282"/>
      <c r="H364" s="282"/>
      <c r="I364" s="100">
        <f t="shared" si="11"/>
        <v>0.75</v>
      </c>
      <c r="J364" s="94"/>
      <c r="K364" s="94"/>
      <c r="L364" s="94"/>
      <c r="M364" s="94"/>
      <c r="N364" s="94"/>
      <c r="O364" s="93"/>
    </row>
    <row r="365" spans="1:15" x14ac:dyDescent="0.25">
      <c r="A365" s="129">
        <v>70</v>
      </c>
      <c r="B365" s="309" t="s">
        <v>84</v>
      </c>
      <c r="C365" s="282" t="s">
        <v>2420</v>
      </c>
      <c r="D365" s="337">
        <v>0.25</v>
      </c>
      <c r="E365" s="282" t="s">
        <v>64</v>
      </c>
      <c r="F365" s="308">
        <v>1</v>
      </c>
      <c r="G365" s="282"/>
      <c r="H365" s="282"/>
      <c r="I365" s="100">
        <f t="shared" si="11"/>
        <v>0.25</v>
      </c>
      <c r="J365" s="94"/>
      <c r="K365" s="94"/>
      <c r="L365" s="94"/>
      <c r="M365" s="94"/>
      <c r="N365" s="94"/>
      <c r="O365" s="93"/>
    </row>
    <row r="366" spans="1:15" x14ac:dyDescent="0.25">
      <c r="A366" s="282">
        <v>80</v>
      </c>
      <c r="B366" s="309" t="s">
        <v>87</v>
      </c>
      <c r="C366" s="282" t="s">
        <v>2422</v>
      </c>
      <c r="D366" s="337">
        <v>0.06</v>
      </c>
      <c r="E366" s="282" t="s">
        <v>64</v>
      </c>
      <c r="F366" s="308">
        <v>1</v>
      </c>
      <c r="G366" s="282"/>
      <c r="H366" s="282"/>
      <c r="I366" s="100">
        <f t="shared" si="11"/>
        <v>0.06</v>
      </c>
      <c r="J366" s="94"/>
      <c r="K366" s="94"/>
      <c r="L366" s="94"/>
      <c r="M366" s="94"/>
      <c r="N366" s="94"/>
      <c r="O366" s="93"/>
    </row>
    <row r="367" spans="1:15" x14ac:dyDescent="0.25">
      <c r="A367" s="129">
        <v>90</v>
      </c>
      <c r="B367" s="309" t="s">
        <v>85</v>
      </c>
      <c r="C367" s="282" t="s">
        <v>2421</v>
      </c>
      <c r="D367" s="337">
        <v>0.75</v>
      </c>
      <c r="E367" s="282" t="s">
        <v>64</v>
      </c>
      <c r="F367" s="308">
        <v>1</v>
      </c>
      <c r="G367" s="282"/>
      <c r="H367" s="282"/>
      <c r="I367" s="100">
        <f t="shared" si="11"/>
        <v>0.75</v>
      </c>
      <c r="J367" s="94"/>
      <c r="K367" s="94"/>
      <c r="L367" s="94"/>
      <c r="M367" s="94"/>
      <c r="N367" s="94"/>
      <c r="O367" s="93"/>
    </row>
    <row r="368" spans="1:15" x14ac:dyDescent="0.25">
      <c r="A368" s="282">
        <v>100</v>
      </c>
      <c r="B368" s="282" t="s">
        <v>84</v>
      </c>
      <c r="C368" s="282" t="s">
        <v>2420</v>
      </c>
      <c r="D368" s="337">
        <v>0.25</v>
      </c>
      <c r="E368" s="282" t="s">
        <v>64</v>
      </c>
      <c r="F368" s="308">
        <v>1</v>
      </c>
      <c r="G368" s="308"/>
      <c r="H368" s="308"/>
      <c r="I368" s="100">
        <f t="shared" si="11"/>
        <v>0.25</v>
      </c>
      <c r="J368" s="94"/>
      <c r="K368" s="94"/>
      <c r="L368" s="94"/>
      <c r="M368" s="94"/>
      <c r="N368" s="94"/>
      <c r="O368" s="93"/>
    </row>
    <row r="369" spans="1:15" x14ac:dyDescent="0.25">
      <c r="A369" s="98"/>
      <c r="B369" s="95"/>
      <c r="C369" s="95"/>
      <c r="D369" s="95"/>
      <c r="E369" s="95"/>
      <c r="F369" s="95"/>
      <c r="G369" s="95"/>
      <c r="H369" s="1363" t="s">
        <v>58</v>
      </c>
      <c r="I369" s="1362">
        <f>SUM(I359:I361)</f>
        <v>1.0282500000000001</v>
      </c>
      <c r="J369" s="94"/>
      <c r="K369" s="94"/>
      <c r="L369" s="94"/>
      <c r="M369" s="94"/>
      <c r="N369" s="94"/>
      <c r="O369" s="93"/>
    </row>
    <row r="370" spans="1:15" x14ac:dyDescent="0.25">
      <c r="A370" s="107"/>
      <c r="B370" s="94"/>
      <c r="C370" s="94"/>
      <c r="D370" s="94"/>
      <c r="E370" s="94"/>
      <c r="F370" s="94"/>
      <c r="G370" s="94"/>
      <c r="H370" s="94"/>
      <c r="I370" s="94"/>
      <c r="J370" s="94"/>
      <c r="K370" s="94"/>
      <c r="L370" s="94"/>
      <c r="M370" s="94"/>
      <c r="N370" s="94"/>
      <c r="O370" s="93"/>
    </row>
    <row r="371" spans="1:15" x14ac:dyDescent="0.25">
      <c r="A371" s="1367" t="s">
        <v>67</v>
      </c>
      <c r="B371" s="1367" t="s">
        <v>82</v>
      </c>
      <c r="C371" s="1367" t="s">
        <v>66</v>
      </c>
      <c r="D371" s="1367" t="s">
        <v>65</v>
      </c>
      <c r="E371" s="1367" t="s">
        <v>81</v>
      </c>
      <c r="F371" s="1367" t="s">
        <v>80</v>
      </c>
      <c r="G371" s="1367" t="s">
        <v>79</v>
      </c>
      <c r="H371" s="1367" t="s">
        <v>78</v>
      </c>
      <c r="I371" s="1367" t="s">
        <v>40</v>
      </c>
      <c r="J371" s="1367" t="s">
        <v>58</v>
      </c>
      <c r="K371" s="94"/>
      <c r="L371" s="94"/>
      <c r="M371" s="94"/>
      <c r="N371" s="94"/>
      <c r="O371" s="93"/>
    </row>
    <row r="372" spans="1:15" ht="30" x14ac:dyDescent="0.25">
      <c r="A372" s="282">
        <v>10</v>
      </c>
      <c r="B372" s="282" t="s">
        <v>2418</v>
      </c>
      <c r="C372" s="292" t="s">
        <v>2419</v>
      </c>
      <c r="D372" s="630">
        <v>0.33</v>
      </c>
      <c r="E372" s="629">
        <v>8</v>
      </c>
      <c r="F372" s="629" t="s">
        <v>68</v>
      </c>
      <c r="G372" s="629">
        <v>50</v>
      </c>
      <c r="H372" s="629" t="s">
        <v>68</v>
      </c>
      <c r="I372" s="534">
        <v>1</v>
      </c>
      <c r="J372" s="100">
        <f>I372*D372</f>
        <v>0.33</v>
      </c>
      <c r="K372" s="94"/>
      <c r="L372" s="94"/>
      <c r="M372" s="94"/>
      <c r="N372" s="94"/>
      <c r="O372" s="93"/>
    </row>
    <row r="373" spans="1:15" x14ac:dyDescent="0.25">
      <c r="A373" s="282">
        <v>20</v>
      </c>
      <c r="B373" s="282" t="s">
        <v>2418</v>
      </c>
      <c r="C373" s="292" t="s">
        <v>2417</v>
      </c>
      <c r="D373" s="630">
        <v>0.37</v>
      </c>
      <c r="E373" s="629">
        <v>8</v>
      </c>
      <c r="F373" s="535" t="s">
        <v>68</v>
      </c>
      <c r="G373" s="282">
        <v>55</v>
      </c>
      <c r="H373" s="285" t="s">
        <v>68</v>
      </c>
      <c r="I373" s="534">
        <v>1</v>
      </c>
      <c r="J373" s="100">
        <f>I373*D373</f>
        <v>0.37</v>
      </c>
      <c r="K373" s="94"/>
      <c r="L373" s="94"/>
      <c r="M373" s="94"/>
      <c r="N373" s="94"/>
      <c r="O373" s="93"/>
    </row>
    <row r="374" spans="1:15" x14ac:dyDescent="0.25">
      <c r="A374" s="282">
        <v>30</v>
      </c>
      <c r="B374" s="282" t="s">
        <v>2367</v>
      </c>
      <c r="C374" s="282"/>
      <c r="D374" s="642">
        <v>7.0000000000000007E-2</v>
      </c>
      <c r="E374" s="629">
        <v>8</v>
      </c>
      <c r="F374" s="535" t="s">
        <v>68</v>
      </c>
      <c r="G374" s="282"/>
      <c r="H374" s="285"/>
      <c r="I374" s="534">
        <v>2</v>
      </c>
      <c r="J374" s="100">
        <f>I374*D374</f>
        <v>0.14000000000000001</v>
      </c>
      <c r="K374" s="94"/>
      <c r="L374" s="94"/>
      <c r="M374" s="94"/>
      <c r="N374" s="94"/>
      <c r="O374" s="93"/>
    </row>
    <row r="375" spans="1:15" x14ac:dyDescent="0.25">
      <c r="A375" s="282">
        <v>40</v>
      </c>
      <c r="B375" s="1364" t="s">
        <v>488</v>
      </c>
      <c r="C375" s="292"/>
      <c r="D375" s="642">
        <v>7.0000000000000007E-2</v>
      </c>
      <c r="E375" s="629">
        <v>8</v>
      </c>
      <c r="F375" s="641" t="s">
        <v>68</v>
      </c>
      <c r="G375" s="292"/>
      <c r="H375" s="376"/>
      <c r="I375" s="1425">
        <v>2</v>
      </c>
      <c r="J375" s="100">
        <f>I375*D375</f>
        <v>0.14000000000000001</v>
      </c>
      <c r="K375" s="142"/>
      <c r="L375" s="142"/>
      <c r="M375" s="142"/>
      <c r="N375" s="142"/>
      <c r="O375" s="93"/>
    </row>
    <row r="376" spans="1:15" x14ac:dyDescent="0.25">
      <c r="A376" s="98"/>
      <c r="B376" s="95"/>
      <c r="C376" s="95"/>
      <c r="D376" s="95"/>
      <c r="E376" s="95"/>
      <c r="F376" s="95"/>
      <c r="G376" s="95"/>
      <c r="H376" s="95"/>
      <c r="I376" s="1363" t="s">
        <v>58</v>
      </c>
      <c r="J376" s="1362">
        <f>SUM(J372:J375)</f>
        <v>0.98</v>
      </c>
      <c r="K376" s="94"/>
      <c r="L376" s="94"/>
      <c r="M376" s="94"/>
      <c r="N376" s="94"/>
      <c r="O376" s="93"/>
    </row>
    <row r="377" spans="1:15" x14ac:dyDescent="0.25">
      <c r="A377" s="107"/>
      <c r="B377" s="94"/>
      <c r="C377" s="94"/>
      <c r="D377" s="94"/>
      <c r="E377" s="94"/>
      <c r="F377" s="94"/>
      <c r="G377" s="94"/>
      <c r="H377" s="94"/>
      <c r="I377" s="94"/>
      <c r="J377" s="94"/>
      <c r="K377" s="94"/>
      <c r="L377" s="94"/>
      <c r="M377" s="94"/>
      <c r="N377" s="94"/>
      <c r="O377" s="93"/>
    </row>
    <row r="378" spans="1:15" x14ac:dyDescent="0.25">
      <c r="A378" s="1367" t="s">
        <v>67</v>
      </c>
      <c r="B378" s="1367" t="s">
        <v>13</v>
      </c>
      <c r="C378" s="1367" t="s">
        <v>66</v>
      </c>
      <c r="D378" s="1367" t="s">
        <v>65</v>
      </c>
      <c r="E378" s="1367" t="s">
        <v>64</v>
      </c>
      <c r="F378" s="1367" t="s">
        <v>40</v>
      </c>
      <c r="G378" s="1367" t="s">
        <v>63</v>
      </c>
      <c r="H378" s="1367" t="s">
        <v>62</v>
      </c>
      <c r="I378" s="1367" t="s">
        <v>58</v>
      </c>
      <c r="J378" s="95"/>
      <c r="K378" s="94"/>
      <c r="L378" s="94"/>
      <c r="M378" s="94"/>
      <c r="N378" s="94"/>
      <c r="O378" s="93"/>
    </row>
    <row r="379" spans="1:15" x14ac:dyDescent="0.25">
      <c r="A379" s="282">
        <v>10</v>
      </c>
      <c r="B379" s="282" t="s">
        <v>61</v>
      </c>
      <c r="C379" s="282" t="s">
        <v>2365</v>
      </c>
      <c r="D379" s="283">
        <v>500</v>
      </c>
      <c r="E379" s="282" t="s">
        <v>59</v>
      </c>
      <c r="F379" s="282">
        <v>4</v>
      </c>
      <c r="G379" s="282">
        <v>3000</v>
      </c>
      <c r="H379" s="282">
        <v>1</v>
      </c>
      <c r="I379" s="100">
        <f>D379*F379/G379*H379</f>
        <v>0.66666666666666663</v>
      </c>
      <c r="J379" s="99"/>
      <c r="K379" s="94"/>
      <c r="L379" s="94"/>
      <c r="M379" s="94"/>
      <c r="N379" s="94"/>
      <c r="O379" s="93"/>
    </row>
    <row r="380" spans="1:15" x14ac:dyDescent="0.25">
      <c r="A380" s="98"/>
      <c r="B380" s="95"/>
      <c r="C380" s="95"/>
      <c r="D380" s="95"/>
      <c r="E380" s="95"/>
      <c r="F380" s="95"/>
      <c r="G380" s="95"/>
      <c r="H380" s="1363" t="s">
        <v>58</v>
      </c>
      <c r="I380" s="1362">
        <f>SUM(I379)</f>
        <v>0.66666666666666663</v>
      </c>
      <c r="J380" s="95"/>
      <c r="K380" s="94"/>
      <c r="L380" s="94"/>
      <c r="M380" s="94"/>
      <c r="N380" s="94"/>
      <c r="O380" s="93"/>
    </row>
    <row r="381" spans="1:15" ht="15.75" thickBot="1" x14ac:dyDescent="0.3">
      <c r="A381" s="92"/>
      <c r="B381" s="91"/>
      <c r="C381" s="91"/>
      <c r="D381" s="91"/>
      <c r="E381" s="91"/>
      <c r="F381" s="91"/>
      <c r="G381" s="91"/>
      <c r="H381" s="91"/>
      <c r="I381" s="91"/>
      <c r="J381" s="91"/>
      <c r="K381" s="91"/>
      <c r="L381" s="91"/>
      <c r="M381" s="91"/>
      <c r="N381" s="91"/>
      <c r="O381" s="90"/>
    </row>
    <row r="382" spans="1:15" ht="15.75" thickBot="1" x14ac:dyDescent="0.3"/>
    <row r="383" spans="1:15" x14ac:dyDescent="0.25">
      <c r="A383" s="141"/>
      <c r="B383" s="140"/>
      <c r="C383" s="140"/>
      <c r="D383" s="140"/>
      <c r="E383" s="140"/>
      <c r="F383" s="140"/>
      <c r="G383" s="140"/>
      <c r="H383" s="140"/>
      <c r="I383" s="140"/>
      <c r="J383" s="140"/>
      <c r="K383" s="140"/>
      <c r="L383" s="140"/>
      <c r="M383" s="140"/>
      <c r="N383" s="140"/>
      <c r="O383" s="139"/>
    </row>
    <row r="384" spans="1:15" x14ac:dyDescent="0.25">
      <c r="A384" s="1367" t="s">
        <v>57</v>
      </c>
      <c r="B384" s="133" t="s">
        <v>127</v>
      </c>
      <c r="C384" s="94"/>
      <c r="D384" s="94"/>
      <c r="E384" s="94"/>
      <c r="F384" s="94"/>
      <c r="G384" s="94"/>
      <c r="H384" s="94"/>
      <c r="I384" s="94"/>
      <c r="J384" s="1367" t="s">
        <v>51</v>
      </c>
      <c r="K384" s="138">
        <v>81</v>
      </c>
      <c r="L384" s="94"/>
      <c r="M384" s="1367" t="s">
        <v>126</v>
      </c>
      <c r="N384" s="137">
        <f>E398+SU_A0008_m+SU_A0008_p+SU_A0008_f+SU_A0008_t</f>
        <v>51.591932017561085</v>
      </c>
      <c r="O384" s="93"/>
    </row>
    <row r="385" spans="1:15" x14ac:dyDescent="0.25">
      <c r="A385" s="1367" t="s">
        <v>125</v>
      </c>
      <c r="B385" s="133" t="s">
        <v>5</v>
      </c>
      <c r="C385" s="94"/>
      <c r="D385" s="94"/>
      <c r="E385" s="94"/>
      <c r="F385" s="94"/>
      <c r="G385" s="94"/>
      <c r="H385" s="94"/>
      <c r="I385" s="94"/>
      <c r="J385" s="94"/>
      <c r="K385" s="94"/>
      <c r="L385" s="94"/>
      <c r="M385" s="1367" t="s">
        <v>124</v>
      </c>
      <c r="N385" s="136">
        <v>2</v>
      </c>
      <c r="O385" s="93"/>
    </row>
    <row r="386" spans="1:15" x14ac:dyDescent="0.25">
      <c r="A386" s="1367" t="s">
        <v>123</v>
      </c>
      <c r="B386" s="99" t="s">
        <v>2416</v>
      </c>
      <c r="C386" s="94"/>
      <c r="D386" s="94"/>
      <c r="E386" s="94"/>
      <c r="F386" s="94"/>
      <c r="G386" s="94"/>
      <c r="H386" s="94"/>
      <c r="I386" s="94"/>
      <c r="J386" s="1373" t="s">
        <v>122</v>
      </c>
      <c r="K386" s="94"/>
      <c r="L386" s="94"/>
      <c r="M386" s="94"/>
      <c r="N386" s="94"/>
      <c r="O386" s="93"/>
    </row>
    <row r="387" spans="1:15" x14ac:dyDescent="0.25">
      <c r="A387" s="1367" t="s">
        <v>121</v>
      </c>
      <c r="B387" s="135" t="s">
        <v>2415</v>
      </c>
      <c r="C387" s="94"/>
      <c r="D387" s="94"/>
      <c r="E387" s="94"/>
      <c r="F387" s="94"/>
      <c r="G387" s="94"/>
      <c r="H387" s="94"/>
      <c r="I387" s="94"/>
      <c r="J387" s="1373" t="s">
        <v>119</v>
      </c>
      <c r="K387" s="94"/>
      <c r="L387" s="94"/>
      <c r="M387" s="1367" t="s">
        <v>118</v>
      </c>
      <c r="N387" s="100">
        <f>N384*N385</f>
        <v>103.18386403512217</v>
      </c>
      <c r="O387" s="93"/>
    </row>
    <row r="388" spans="1:15" x14ac:dyDescent="0.25">
      <c r="A388" s="1367" t="s">
        <v>117</v>
      </c>
      <c r="B388" s="133" t="s">
        <v>23</v>
      </c>
      <c r="C388" s="94"/>
      <c r="D388" s="94"/>
      <c r="E388" s="94"/>
      <c r="F388" s="94"/>
      <c r="G388" s="94"/>
      <c r="H388" s="94"/>
      <c r="I388" s="94"/>
      <c r="J388" s="1373" t="s">
        <v>116</v>
      </c>
      <c r="K388" s="94"/>
      <c r="L388" s="94"/>
      <c r="M388" s="94"/>
      <c r="N388" s="94"/>
      <c r="O388" s="93"/>
    </row>
    <row r="389" spans="1:15" x14ac:dyDescent="0.25">
      <c r="A389" s="1367" t="s">
        <v>115</v>
      </c>
      <c r="B389" s="133"/>
      <c r="C389" s="94"/>
      <c r="D389" s="94"/>
      <c r="E389" s="94"/>
      <c r="F389" s="94"/>
      <c r="G389" s="94"/>
      <c r="H389" s="94"/>
      <c r="I389" s="94"/>
      <c r="J389" s="94"/>
      <c r="K389" s="94"/>
      <c r="L389" s="94"/>
      <c r="M389" s="94"/>
      <c r="N389" s="94"/>
      <c r="O389" s="93"/>
    </row>
    <row r="390" spans="1:15" x14ac:dyDescent="0.25">
      <c r="A390" s="107"/>
      <c r="B390" s="94"/>
      <c r="C390" s="94"/>
      <c r="D390" s="94"/>
      <c r="E390" s="94"/>
      <c r="F390" s="94"/>
      <c r="G390" s="94"/>
      <c r="H390" s="94"/>
      <c r="I390" s="94"/>
      <c r="J390" s="94"/>
      <c r="K390" s="94"/>
      <c r="L390" s="94"/>
      <c r="M390" s="94"/>
      <c r="N390" s="94"/>
      <c r="O390" s="93"/>
    </row>
    <row r="391" spans="1:15" x14ac:dyDescent="0.25">
      <c r="A391" s="1367" t="s">
        <v>67</v>
      </c>
      <c r="B391" s="1367" t="s">
        <v>114</v>
      </c>
      <c r="C391" s="1367" t="s">
        <v>113</v>
      </c>
      <c r="D391" s="1367" t="s">
        <v>40</v>
      </c>
      <c r="E391" s="1367" t="s">
        <v>58</v>
      </c>
      <c r="F391" s="94"/>
      <c r="G391" s="94"/>
      <c r="H391" s="94"/>
      <c r="I391" s="94"/>
      <c r="J391" s="94"/>
      <c r="K391" s="94"/>
      <c r="L391" s="94"/>
      <c r="M391" s="94"/>
      <c r="N391" s="94"/>
      <c r="O391" s="93"/>
    </row>
    <row r="392" spans="1:15" x14ac:dyDescent="0.25">
      <c r="A392" s="129">
        <v>10</v>
      </c>
      <c r="B392" s="132" t="str">
        <f>'SU Parts'!B1007</f>
        <v>Rocker metal sheets</v>
      </c>
      <c r="C392" s="100">
        <f>'SU Parts'!N1004</f>
        <v>5.6684929999999998</v>
      </c>
      <c r="D392" s="127">
        <f>SU_08001_q</f>
        <v>2</v>
      </c>
      <c r="E392" s="100">
        <f t="shared" ref="E392:E397" si="12">C392*D392</f>
        <v>11.336986</v>
      </c>
      <c r="F392" s="94"/>
      <c r="G392" s="94"/>
      <c r="H392" s="94"/>
      <c r="I392" s="94"/>
      <c r="J392" s="94"/>
      <c r="K392" s="94"/>
      <c r="L392" s="94"/>
      <c r="M392" s="94"/>
      <c r="N392" s="94"/>
      <c r="O392" s="93"/>
    </row>
    <row r="393" spans="1:15" x14ac:dyDescent="0.25">
      <c r="A393" s="129">
        <v>20</v>
      </c>
      <c r="B393" s="132" t="str">
        <f>'SU Parts'!B1027</f>
        <v>Cylinder</v>
      </c>
      <c r="C393" s="100">
        <f>'SU Parts'!N1024</f>
        <v>2.0214527503422883</v>
      </c>
      <c r="D393" s="127">
        <f>SU_08002_q</f>
        <v>1</v>
      </c>
      <c r="E393" s="100">
        <f t="shared" si="12"/>
        <v>2.0214527503422883</v>
      </c>
      <c r="F393" s="99"/>
      <c r="G393" s="99"/>
      <c r="H393" s="99"/>
      <c r="I393" s="99"/>
      <c r="J393" s="99"/>
      <c r="K393" s="99"/>
      <c r="L393" s="99"/>
      <c r="M393" s="99"/>
      <c r="N393" s="99"/>
      <c r="O393" s="93"/>
    </row>
    <row r="394" spans="1:15" x14ac:dyDescent="0.25">
      <c r="A394" s="129">
        <v>30</v>
      </c>
      <c r="B394" s="132" t="str">
        <f>'SU Parts'!B1048</f>
        <v>Bushing</v>
      </c>
      <c r="C394" s="100">
        <f>'SU Parts'!N1045</f>
        <v>1.3200069456555323</v>
      </c>
      <c r="D394" s="129">
        <f>SU_08003_q</f>
        <v>2</v>
      </c>
      <c r="E394" s="100">
        <f t="shared" si="12"/>
        <v>2.6400138913110647</v>
      </c>
      <c r="F394" s="99"/>
      <c r="G394" s="99"/>
      <c r="H394" s="99"/>
      <c r="I394" s="99"/>
      <c r="J394" s="99"/>
      <c r="K394" s="99"/>
      <c r="L394" s="99"/>
      <c r="M394" s="99"/>
      <c r="N394" s="99"/>
      <c r="O394" s="131"/>
    </row>
    <row r="395" spans="1:15" x14ac:dyDescent="0.25">
      <c r="A395" s="129">
        <v>40</v>
      </c>
      <c r="B395" s="132" t="str">
        <f>'SU Parts'!B1068</f>
        <v>Rocker mount</v>
      </c>
      <c r="C395" s="100">
        <f>'SU Parts'!N1065</f>
        <v>7.8336173125000013</v>
      </c>
      <c r="D395" s="129">
        <f>SU_08004_q</f>
        <v>1</v>
      </c>
      <c r="E395" s="100">
        <f t="shared" si="12"/>
        <v>7.8336173125000013</v>
      </c>
      <c r="F395" s="99"/>
      <c r="G395" s="99"/>
      <c r="H395" s="99"/>
      <c r="I395" s="99"/>
      <c r="J395" s="99"/>
      <c r="K395" s="99"/>
      <c r="L395" s="99"/>
      <c r="M395" s="99"/>
      <c r="N395" s="99"/>
      <c r="O395" s="131"/>
    </row>
    <row r="396" spans="1:15" x14ac:dyDescent="0.25">
      <c r="A396" s="129">
        <v>50</v>
      </c>
      <c r="B396" s="128" t="str">
        <f>'SU Parts'!B1093</f>
        <v>Push rod tube</v>
      </c>
      <c r="C396" s="100">
        <f>'SU Parts'!N1090</f>
        <v>6.1134331711914687</v>
      </c>
      <c r="D396" s="129">
        <f>SU_08005_q</f>
        <v>1</v>
      </c>
      <c r="E396" s="100">
        <f t="shared" si="12"/>
        <v>6.1134331711914687</v>
      </c>
      <c r="F396" s="99"/>
      <c r="G396" s="99"/>
      <c r="H396" s="99"/>
      <c r="I396" s="99"/>
      <c r="J396" s="99"/>
      <c r="K396" s="99"/>
      <c r="L396" s="99"/>
      <c r="M396" s="99"/>
      <c r="N396" s="99"/>
      <c r="O396" s="130"/>
    </row>
    <row r="397" spans="1:15" x14ac:dyDescent="0.25">
      <c r="A397" s="129">
        <v>60</v>
      </c>
      <c r="B397" s="128" t="str">
        <f>'SU Parts'!B1112</f>
        <v>Push rod insert</v>
      </c>
      <c r="C397" s="100">
        <f>'SU Parts'!N1109</f>
        <v>2.9527811127747987</v>
      </c>
      <c r="D397" s="129">
        <f>SU_08006_q</f>
        <v>2</v>
      </c>
      <c r="E397" s="100">
        <f t="shared" si="12"/>
        <v>5.9055622255495974</v>
      </c>
      <c r="F397" s="94"/>
      <c r="G397" s="94"/>
      <c r="H397" s="94"/>
      <c r="I397" s="94"/>
      <c r="J397" s="94"/>
      <c r="K397" s="94"/>
      <c r="L397" s="94"/>
      <c r="M397" s="94"/>
      <c r="N397" s="94"/>
      <c r="O397" s="93"/>
    </row>
    <row r="398" spans="1:15" x14ac:dyDescent="0.25">
      <c r="A398" s="107"/>
      <c r="B398" s="94"/>
      <c r="C398" s="94"/>
      <c r="D398" s="1363" t="s">
        <v>58</v>
      </c>
      <c r="E398" s="1362">
        <f>SUM(E392:E397)</f>
        <v>35.851065350894416</v>
      </c>
      <c r="F398" s="99"/>
      <c r="G398" s="99"/>
      <c r="H398" s="99"/>
      <c r="I398" s="99"/>
      <c r="J398" s="99"/>
      <c r="K398" s="99"/>
      <c r="L398" s="99"/>
      <c r="M398" s="99"/>
      <c r="N398" s="99"/>
      <c r="O398" s="93"/>
    </row>
    <row r="399" spans="1:15" x14ac:dyDescent="0.25">
      <c r="A399" s="107"/>
      <c r="B399" s="94"/>
      <c r="C399" s="94"/>
      <c r="D399" s="94"/>
      <c r="E399" s="94"/>
      <c r="F399" s="94"/>
      <c r="G399" s="94"/>
      <c r="H399" s="94"/>
      <c r="I399" s="94"/>
      <c r="J399" s="94"/>
      <c r="K399" s="94"/>
      <c r="L399" s="94"/>
      <c r="M399" s="94"/>
      <c r="N399" s="94"/>
      <c r="O399" s="93"/>
    </row>
    <row r="400" spans="1:15" x14ac:dyDescent="0.25">
      <c r="A400" s="1367" t="s">
        <v>67</v>
      </c>
      <c r="B400" s="1367" t="s">
        <v>112</v>
      </c>
      <c r="C400" s="1367" t="s">
        <v>66</v>
      </c>
      <c r="D400" s="1367" t="s">
        <v>65</v>
      </c>
      <c r="E400" s="1367" t="s">
        <v>81</v>
      </c>
      <c r="F400" s="1367" t="s">
        <v>80</v>
      </c>
      <c r="G400" s="1367" t="s">
        <v>79</v>
      </c>
      <c r="H400" s="1367" t="s">
        <v>78</v>
      </c>
      <c r="I400" s="1367" t="s">
        <v>111</v>
      </c>
      <c r="J400" s="1367" t="s">
        <v>110</v>
      </c>
      <c r="K400" s="1367" t="s">
        <v>109</v>
      </c>
      <c r="L400" s="1367" t="s">
        <v>108</v>
      </c>
      <c r="M400" s="1367" t="s">
        <v>40</v>
      </c>
      <c r="N400" s="1367" t="s">
        <v>58</v>
      </c>
      <c r="O400" s="93"/>
    </row>
    <row r="401" spans="1:15" x14ac:dyDescent="0.25">
      <c r="A401" s="129">
        <v>10</v>
      </c>
      <c r="B401" s="129" t="s">
        <v>250</v>
      </c>
      <c r="C401" s="129" t="s">
        <v>2412</v>
      </c>
      <c r="D401" s="100">
        <v>10</v>
      </c>
      <c r="E401" s="129">
        <v>6.0000000000000001E-3</v>
      </c>
      <c r="F401" s="129" t="s">
        <v>299</v>
      </c>
      <c r="G401" s="129"/>
      <c r="H401" s="200"/>
      <c r="I401" s="202"/>
      <c r="J401" s="201"/>
      <c r="K401" s="200"/>
      <c r="L401" s="200"/>
      <c r="M401" s="200">
        <v>1</v>
      </c>
      <c r="N401" s="100">
        <f>E401*D401</f>
        <v>0.06</v>
      </c>
      <c r="O401" s="93"/>
    </row>
    <row r="402" spans="1:15" x14ac:dyDescent="0.25">
      <c r="A402" s="129">
        <v>20</v>
      </c>
      <c r="B402" s="129" t="s">
        <v>250</v>
      </c>
      <c r="C402" s="601" t="s">
        <v>2414</v>
      </c>
      <c r="D402" s="100">
        <v>10</v>
      </c>
      <c r="E402" s="253">
        <v>1.4E-2</v>
      </c>
      <c r="F402" s="253" t="s">
        <v>299</v>
      </c>
      <c r="G402" s="253"/>
      <c r="H402" s="200"/>
      <c r="I402" s="252"/>
      <c r="J402" s="249"/>
      <c r="K402" s="246"/>
      <c r="L402" s="251"/>
      <c r="M402" s="248">
        <v>1</v>
      </c>
      <c r="N402" s="100">
        <f>D402*E402</f>
        <v>0.14000000000000001</v>
      </c>
      <c r="O402" s="143"/>
    </row>
    <row r="403" spans="1:15" x14ac:dyDescent="0.25">
      <c r="A403" s="98"/>
      <c r="B403" s="95"/>
      <c r="C403" s="95"/>
      <c r="D403" s="95"/>
      <c r="E403" s="95"/>
      <c r="F403" s="95"/>
      <c r="G403" s="95"/>
      <c r="H403" s="95"/>
      <c r="I403" s="95"/>
      <c r="J403" s="95"/>
      <c r="K403" s="95"/>
      <c r="L403" s="95"/>
      <c r="M403" s="1367" t="s">
        <v>58</v>
      </c>
      <c r="N403" s="1362">
        <f>SUM(N401:N402)</f>
        <v>0.2</v>
      </c>
      <c r="O403" s="93"/>
    </row>
    <row r="404" spans="1:15" x14ac:dyDescent="0.25">
      <c r="A404" s="107"/>
      <c r="B404" s="94"/>
      <c r="C404" s="94"/>
      <c r="D404" s="94"/>
      <c r="E404" s="94"/>
      <c r="F404" s="94"/>
      <c r="G404" s="94"/>
      <c r="H404" s="94"/>
      <c r="I404" s="94"/>
      <c r="J404" s="94"/>
      <c r="K404" s="94"/>
      <c r="L404" s="94"/>
      <c r="M404" s="94"/>
      <c r="N404" s="94"/>
      <c r="O404" s="93"/>
    </row>
    <row r="405" spans="1:15" x14ac:dyDescent="0.25">
      <c r="A405" s="1367" t="s">
        <v>67</v>
      </c>
      <c r="B405" s="1367" t="s">
        <v>106</v>
      </c>
      <c r="C405" s="1367" t="s">
        <v>66</v>
      </c>
      <c r="D405" s="1367" t="s">
        <v>65</v>
      </c>
      <c r="E405" s="1367" t="s">
        <v>64</v>
      </c>
      <c r="F405" s="1367" t="s">
        <v>40</v>
      </c>
      <c r="G405" s="1367" t="s">
        <v>105</v>
      </c>
      <c r="H405" s="1367" t="s">
        <v>104</v>
      </c>
      <c r="I405" s="1367" t="s">
        <v>58</v>
      </c>
      <c r="J405" s="95"/>
      <c r="K405" s="95"/>
      <c r="L405" s="95"/>
      <c r="M405" s="95"/>
      <c r="N405" s="95"/>
      <c r="O405" s="120"/>
    </row>
    <row r="406" spans="1:15" x14ac:dyDescent="0.25">
      <c r="A406" s="129">
        <v>10</v>
      </c>
      <c r="B406" s="129" t="s">
        <v>103</v>
      </c>
      <c r="C406" s="129" t="s">
        <v>2413</v>
      </c>
      <c r="D406" s="100">
        <v>0.15</v>
      </c>
      <c r="E406" s="129" t="s">
        <v>101</v>
      </c>
      <c r="F406" s="244">
        <v>5.8</v>
      </c>
      <c r="G406" s="244"/>
      <c r="H406" s="244"/>
      <c r="I406" s="100">
        <f t="shared" ref="I406:I421" si="13">IF(H406="",D406*F406,D406*F406*H406)</f>
        <v>0.87</v>
      </c>
      <c r="J406" s="94"/>
      <c r="K406" s="94"/>
      <c r="L406" s="94"/>
      <c r="M406" s="94"/>
      <c r="N406" s="94"/>
      <c r="O406" s="93"/>
    </row>
    <row r="407" spans="1:15" x14ac:dyDescent="0.25">
      <c r="A407" s="129">
        <v>20</v>
      </c>
      <c r="B407" s="555" t="s">
        <v>243</v>
      </c>
      <c r="C407" s="129" t="s">
        <v>2412</v>
      </c>
      <c r="D407" s="100">
        <v>5.25</v>
      </c>
      <c r="E407" s="555" t="s">
        <v>299</v>
      </c>
      <c r="F407" s="244">
        <v>6.0000000000000001E-3</v>
      </c>
      <c r="G407" s="129"/>
      <c r="H407" s="129"/>
      <c r="I407" s="100">
        <f t="shared" si="13"/>
        <v>3.15E-2</v>
      </c>
      <c r="J407" s="94"/>
      <c r="K407" s="94"/>
      <c r="L407" s="94"/>
      <c r="M407" s="94"/>
      <c r="N407" s="94"/>
      <c r="O407" s="93"/>
    </row>
    <row r="408" spans="1:15" x14ac:dyDescent="0.25">
      <c r="A408" s="129">
        <v>30</v>
      </c>
      <c r="B408" s="555" t="s">
        <v>243</v>
      </c>
      <c r="C408" s="129" t="s">
        <v>2411</v>
      </c>
      <c r="D408" s="100">
        <v>5.25</v>
      </c>
      <c r="E408" s="129" t="s">
        <v>299</v>
      </c>
      <c r="F408" s="244">
        <v>1.4E-2</v>
      </c>
      <c r="G408" s="129"/>
      <c r="H408" s="129"/>
      <c r="I408" s="100">
        <f t="shared" si="13"/>
        <v>7.3499999999999996E-2</v>
      </c>
      <c r="J408" s="94"/>
      <c r="K408" s="94"/>
      <c r="L408" s="94"/>
      <c r="M408" s="94"/>
      <c r="N408" s="94"/>
      <c r="O408" s="93"/>
    </row>
    <row r="409" spans="1:15" x14ac:dyDescent="0.25">
      <c r="A409" s="129">
        <v>40</v>
      </c>
      <c r="B409" s="555" t="s">
        <v>439</v>
      </c>
      <c r="C409" s="129" t="s">
        <v>2410</v>
      </c>
      <c r="D409" s="100">
        <v>0.19</v>
      </c>
      <c r="E409" s="129" t="s">
        <v>64</v>
      </c>
      <c r="F409" s="244">
        <v>2</v>
      </c>
      <c r="G409" s="129"/>
      <c r="H409" s="129"/>
      <c r="I409" s="100">
        <f t="shared" si="13"/>
        <v>0.38</v>
      </c>
      <c r="J409" s="94"/>
      <c r="K409" s="94"/>
      <c r="L409" s="94"/>
      <c r="M409" s="94"/>
      <c r="N409" s="94"/>
      <c r="O409" s="93"/>
    </row>
    <row r="410" spans="1:15" x14ac:dyDescent="0.25">
      <c r="A410" s="129">
        <v>50</v>
      </c>
      <c r="B410" s="555" t="s">
        <v>165</v>
      </c>
      <c r="C410" s="129" t="s">
        <v>2409</v>
      </c>
      <c r="D410" s="100">
        <v>0.06</v>
      </c>
      <c r="E410" s="129" t="s">
        <v>64</v>
      </c>
      <c r="F410" s="244">
        <v>1</v>
      </c>
      <c r="G410" s="129"/>
      <c r="H410" s="129"/>
      <c r="I410" s="100">
        <f t="shared" si="13"/>
        <v>0.06</v>
      </c>
      <c r="J410" s="94"/>
      <c r="K410" s="94"/>
      <c r="L410" s="94"/>
      <c r="M410" s="94"/>
      <c r="N410" s="94"/>
      <c r="O410" s="93"/>
    </row>
    <row r="411" spans="1:15" x14ac:dyDescent="0.25">
      <c r="A411" s="129">
        <v>60</v>
      </c>
      <c r="B411" s="555" t="s">
        <v>465</v>
      </c>
      <c r="C411" s="129" t="s">
        <v>2408</v>
      </c>
      <c r="D411" s="100">
        <v>0.75</v>
      </c>
      <c r="E411" s="129" t="s">
        <v>64</v>
      </c>
      <c r="F411" s="244">
        <v>1</v>
      </c>
      <c r="G411" s="129"/>
      <c r="H411" s="129"/>
      <c r="I411" s="100">
        <f t="shared" si="13"/>
        <v>0.75</v>
      </c>
      <c r="J411" s="94"/>
      <c r="K411" s="94"/>
      <c r="L411" s="94"/>
      <c r="M411" s="94"/>
      <c r="N411" s="94"/>
      <c r="O411" s="93"/>
    </row>
    <row r="412" spans="1:15" x14ac:dyDescent="0.25">
      <c r="A412" s="129">
        <v>70</v>
      </c>
      <c r="B412" s="555" t="s">
        <v>1449</v>
      </c>
      <c r="C412" s="129" t="s">
        <v>2407</v>
      </c>
      <c r="D412" s="100">
        <v>0.25</v>
      </c>
      <c r="E412" s="129" t="s">
        <v>64</v>
      </c>
      <c r="F412" s="244">
        <v>1</v>
      </c>
      <c r="G412" s="129"/>
      <c r="H412" s="129"/>
      <c r="I412" s="100">
        <f t="shared" si="13"/>
        <v>0.25</v>
      </c>
      <c r="J412" s="94"/>
      <c r="K412" s="94"/>
      <c r="L412" s="94"/>
      <c r="M412" s="94"/>
      <c r="N412" s="94"/>
      <c r="O412" s="93"/>
    </row>
    <row r="413" spans="1:15" x14ac:dyDescent="0.25">
      <c r="A413" s="129">
        <v>80</v>
      </c>
      <c r="B413" s="309" t="s">
        <v>1185</v>
      </c>
      <c r="C413" s="282" t="s">
        <v>2383</v>
      </c>
      <c r="D413" s="337">
        <v>0.02</v>
      </c>
      <c r="E413" s="282" t="s">
        <v>1164</v>
      </c>
      <c r="F413" s="299">
        <v>8.66</v>
      </c>
      <c r="G413" s="299" t="s">
        <v>1182</v>
      </c>
      <c r="H413" s="299">
        <v>2</v>
      </c>
      <c r="I413" s="337">
        <f t="shared" si="13"/>
        <v>0.34639999999999999</v>
      </c>
      <c r="J413" s="95"/>
      <c r="K413" s="95"/>
      <c r="L413" s="95"/>
      <c r="M413" s="95"/>
      <c r="N413" s="95"/>
      <c r="O413" s="120"/>
    </row>
    <row r="414" spans="1:15" x14ac:dyDescent="0.25">
      <c r="A414" s="129">
        <v>90</v>
      </c>
      <c r="B414" s="309" t="s">
        <v>1185</v>
      </c>
      <c r="C414" s="282" t="s">
        <v>1184</v>
      </c>
      <c r="D414" s="337">
        <v>0.02</v>
      </c>
      <c r="E414" s="282" t="s">
        <v>1164</v>
      </c>
      <c r="F414" s="299">
        <v>8.66</v>
      </c>
      <c r="G414" s="299" t="s">
        <v>1182</v>
      </c>
      <c r="H414" s="299">
        <v>2</v>
      </c>
      <c r="I414" s="337">
        <f t="shared" si="13"/>
        <v>0.34639999999999999</v>
      </c>
      <c r="J414" s="95"/>
      <c r="K414" s="95"/>
      <c r="L414" s="95"/>
      <c r="M414" s="95"/>
      <c r="N414" s="95"/>
      <c r="O414" s="120"/>
    </row>
    <row r="415" spans="1:15" x14ac:dyDescent="0.25">
      <c r="A415" s="129">
        <v>100</v>
      </c>
      <c r="B415" s="555" t="s">
        <v>2382</v>
      </c>
      <c r="C415" s="129" t="s">
        <v>2399</v>
      </c>
      <c r="D415" s="100">
        <v>0.02</v>
      </c>
      <c r="E415" s="129" t="s">
        <v>354</v>
      </c>
      <c r="F415" s="299">
        <v>8.66</v>
      </c>
      <c r="G415" s="129" t="s">
        <v>1182</v>
      </c>
      <c r="H415" s="129">
        <v>2</v>
      </c>
      <c r="I415" s="100">
        <f t="shared" si="13"/>
        <v>0.34639999999999999</v>
      </c>
      <c r="J415" s="99"/>
      <c r="K415" s="99"/>
      <c r="L415" s="99"/>
      <c r="M415" s="99"/>
      <c r="N415" s="99"/>
      <c r="O415" s="130"/>
    </row>
    <row r="416" spans="1:15" x14ac:dyDescent="0.25">
      <c r="A416" s="129">
        <v>110</v>
      </c>
      <c r="B416" s="1369" t="s">
        <v>2398</v>
      </c>
      <c r="C416" s="1396" t="s">
        <v>2374</v>
      </c>
      <c r="D416" s="1408">
        <v>0.5</v>
      </c>
      <c r="E416" s="1369" t="s">
        <v>64</v>
      </c>
      <c r="F416" s="1405">
        <v>2</v>
      </c>
      <c r="G416" s="1394"/>
      <c r="H416" s="1394"/>
      <c r="I416" s="100">
        <f t="shared" si="13"/>
        <v>1</v>
      </c>
      <c r="J416" s="99"/>
      <c r="K416" s="99"/>
      <c r="L416" s="99"/>
      <c r="M416" s="99"/>
      <c r="N416" s="99"/>
      <c r="O416" s="130"/>
    </row>
    <row r="417" spans="1:15" x14ac:dyDescent="0.25">
      <c r="A417" s="129">
        <v>120</v>
      </c>
      <c r="B417" s="555" t="s">
        <v>1179</v>
      </c>
      <c r="C417" s="1422" t="s">
        <v>2373</v>
      </c>
      <c r="D417" s="100">
        <v>1</v>
      </c>
      <c r="E417" s="555" t="s">
        <v>64</v>
      </c>
      <c r="F417" s="244">
        <v>2</v>
      </c>
      <c r="G417" s="129"/>
      <c r="H417" s="129"/>
      <c r="I417" s="100">
        <f t="shared" si="13"/>
        <v>2</v>
      </c>
      <c r="J417" s="99"/>
      <c r="K417" s="99"/>
      <c r="L417" s="99"/>
      <c r="M417" s="99"/>
      <c r="N417" s="99"/>
      <c r="O417" s="130"/>
    </row>
    <row r="418" spans="1:15" x14ac:dyDescent="0.25">
      <c r="A418" s="129">
        <v>130</v>
      </c>
      <c r="B418" s="282" t="s">
        <v>374</v>
      </c>
      <c r="C418" s="282" t="s">
        <v>2406</v>
      </c>
      <c r="D418" s="337">
        <v>0.14000000000000001</v>
      </c>
      <c r="E418" s="282" t="s">
        <v>64</v>
      </c>
      <c r="F418" s="299">
        <v>1</v>
      </c>
      <c r="G418" s="299"/>
      <c r="H418" s="299"/>
      <c r="I418" s="337">
        <f t="shared" si="13"/>
        <v>0.14000000000000001</v>
      </c>
      <c r="J418" s="99"/>
      <c r="K418" s="99"/>
      <c r="L418" s="99"/>
      <c r="M418" s="99"/>
      <c r="N418" s="99"/>
      <c r="O418" s="120"/>
    </row>
    <row r="419" spans="1:15" x14ac:dyDescent="0.25">
      <c r="A419" s="129">
        <v>140</v>
      </c>
      <c r="B419" s="309" t="s">
        <v>2371</v>
      </c>
      <c r="C419" s="285" t="s">
        <v>2370</v>
      </c>
      <c r="D419" s="337">
        <v>0.13</v>
      </c>
      <c r="E419" s="309" t="s">
        <v>64</v>
      </c>
      <c r="F419" s="299">
        <v>8</v>
      </c>
      <c r="G419" s="299"/>
      <c r="H419" s="299"/>
      <c r="I419" s="337">
        <f t="shared" si="13"/>
        <v>1.04</v>
      </c>
      <c r="J419" s="99"/>
      <c r="K419" s="99"/>
      <c r="L419" s="99"/>
      <c r="M419" s="99"/>
      <c r="N419" s="99"/>
      <c r="O419" s="120"/>
    </row>
    <row r="420" spans="1:15" ht="30" x14ac:dyDescent="0.25">
      <c r="A420" s="129">
        <v>150</v>
      </c>
      <c r="B420" s="129" t="s">
        <v>465</v>
      </c>
      <c r="C420" s="601" t="s">
        <v>2405</v>
      </c>
      <c r="D420" s="100">
        <v>0.5</v>
      </c>
      <c r="E420" s="129" t="s">
        <v>64</v>
      </c>
      <c r="F420" s="244">
        <v>2</v>
      </c>
      <c r="G420" s="244"/>
      <c r="H420" s="244"/>
      <c r="I420" s="100">
        <f t="shared" si="13"/>
        <v>1</v>
      </c>
      <c r="J420" s="99"/>
      <c r="K420" s="99"/>
      <c r="L420" s="99"/>
      <c r="M420" s="99"/>
      <c r="N420" s="99"/>
      <c r="O420" s="120"/>
    </row>
    <row r="421" spans="1:15" x14ac:dyDescent="0.25">
      <c r="A421" s="129">
        <v>160</v>
      </c>
      <c r="B421" s="555" t="s">
        <v>1449</v>
      </c>
      <c r="C421" s="129" t="s">
        <v>2404</v>
      </c>
      <c r="D421" s="100">
        <v>0.25</v>
      </c>
      <c r="E421" s="129" t="s">
        <v>64</v>
      </c>
      <c r="F421" s="244">
        <v>2</v>
      </c>
      <c r="G421" s="129"/>
      <c r="H421" s="129"/>
      <c r="I421" s="100">
        <f t="shared" si="13"/>
        <v>0.5</v>
      </c>
      <c r="J421" s="94"/>
      <c r="K421" s="94"/>
      <c r="L421" s="94"/>
      <c r="M421" s="94"/>
      <c r="N421" s="94"/>
      <c r="O421" s="93"/>
    </row>
    <row r="422" spans="1:15" x14ac:dyDescent="0.25">
      <c r="A422" s="98"/>
      <c r="B422" s="95"/>
      <c r="C422" s="95"/>
      <c r="D422" s="95"/>
      <c r="E422" s="95"/>
      <c r="F422" s="95"/>
      <c r="G422" s="95"/>
      <c r="H422" s="1363" t="s">
        <v>58</v>
      </c>
      <c r="I422" s="1362">
        <f>SUM(I406:I421)</f>
        <v>9.1341999999999999</v>
      </c>
      <c r="J422" s="94"/>
      <c r="K422" s="94"/>
      <c r="L422" s="94"/>
      <c r="M422" s="94"/>
      <c r="N422" s="94"/>
      <c r="O422" s="93"/>
    </row>
    <row r="423" spans="1:15" x14ac:dyDescent="0.25">
      <c r="A423" s="107"/>
      <c r="B423" s="94"/>
      <c r="C423" s="94"/>
      <c r="D423" s="94"/>
      <c r="E423" s="94"/>
      <c r="F423" s="94"/>
      <c r="G423" s="94"/>
      <c r="H423" s="94"/>
      <c r="I423" s="94"/>
      <c r="J423" s="94"/>
      <c r="K423" s="94"/>
      <c r="L423" s="94"/>
      <c r="M423" s="94"/>
      <c r="N423" s="94"/>
      <c r="O423" s="93"/>
    </row>
    <row r="424" spans="1:15" x14ac:dyDescent="0.25">
      <c r="A424" s="1367" t="s">
        <v>67</v>
      </c>
      <c r="B424" s="1367" t="s">
        <v>82</v>
      </c>
      <c r="C424" s="1367" t="s">
        <v>66</v>
      </c>
      <c r="D424" s="1367" t="s">
        <v>65</v>
      </c>
      <c r="E424" s="1367" t="s">
        <v>81</v>
      </c>
      <c r="F424" s="1367" t="s">
        <v>80</v>
      </c>
      <c r="G424" s="1367" t="s">
        <v>79</v>
      </c>
      <c r="H424" s="1367" t="s">
        <v>78</v>
      </c>
      <c r="I424" s="1367" t="s">
        <v>40</v>
      </c>
      <c r="J424" s="1367" t="s">
        <v>58</v>
      </c>
      <c r="K424" s="94"/>
      <c r="L424" s="94"/>
      <c r="M424" s="94"/>
      <c r="N424" s="94"/>
      <c r="O424" s="93"/>
    </row>
    <row r="425" spans="1:15" x14ac:dyDescent="0.25">
      <c r="A425" s="129">
        <v>10</v>
      </c>
      <c r="B425" s="129" t="s">
        <v>2391</v>
      </c>
      <c r="C425" s="129" t="s">
        <v>2704</v>
      </c>
      <c r="D425" s="553">
        <v>0.42</v>
      </c>
      <c r="E425" s="552">
        <v>8</v>
      </c>
      <c r="F425" s="552" t="s">
        <v>68</v>
      </c>
      <c r="G425" s="552">
        <v>60</v>
      </c>
      <c r="H425" s="552" t="s">
        <v>68</v>
      </c>
      <c r="I425" s="136">
        <v>1</v>
      </c>
      <c r="J425" s="100">
        <f>I425*D425</f>
        <v>0.42</v>
      </c>
      <c r="K425" s="94"/>
      <c r="L425" s="94"/>
      <c r="M425" s="94"/>
      <c r="N425" s="94"/>
      <c r="O425" s="93"/>
    </row>
    <row r="426" spans="1:15" x14ac:dyDescent="0.25">
      <c r="A426" s="129">
        <v>20</v>
      </c>
      <c r="B426" s="129" t="s">
        <v>2391</v>
      </c>
      <c r="C426" s="129" t="s">
        <v>2705</v>
      </c>
      <c r="D426" s="553">
        <v>0.26</v>
      </c>
      <c r="E426" s="552">
        <v>8</v>
      </c>
      <c r="F426" s="552" t="s">
        <v>68</v>
      </c>
      <c r="G426" s="552">
        <v>40</v>
      </c>
      <c r="H426" s="552" t="s">
        <v>68</v>
      </c>
      <c r="I426" s="136">
        <v>1</v>
      </c>
      <c r="J426" s="100">
        <f>I426*D426</f>
        <v>0.26</v>
      </c>
      <c r="K426" s="94"/>
      <c r="L426" s="94"/>
      <c r="M426" s="94"/>
      <c r="N426" s="94"/>
      <c r="O426" s="93"/>
    </row>
    <row r="427" spans="1:15" x14ac:dyDescent="0.25">
      <c r="A427" s="129">
        <v>30</v>
      </c>
      <c r="B427" s="129" t="s">
        <v>74</v>
      </c>
      <c r="C427" s="129"/>
      <c r="D427" s="553">
        <v>0.01</v>
      </c>
      <c r="E427" s="129">
        <v>8</v>
      </c>
      <c r="F427" s="1132" t="s">
        <v>68</v>
      </c>
      <c r="G427" s="129"/>
      <c r="H427" s="129"/>
      <c r="I427" s="136">
        <v>3</v>
      </c>
      <c r="J427" s="100">
        <f>I427*D427</f>
        <v>0.03</v>
      </c>
      <c r="K427" s="94"/>
      <c r="L427" s="94"/>
      <c r="M427" s="94"/>
      <c r="N427" s="94"/>
      <c r="O427" s="93"/>
    </row>
    <row r="428" spans="1:15" x14ac:dyDescent="0.25">
      <c r="A428" s="129">
        <v>40</v>
      </c>
      <c r="B428" s="129" t="s">
        <v>75</v>
      </c>
      <c r="C428" s="129"/>
      <c r="D428" s="553">
        <v>0.01</v>
      </c>
      <c r="E428" s="129">
        <v>8</v>
      </c>
      <c r="F428" s="1132" t="s">
        <v>68</v>
      </c>
      <c r="G428" s="129"/>
      <c r="H428" s="129"/>
      <c r="I428" s="136">
        <v>3</v>
      </c>
      <c r="J428" s="100">
        <f>I428*D428</f>
        <v>0.03</v>
      </c>
      <c r="K428" s="94"/>
      <c r="L428" s="94"/>
      <c r="M428" s="94"/>
      <c r="N428" s="94"/>
      <c r="O428" s="93"/>
    </row>
    <row r="429" spans="1:15" x14ac:dyDescent="0.25">
      <c r="A429" s="129">
        <v>50</v>
      </c>
      <c r="B429" s="129" t="s">
        <v>2366</v>
      </c>
      <c r="C429" s="601"/>
      <c r="D429" s="283">
        <f>0.02*E429^2+1.22</f>
        <v>2.5</v>
      </c>
      <c r="E429" s="282">
        <v>8</v>
      </c>
      <c r="F429" s="1132" t="s">
        <v>68</v>
      </c>
      <c r="G429" s="129"/>
      <c r="H429" s="129"/>
      <c r="I429" s="136">
        <v>2</v>
      </c>
      <c r="J429" s="100">
        <f>I429*D429</f>
        <v>5</v>
      </c>
      <c r="K429" s="99"/>
      <c r="L429" s="99"/>
      <c r="M429" s="99"/>
      <c r="N429" s="99"/>
      <c r="O429" s="130"/>
    </row>
    <row r="430" spans="1:15" x14ac:dyDescent="0.25">
      <c r="A430" s="98"/>
      <c r="B430" s="95"/>
      <c r="C430" s="95"/>
      <c r="D430" s="95"/>
      <c r="E430" s="95"/>
      <c r="F430" s="95"/>
      <c r="G430" s="95"/>
      <c r="H430" s="95"/>
      <c r="I430" s="1363" t="s">
        <v>58</v>
      </c>
      <c r="J430" s="1362">
        <f>SUM(J425:J429)</f>
        <v>5.74</v>
      </c>
      <c r="K430" s="94"/>
      <c r="L430" s="94"/>
      <c r="M430" s="94"/>
      <c r="N430" s="94"/>
      <c r="O430" s="93"/>
    </row>
    <row r="431" spans="1:15" x14ac:dyDescent="0.25">
      <c r="A431" s="107"/>
      <c r="B431" s="94"/>
      <c r="C431" s="94"/>
      <c r="D431" s="94"/>
      <c r="E431" s="94"/>
      <c r="F431" s="94"/>
      <c r="G431" s="94"/>
      <c r="H431" s="94"/>
      <c r="I431" s="94"/>
      <c r="J431" s="94"/>
      <c r="K431" s="94"/>
      <c r="L431" s="94"/>
      <c r="M431" s="94"/>
      <c r="N431" s="94"/>
      <c r="O431" s="93"/>
    </row>
    <row r="432" spans="1:15" x14ac:dyDescent="0.25">
      <c r="A432" s="1367" t="s">
        <v>67</v>
      </c>
      <c r="B432" s="1367" t="s">
        <v>13</v>
      </c>
      <c r="C432" s="1367" t="s">
        <v>66</v>
      </c>
      <c r="D432" s="1367" t="s">
        <v>65</v>
      </c>
      <c r="E432" s="1367" t="s">
        <v>64</v>
      </c>
      <c r="F432" s="1367" t="s">
        <v>40</v>
      </c>
      <c r="G432" s="1367" t="s">
        <v>63</v>
      </c>
      <c r="H432" s="1367" t="s">
        <v>62</v>
      </c>
      <c r="I432" s="1367" t="s">
        <v>58</v>
      </c>
      <c r="J432" s="95"/>
      <c r="K432" s="94"/>
      <c r="L432" s="94"/>
      <c r="M432" s="94"/>
      <c r="N432" s="94"/>
      <c r="O432" s="93"/>
    </row>
    <row r="433" spans="1:15" x14ac:dyDescent="0.25">
      <c r="A433" s="129">
        <v>10</v>
      </c>
      <c r="B433" s="129" t="s">
        <v>61</v>
      </c>
      <c r="C433" s="129" t="s">
        <v>1619</v>
      </c>
      <c r="D433" s="100">
        <v>500</v>
      </c>
      <c r="E433" s="129" t="s">
        <v>59</v>
      </c>
      <c r="F433" s="129">
        <v>4</v>
      </c>
      <c r="G433" s="129">
        <v>3000</v>
      </c>
      <c r="H433" s="129">
        <v>1</v>
      </c>
      <c r="I433" s="100">
        <f>D433*F433/G433*H433</f>
        <v>0.66666666666666663</v>
      </c>
      <c r="J433" s="99"/>
      <c r="K433" s="94"/>
      <c r="L433" s="94"/>
      <c r="M433" s="94"/>
      <c r="N433" s="94"/>
      <c r="O433" s="93"/>
    </row>
    <row r="434" spans="1:15" x14ac:dyDescent="0.25">
      <c r="A434" s="98"/>
      <c r="B434" s="95"/>
      <c r="C434" s="95"/>
      <c r="D434" s="95"/>
      <c r="E434" s="95"/>
      <c r="F434" s="95"/>
      <c r="G434" s="95"/>
      <c r="H434" s="1363" t="s">
        <v>58</v>
      </c>
      <c r="I434" s="1362">
        <f>SUM(I433)</f>
        <v>0.66666666666666663</v>
      </c>
      <c r="J434" s="95"/>
      <c r="K434" s="94"/>
      <c r="L434" s="94"/>
      <c r="M434" s="94"/>
      <c r="N434" s="94"/>
      <c r="O434" s="93"/>
    </row>
    <row r="435" spans="1:15" ht="15.75" thickBot="1" x14ac:dyDescent="0.3">
      <c r="A435" s="92"/>
      <c r="B435" s="91"/>
      <c r="C435" s="91"/>
      <c r="D435" s="91"/>
      <c r="E435" s="91"/>
      <c r="F435" s="91"/>
      <c r="G435" s="91"/>
      <c r="H435" s="91"/>
      <c r="I435" s="91"/>
      <c r="J435" s="91"/>
      <c r="K435" s="91"/>
      <c r="L435" s="91"/>
      <c r="M435" s="91"/>
      <c r="N435" s="91"/>
      <c r="O435" s="90"/>
    </row>
    <row r="436" spans="1:15" ht="15.75" thickBot="1" x14ac:dyDescent="0.3">
      <c r="O436" s="1229"/>
    </row>
    <row r="437" spans="1:15" x14ac:dyDescent="0.25">
      <c r="A437" s="141"/>
      <c r="B437" s="140"/>
      <c r="C437" s="140"/>
      <c r="D437" s="140"/>
      <c r="E437" s="140"/>
      <c r="F437" s="140"/>
      <c r="G437" s="140"/>
      <c r="H437" s="140"/>
      <c r="I437" s="140"/>
      <c r="J437" s="140"/>
      <c r="K437" s="140"/>
      <c r="L437" s="140"/>
      <c r="M437" s="140"/>
      <c r="N437" s="140"/>
      <c r="O437" s="93"/>
    </row>
    <row r="438" spans="1:15" x14ac:dyDescent="0.25">
      <c r="A438" s="1367" t="s">
        <v>57</v>
      </c>
      <c r="B438" s="133" t="s">
        <v>127</v>
      </c>
      <c r="C438" s="94"/>
      <c r="D438" s="94"/>
      <c r="E438" s="94"/>
      <c r="F438" s="94"/>
      <c r="G438" s="94"/>
      <c r="H438" s="94"/>
      <c r="I438" s="94"/>
      <c r="J438" s="1367" t="s">
        <v>51</v>
      </c>
      <c r="K438" s="138">
        <v>81</v>
      </c>
      <c r="L438" s="94"/>
      <c r="M438" s="1367" t="s">
        <v>126</v>
      </c>
      <c r="N438" s="137">
        <f>E449+SU_A0009_m+SU_A0009_p+SU_A0009_f+SU_A0009_t</f>
        <v>48.039034287515058</v>
      </c>
      <c r="O438" s="93"/>
    </row>
    <row r="439" spans="1:15" x14ac:dyDescent="0.25">
      <c r="A439" s="1367" t="s">
        <v>125</v>
      </c>
      <c r="B439" s="133" t="s">
        <v>5</v>
      </c>
      <c r="C439" s="94"/>
      <c r="D439" s="94"/>
      <c r="E439" s="94"/>
      <c r="F439" s="94"/>
      <c r="G439" s="94"/>
      <c r="H439" s="94"/>
      <c r="I439" s="94"/>
      <c r="J439" s="94"/>
      <c r="K439" s="94"/>
      <c r="L439" s="94"/>
      <c r="M439" s="1367" t="s">
        <v>124</v>
      </c>
      <c r="N439" s="136">
        <v>2</v>
      </c>
      <c r="O439" s="93"/>
    </row>
    <row r="440" spans="1:15" x14ac:dyDescent="0.25">
      <c r="A440" s="1367" t="s">
        <v>123</v>
      </c>
      <c r="B440" s="94" t="s">
        <v>2403</v>
      </c>
      <c r="C440" s="94"/>
      <c r="D440" s="94"/>
      <c r="E440" s="94"/>
      <c r="F440" s="94"/>
      <c r="G440" s="94"/>
      <c r="H440" s="94"/>
      <c r="I440" s="94"/>
      <c r="J440" s="1373" t="s">
        <v>122</v>
      </c>
      <c r="K440" s="94"/>
      <c r="L440" s="94"/>
      <c r="M440" s="94"/>
      <c r="N440" s="94"/>
      <c r="O440" s="93"/>
    </row>
    <row r="441" spans="1:15" x14ac:dyDescent="0.25">
      <c r="A441" s="1367" t="s">
        <v>121</v>
      </c>
      <c r="B441" s="135" t="s">
        <v>2402</v>
      </c>
      <c r="C441" s="94"/>
      <c r="D441" s="94"/>
      <c r="E441" s="94"/>
      <c r="F441" s="94"/>
      <c r="G441" s="94"/>
      <c r="H441" s="94"/>
      <c r="I441" s="94"/>
      <c r="J441" s="1373" t="s">
        <v>119</v>
      </c>
      <c r="K441" s="94"/>
      <c r="L441" s="94"/>
      <c r="M441" s="1367" t="s">
        <v>118</v>
      </c>
      <c r="N441" s="100">
        <f>N438*N439</f>
        <v>96.078068575030116</v>
      </c>
      <c r="O441" s="93"/>
    </row>
    <row r="442" spans="1:15" x14ac:dyDescent="0.25">
      <c r="A442" s="1367" t="s">
        <v>117</v>
      </c>
      <c r="B442" s="133" t="s">
        <v>23</v>
      </c>
      <c r="C442" s="94"/>
      <c r="D442" s="94"/>
      <c r="E442" s="94"/>
      <c r="F442" s="94"/>
      <c r="G442" s="94"/>
      <c r="H442" s="94"/>
      <c r="I442" s="94"/>
      <c r="J442" s="1373" t="s">
        <v>116</v>
      </c>
      <c r="K442" s="94"/>
      <c r="L442" s="94"/>
      <c r="M442" s="94"/>
      <c r="N442" s="94"/>
      <c r="O442" s="93"/>
    </row>
    <row r="443" spans="1:15" x14ac:dyDescent="0.25">
      <c r="A443" s="1367" t="s">
        <v>115</v>
      </c>
      <c r="B443" s="133"/>
      <c r="C443" s="94"/>
      <c r="D443" s="94"/>
      <c r="E443" s="94"/>
      <c r="F443" s="94"/>
      <c r="G443" s="94"/>
      <c r="H443" s="94"/>
      <c r="I443" s="94"/>
      <c r="J443" s="94"/>
      <c r="K443" s="94"/>
      <c r="L443" s="94"/>
      <c r="M443" s="94"/>
      <c r="N443" s="94"/>
      <c r="O443" s="93"/>
    </row>
    <row r="444" spans="1:15" x14ac:dyDescent="0.25">
      <c r="A444" s="107"/>
      <c r="B444" s="94"/>
      <c r="C444" s="94"/>
      <c r="D444" s="94"/>
      <c r="E444" s="94"/>
      <c r="F444" s="94"/>
      <c r="G444" s="94"/>
      <c r="H444" s="94"/>
      <c r="I444" s="94"/>
      <c r="J444" s="94"/>
      <c r="K444" s="94"/>
      <c r="L444" s="94"/>
      <c r="M444" s="94"/>
      <c r="N444" s="94"/>
      <c r="O444" s="93"/>
    </row>
    <row r="445" spans="1:15" x14ac:dyDescent="0.25">
      <c r="A445" s="1367" t="s">
        <v>67</v>
      </c>
      <c r="B445" s="1367" t="s">
        <v>114</v>
      </c>
      <c r="C445" s="1367" t="s">
        <v>113</v>
      </c>
      <c r="D445" s="1367" t="s">
        <v>40</v>
      </c>
      <c r="E445" s="1367" t="s">
        <v>58</v>
      </c>
      <c r="F445" s="94"/>
      <c r="G445" s="94"/>
      <c r="H445" s="94"/>
      <c r="I445" s="94"/>
      <c r="J445" s="94"/>
      <c r="K445" s="94"/>
      <c r="L445" s="94"/>
      <c r="M445" s="94"/>
      <c r="N445" s="94"/>
      <c r="O445" s="93"/>
    </row>
    <row r="446" spans="1:15" x14ac:dyDescent="0.25">
      <c r="A446" s="129">
        <v>10</v>
      </c>
      <c r="B446" s="132" t="str">
        <f>'SU Parts'!B1135</f>
        <v>Tie rod insert</v>
      </c>
      <c r="C446" s="100">
        <f>'SU Parts'!N1132</f>
        <v>2.9527811127747987</v>
      </c>
      <c r="D446" s="127">
        <f>'SU Parts'!N1133</f>
        <v>2</v>
      </c>
      <c r="E446" s="100">
        <f>C446*D446</f>
        <v>5.9055622255495974</v>
      </c>
      <c r="F446" s="94"/>
      <c r="G446" s="94"/>
      <c r="H446" s="94"/>
      <c r="I446" s="94"/>
      <c r="J446" s="94"/>
      <c r="K446" s="94"/>
      <c r="L446" s="94"/>
      <c r="M446" s="94"/>
      <c r="N446" s="94"/>
      <c r="O446" s="93"/>
    </row>
    <row r="447" spans="1:15" x14ac:dyDescent="0.25">
      <c r="A447" s="129">
        <v>20</v>
      </c>
      <c r="B447" s="132" t="str">
        <f>'SU Parts'!B1158</f>
        <v>Tie Rod Tube</v>
      </c>
      <c r="C447" s="100">
        <f>'SU Parts'!N1155</f>
        <v>23.1650866452988</v>
      </c>
      <c r="D447" s="127">
        <f>'SU Parts'!N1156</f>
        <v>1</v>
      </c>
      <c r="E447" s="100">
        <f>C447*D447</f>
        <v>23.1650866452988</v>
      </c>
      <c r="F447" s="99"/>
      <c r="G447" s="99"/>
      <c r="H447" s="99"/>
      <c r="I447" s="99"/>
      <c r="J447" s="99"/>
      <c r="K447" s="99"/>
      <c r="L447" s="99"/>
      <c r="M447" s="99"/>
      <c r="N447" s="99"/>
      <c r="O447" s="93"/>
    </row>
    <row r="448" spans="1:15" x14ac:dyDescent="0.25">
      <c r="A448" s="129">
        <v>30</v>
      </c>
      <c r="B448" s="132" t="str">
        <f>'SU Parts'!B1177</f>
        <v>Tie Rod Mount</v>
      </c>
      <c r="C448" s="100">
        <f>'SU Parts'!N1174</f>
        <v>7.9300187500000003</v>
      </c>
      <c r="D448" s="127">
        <f>'SU Parts'!N1175</f>
        <v>1</v>
      </c>
      <c r="E448" s="100">
        <f>C448*D448</f>
        <v>7.9300187500000003</v>
      </c>
      <c r="F448" s="99"/>
      <c r="G448" s="99"/>
      <c r="H448" s="99"/>
      <c r="I448" s="99"/>
      <c r="J448" s="99"/>
      <c r="K448" s="99"/>
      <c r="L448" s="99"/>
      <c r="M448" s="99"/>
      <c r="N448" s="99"/>
      <c r="O448" s="131"/>
    </row>
    <row r="449" spans="1:15" x14ac:dyDescent="0.25">
      <c r="A449" s="107"/>
      <c r="B449" s="94"/>
      <c r="C449" s="94"/>
      <c r="D449" s="1363" t="s">
        <v>58</v>
      </c>
      <c r="E449" s="1362">
        <f>SUM(E446:E448)</f>
        <v>37.000667620848397</v>
      </c>
      <c r="F449" s="99"/>
      <c r="G449" s="99"/>
      <c r="H449" s="99"/>
      <c r="I449" s="99"/>
      <c r="J449" s="99"/>
      <c r="K449" s="99"/>
      <c r="L449" s="99"/>
      <c r="M449" s="99"/>
      <c r="N449" s="99"/>
      <c r="O449" s="93"/>
    </row>
    <row r="450" spans="1:15" x14ac:dyDescent="0.25">
      <c r="A450" s="107"/>
      <c r="B450" s="94"/>
      <c r="C450" s="94"/>
      <c r="D450" s="94"/>
      <c r="E450" s="94"/>
      <c r="F450" s="94"/>
      <c r="G450" s="94"/>
      <c r="H450" s="94"/>
      <c r="I450" s="94"/>
      <c r="J450" s="94"/>
      <c r="K450" s="94"/>
      <c r="L450" s="94"/>
      <c r="M450" s="94"/>
      <c r="N450" s="94"/>
      <c r="O450" s="93"/>
    </row>
    <row r="451" spans="1:15" x14ac:dyDescent="0.25">
      <c r="A451" s="1367" t="s">
        <v>67</v>
      </c>
      <c r="B451" s="1367" t="s">
        <v>112</v>
      </c>
      <c r="C451" s="1367" t="s">
        <v>66</v>
      </c>
      <c r="D451" s="1367" t="s">
        <v>65</v>
      </c>
      <c r="E451" s="1367" t="s">
        <v>81</v>
      </c>
      <c r="F451" s="1367" t="s">
        <v>80</v>
      </c>
      <c r="G451" s="1367" t="s">
        <v>79</v>
      </c>
      <c r="H451" s="1367" t="s">
        <v>78</v>
      </c>
      <c r="I451" s="1367" t="s">
        <v>111</v>
      </c>
      <c r="J451" s="1367" t="s">
        <v>110</v>
      </c>
      <c r="K451" s="1367" t="s">
        <v>109</v>
      </c>
      <c r="L451" s="1367" t="s">
        <v>108</v>
      </c>
      <c r="M451" s="1367" t="s">
        <v>40</v>
      </c>
      <c r="N451" s="1367" t="s">
        <v>58</v>
      </c>
      <c r="O451" s="93"/>
    </row>
    <row r="452" spans="1:15" x14ac:dyDescent="0.25">
      <c r="A452" s="282">
        <v>10</v>
      </c>
      <c r="B452" s="282" t="s">
        <v>2386</v>
      </c>
      <c r="C452" s="282" t="s">
        <v>2401</v>
      </c>
      <c r="D452" s="283">
        <v>0</v>
      </c>
      <c r="E452" s="282"/>
      <c r="F452" s="282"/>
      <c r="G452" s="282"/>
      <c r="H452" s="278"/>
      <c r="I452" s="303"/>
      <c r="J452" s="435"/>
      <c r="K452" s="278"/>
      <c r="L452" s="278"/>
      <c r="M452" s="381">
        <v>1</v>
      </c>
      <c r="N452" s="387">
        <f>M452*D452</f>
        <v>0</v>
      </c>
      <c r="O452" s="93"/>
    </row>
    <row r="453" spans="1:15" x14ac:dyDescent="0.25">
      <c r="A453" s="282">
        <v>20</v>
      </c>
      <c r="B453" s="282" t="s">
        <v>250</v>
      </c>
      <c r="C453" s="292" t="s">
        <v>2400</v>
      </c>
      <c r="D453" s="324">
        <v>10</v>
      </c>
      <c r="E453" s="315">
        <v>0.01</v>
      </c>
      <c r="F453" s="315" t="s">
        <v>241</v>
      </c>
      <c r="G453" s="315"/>
      <c r="H453" s="314"/>
      <c r="I453" s="357"/>
      <c r="J453" s="356"/>
      <c r="K453" s="320"/>
      <c r="L453" s="355"/>
      <c r="M453" s="1424">
        <v>1</v>
      </c>
      <c r="N453" s="1423">
        <f>M453*D453*E453</f>
        <v>0.1</v>
      </c>
      <c r="O453" s="93"/>
    </row>
    <row r="454" spans="1:15" x14ac:dyDescent="0.25">
      <c r="A454" s="98"/>
      <c r="B454" s="95"/>
      <c r="C454" s="95"/>
      <c r="D454" s="95"/>
      <c r="E454" s="95"/>
      <c r="F454" s="95"/>
      <c r="G454" s="95"/>
      <c r="H454" s="95"/>
      <c r="I454" s="95"/>
      <c r="J454" s="95"/>
      <c r="K454" s="95"/>
      <c r="L454" s="95"/>
      <c r="M454" s="1367" t="s">
        <v>58</v>
      </c>
      <c r="N454" s="1362">
        <f>SUM(N452:N453)</f>
        <v>0.1</v>
      </c>
      <c r="O454" s="93"/>
    </row>
    <row r="455" spans="1:15" x14ac:dyDescent="0.25">
      <c r="A455" s="107"/>
      <c r="B455" s="94"/>
      <c r="C455" s="94"/>
      <c r="D455" s="94"/>
      <c r="E455" s="94"/>
      <c r="F455" s="94"/>
      <c r="G455" s="94"/>
      <c r="H455" s="94"/>
      <c r="I455" s="94"/>
      <c r="J455" s="94"/>
      <c r="K455" s="94"/>
      <c r="L455" s="94"/>
      <c r="M455" s="94"/>
      <c r="N455" s="94"/>
      <c r="O455" s="93"/>
    </row>
    <row r="456" spans="1:15" x14ac:dyDescent="0.25">
      <c r="A456" s="1367" t="s">
        <v>67</v>
      </c>
      <c r="B456" s="1367" t="s">
        <v>106</v>
      </c>
      <c r="C456" s="1367" t="s">
        <v>66</v>
      </c>
      <c r="D456" s="1367" t="s">
        <v>65</v>
      </c>
      <c r="E456" s="1367" t="s">
        <v>64</v>
      </c>
      <c r="F456" s="1367" t="s">
        <v>40</v>
      </c>
      <c r="G456" s="1367" t="s">
        <v>105</v>
      </c>
      <c r="H456" s="1367" t="s">
        <v>104</v>
      </c>
      <c r="I456" s="1367" t="s">
        <v>58</v>
      </c>
      <c r="J456" s="95"/>
      <c r="K456" s="95"/>
      <c r="L456" s="95"/>
      <c r="M456" s="95"/>
      <c r="N456" s="95"/>
      <c r="O456" s="120"/>
    </row>
    <row r="457" spans="1:15" x14ac:dyDescent="0.25">
      <c r="A457" s="282">
        <v>10</v>
      </c>
      <c r="B457" s="309" t="s">
        <v>1185</v>
      </c>
      <c r="C457" s="282" t="s">
        <v>2383</v>
      </c>
      <c r="D457" s="337">
        <v>0.02</v>
      </c>
      <c r="E457" s="282" t="s">
        <v>1164</v>
      </c>
      <c r="F457" s="299">
        <v>8.66</v>
      </c>
      <c r="G457" s="299" t="s">
        <v>1182</v>
      </c>
      <c r="H457" s="299">
        <v>2</v>
      </c>
      <c r="I457" s="337">
        <f t="shared" ref="I457:I467" si="14">IF(H457="",D457*F457,D457*F457*H457)</f>
        <v>0.34639999999999999</v>
      </c>
      <c r="J457" s="95"/>
      <c r="K457" s="95"/>
      <c r="L457" s="95"/>
      <c r="M457" s="95"/>
      <c r="N457" s="95"/>
      <c r="O457" s="120"/>
    </row>
    <row r="458" spans="1:15" x14ac:dyDescent="0.25">
      <c r="A458" s="282">
        <v>20</v>
      </c>
      <c r="B458" s="309" t="s">
        <v>1185</v>
      </c>
      <c r="C458" s="282" t="s">
        <v>1184</v>
      </c>
      <c r="D458" s="337">
        <v>0.02</v>
      </c>
      <c r="E458" s="282" t="s">
        <v>1164</v>
      </c>
      <c r="F458" s="299">
        <v>8.66</v>
      </c>
      <c r="G458" s="299" t="s">
        <v>1182</v>
      </c>
      <c r="H458" s="299">
        <v>2</v>
      </c>
      <c r="I458" s="337">
        <f t="shared" si="14"/>
        <v>0.34639999999999999</v>
      </c>
      <c r="J458" s="95"/>
      <c r="K458" s="95"/>
      <c r="L458" s="95"/>
      <c r="M458" s="95"/>
      <c r="N458" s="95"/>
      <c r="O458" s="120"/>
    </row>
    <row r="459" spans="1:15" x14ac:dyDescent="0.25">
      <c r="A459" s="282">
        <v>30</v>
      </c>
      <c r="B459" s="555" t="s">
        <v>2382</v>
      </c>
      <c r="C459" s="129" t="s">
        <v>2399</v>
      </c>
      <c r="D459" s="100">
        <v>0.02</v>
      </c>
      <c r="E459" s="129" t="s">
        <v>354</v>
      </c>
      <c r="F459" s="299">
        <v>8.66</v>
      </c>
      <c r="G459" s="129" t="s">
        <v>1182</v>
      </c>
      <c r="H459" s="129">
        <v>2</v>
      </c>
      <c r="I459" s="100">
        <f t="shared" si="14"/>
        <v>0.34639999999999999</v>
      </c>
      <c r="J459" s="99"/>
      <c r="K459" s="99"/>
      <c r="L459" s="99"/>
      <c r="M459" s="99"/>
      <c r="N459" s="99"/>
      <c r="O459" s="130"/>
    </row>
    <row r="460" spans="1:15" x14ac:dyDescent="0.25">
      <c r="A460" s="282">
        <v>40</v>
      </c>
      <c r="B460" s="1369" t="s">
        <v>2398</v>
      </c>
      <c r="C460" s="1396" t="s">
        <v>2374</v>
      </c>
      <c r="D460" s="1408">
        <v>0.5</v>
      </c>
      <c r="E460" s="1369" t="s">
        <v>64</v>
      </c>
      <c r="F460" s="1405">
        <v>2</v>
      </c>
      <c r="G460" s="1394"/>
      <c r="H460" s="1394"/>
      <c r="I460" s="100">
        <f t="shared" si="14"/>
        <v>1</v>
      </c>
      <c r="J460" s="94"/>
      <c r="K460" s="94"/>
      <c r="L460" s="94"/>
      <c r="M460" s="94"/>
      <c r="N460" s="94"/>
      <c r="O460" s="93"/>
    </row>
    <row r="461" spans="1:15" x14ac:dyDescent="0.25">
      <c r="A461" s="282">
        <v>50</v>
      </c>
      <c r="B461" s="555" t="s">
        <v>1179</v>
      </c>
      <c r="C461" s="1422" t="s">
        <v>2373</v>
      </c>
      <c r="D461" s="100">
        <v>1</v>
      </c>
      <c r="E461" s="555" t="s">
        <v>64</v>
      </c>
      <c r="F461" s="244">
        <v>2</v>
      </c>
      <c r="G461" s="129"/>
      <c r="H461" s="129"/>
      <c r="I461" s="100">
        <f t="shared" si="14"/>
        <v>2</v>
      </c>
      <c r="J461" s="99"/>
      <c r="K461" s="99"/>
      <c r="L461" s="99"/>
      <c r="M461" s="99"/>
      <c r="N461" s="99"/>
      <c r="O461" s="130"/>
    </row>
    <row r="462" spans="1:15" x14ac:dyDescent="0.25">
      <c r="A462" s="282">
        <v>60</v>
      </c>
      <c r="B462" s="282" t="s">
        <v>103</v>
      </c>
      <c r="C462" s="282" t="s">
        <v>2397</v>
      </c>
      <c r="D462" s="337">
        <v>0.15</v>
      </c>
      <c r="E462" s="282" t="s">
        <v>1164</v>
      </c>
      <c r="F462" s="299">
        <v>22</v>
      </c>
      <c r="G462" s="299"/>
      <c r="H462" s="299"/>
      <c r="I462" s="337">
        <f t="shared" si="14"/>
        <v>3.3</v>
      </c>
      <c r="J462" s="99"/>
      <c r="K462" s="99"/>
      <c r="L462" s="99"/>
      <c r="M462" s="99"/>
      <c r="N462" s="99"/>
      <c r="O462" s="120"/>
    </row>
    <row r="463" spans="1:15" x14ac:dyDescent="0.25">
      <c r="A463" s="282">
        <v>70</v>
      </c>
      <c r="B463" s="309" t="s">
        <v>535</v>
      </c>
      <c r="C463" s="285" t="s">
        <v>2396</v>
      </c>
      <c r="D463" s="337">
        <v>5.25</v>
      </c>
      <c r="E463" s="309" t="s">
        <v>241</v>
      </c>
      <c r="F463" s="299">
        <v>0.01</v>
      </c>
      <c r="G463" s="299"/>
      <c r="H463" s="299"/>
      <c r="I463" s="337">
        <f t="shared" si="14"/>
        <v>5.2499999999999998E-2</v>
      </c>
      <c r="J463" s="99"/>
      <c r="K463" s="99"/>
      <c r="L463" s="99"/>
      <c r="M463" s="245"/>
      <c r="N463" s="99"/>
      <c r="O463" s="120"/>
    </row>
    <row r="464" spans="1:15" x14ac:dyDescent="0.25">
      <c r="A464" s="282">
        <v>80</v>
      </c>
      <c r="B464" s="282" t="s">
        <v>374</v>
      </c>
      <c r="C464" s="282" t="s">
        <v>2395</v>
      </c>
      <c r="D464" s="337">
        <v>0.14000000000000001</v>
      </c>
      <c r="E464" s="282" t="s">
        <v>64</v>
      </c>
      <c r="F464" s="299">
        <v>1</v>
      </c>
      <c r="G464" s="299"/>
      <c r="H464" s="299"/>
      <c r="I464" s="337">
        <f t="shared" si="14"/>
        <v>0.14000000000000001</v>
      </c>
      <c r="J464" s="99"/>
      <c r="K464" s="99"/>
      <c r="L464" s="99"/>
      <c r="M464" s="99"/>
      <c r="N464" s="99"/>
      <c r="O464" s="120"/>
    </row>
    <row r="465" spans="1:15" x14ac:dyDescent="0.25">
      <c r="A465" s="282">
        <v>90</v>
      </c>
      <c r="B465" s="309" t="s">
        <v>2371</v>
      </c>
      <c r="C465" s="285" t="s">
        <v>2370</v>
      </c>
      <c r="D465" s="337">
        <v>0.13</v>
      </c>
      <c r="E465" s="309" t="s">
        <v>64</v>
      </c>
      <c r="F465" s="299">
        <v>8</v>
      </c>
      <c r="G465" s="299"/>
      <c r="H465" s="299"/>
      <c r="I465" s="337">
        <f t="shared" si="14"/>
        <v>1.04</v>
      </c>
      <c r="J465" s="99"/>
      <c r="K465" s="99"/>
      <c r="L465" s="99"/>
      <c r="M465" s="99"/>
      <c r="N465" s="99"/>
      <c r="O465" s="120"/>
    </row>
    <row r="466" spans="1:15" x14ac:dyDescent="0.25">
      <c r="A466" s="282">
        <v>100</v>
      </c>
      <c r="B466" s="282" t="s">
        <v>1451</v>
      </c>
      <c r="C466" s="282" t="s">
        <v>2394</v>
      </c>
      <c r="D466" s="337">
        <v>0.13</v>
      </c>
      <c r="E466" s="282" t="s">
        <v>64</v>
      </c>
      <c r="F466" s="299">
        <v>2</v>
      </c>
      <c r="G466" s="299"/>
      <c r="H466" s="299"/>
      <c r="I466" s="337">
        <f t="shared" si="14"/>
        <v>0.26</v>
      </c>
      <c r="J466" s="99"/>
      <c r="K466" s="99"/>
      <c r="L466" s="99"/>
      <c r="M466" s="99"/>
      <c r="N466" s="99"/>
      <c r="O466" s="120"/>
    </row>
    <row r="467" spans="1:15" x14ac:dyDescent="0.25">
      <c r="A467" s="282">
        <v>110</v>
      </c>
      <c r="B467" s="309" t="s">
        <v>2393</v>
      </c>
      <c r="C467" s="285" t="s">
        <v>2392</v>
      </c>
      <c r="D467" s="337">
        <v>0.25</v>
      </c>
      <c r="E467" s="309" t="s">
        <v>64</v>
      </c>
      <c r="F467" s="299">
        <v>2</v>
      </c>
      <c r="G467" s="299"/>
      <c r="H467" s="299"/>
      <c r="I467" s="337">
        <f t="shared" si="14"/>
        <v>0.5</v>
      </c>
      <c r="J467" s="99"/>
      <c r="K467" s="99"/>
      <c r="L467" s="99"/>
      <c r="M467" s="99"/>
      <c r="N467" s="99"/>
      <c r="O467" s="130"/>
    </row>
    <row r="468" spans="1:15" x14ac:dyDescent="0.25">
      <c r="A468" s="98"/>
      <c r="B468" s="95"/>
      <c r="C468" s="95"/>
      <c r="D468" s="95"/>
      <c r="E468" s="95"/>
      <c r="F468" s="95"/>
      <c r="G468" s="95"/>
      <c r="H468" s="1363" t="s">
        <v>58</v>
      </c>
      <c r="I468" s="1362">
        <f>SUM(I457:I467)</f>
        <v>9.3316999999999997</v>
      </c>
      <c r="J468" s="94"/>
      <c r="K468" s="94"/>
      <c r="L468" s="94"/>
      <c r="M468" s="94"/>
      <c r="N468" s="94"/>
      <c r="O468" s="93"/>
    </row>
    <row r="469" spans="1:15" x14ac:dyDescent="0.25">
      <c r="A469" s="107"/>
      <c r="B469" s="94"/>
      <c r="C469" s="94"/>
      <c r="D469" s="94"/>
      <c r="E469" s="94"/>
      <c r="F469" s="94"/>
      <c r="G469" s="94"/>
      <c r="H469" s="94"/>
      <c r="I469" s="94"/>
      <c r="J469" s="94"/>
      <c r="K469" s="94"/>
      <c r="L469" s="94"/>
      <c r="M469" s="94"/>
      <c r="N469" s="94"/>
      <c r="O469" s="93"/>
    </row>
    <row r="470" spans="1:15" x14ac:dyDescent="0.25">
      <c r="A470" s="1367" t="s">
        <v>67</v>
      </c>
      <c r="B470" s="1367" t="s">
        <v>82</v>
      </c>
      <c r="C470" s="1367" t="s">
        <v>66</v>
      </c>
      <c r="D470" s="1367" t="s">
        <v>65</v>
      </c>
      <c r="E470" s="1367" t="s">
        <v>81</v>
      </c>
      <c r="F470" s="1367" t="s">
        <v>80</v>
      </c>
      <c r="G470" s="1367" t="s">
        <v>79</v>
      </c>
      <c r="H470" s="1367" t="s">
        <v>78</v>
      </c>
      <c r="I470" s="1367" t="s">
        <v>40</v>
      </c>
      <c r="J470" s="1367" t="s">
        <v>58</v>
      </c>
      <c r="K470" s="94"/>
      <c r="L470" s="94"/>
      <c r="M470" s="94"/>
      <c r="N470" s="94"/>
      <c r="O470" s="93"/>
    </row>
    <row r="471" spans="1:15" x14ac:dyDescent="0.25">
      <c r="A471" s="129">
        <v>10</v>
      </c>
      <c r="B471" s="129" t="s">
        <v>2391</v>
      </c>
      <c r="C471" s="129" t="s">
        <v>2390</v>
      </c>
      <c r="D471" s="553">
        <v>0.42</v>
      </c>
      <c r="E471" s="552">
        <v>8</v>
      </c>
      <c r="F471" s="552" t="s">
        <v>68</v>
      </c>
      <c r="G471" s="552">
        <v>60</v>
      </c>
      <c r="H471" s="552" t="s">
        <v>68</v>
      </c>
      <c r="I471" s="136">
        <v>2</v>
      </c>
      <c r="J471" s="100">
        <f>I471*D471</f>
        <v>0.84</v>
      </c>
      <c r="K471" s="94"/>
      <c r="L471" s="94"/>
      <c r="M471" s="94"/>
      <c r="N471" s="94"/>
      <c r="O471" s="93"/>
    </row>
    <row r="472" spans="1:15" x14ac:dyDescent="0.25">
      <c r="A472" s="129">
        <v>20</v>
      </c>
      <c r="B472" s="129" t="s">
        <v>74</v>
      </c>
      <c r="C472" s="129" t="s">
        <v>2389</v>
      </c>
      <c r="D472" s="553">
        <v>0.01</v>
      </c>
      <c r="E472" s="129">
        <v>8</v>
      </c>
      <c r="F472" s="1132" t="s">
        <v>68</v>
      </c>
      <c r="G472" s="129"/>
      <c r="H472" s="129"/>
      <c r="I472" s="136">
        <v>6</v>
      </c>
      <c r="J472" s="100">
        <f>I472*D472</f>
        <v>0.06</v>
      </c>
      <c r="K472" s="94"/>
      <c r="L472" s="94"/>
      <c r="M472" s="94"/>
      <c r="N472" s="94"/>
      <c r="O472" s="93"/>
    </row>
    <row r="473" spans="1:15" x14ac:dyDescent="0.25">
      <c r="A473" s="129">
        <v>30</v>
      </c>
      <c r="B473" s="129" t="s">
        <v>75</v>
      </c>
      <c r="C473" s="601" t="s">
        <v>2698</v>
      </c>
      <c r="D473" s="553">
        <v>0.01</v>
      </c>
      <c r="E473" s="129">
        <v>8</v>
      </c>
      <c r="F473" s="1132" t="s">
        <v>68</v>
      </c>
      <c r="G473" s="129"/>
      <c r="H473" s="129"/>
      <c r="I473" s="136">
        <v>4</v>
      </c>
      <c r="J473" s="100">
        <f>I473*D473</f>
        <v>0.04</v>
      </c>
      <c r="K473" s="94"/>
      <c r="L473" s="94"/>
      <c r="M473" s="94"/>
      <c r="N473" s="94"/>
      <c r="O473" s="93"/>
    </row>
    <row r="474" spans="1:15" x14ac:dyDescent="0.25">
      <c r="A474" s="129">
        <v>40</v>
      </c>
      <c r="B474" s="129" t="s">
        <v>2366</v>
      </c>
      <c r="C474" s="601"/>
      <c r="D474" s="283">
        <f>0.02*E474^2+1.22</f>
        <v>2.5</v>
      </c>
      <c r="E474" s="282">
        <v>8</v>
      </c>
      <c r="F474" s="1132" t="s">
        <v>68</v>
      </c>
      <c r="G474" s="129"/>
      <c r="H474" s="129"/>
      <c r="I474" s="136">
        <v>2</v>
      </c>
      <c r="J474" s="100">
        <f>I474*D474</f>
        <v>5</v>
      </c>
      <c r="K474" s="99"/>
      <c r="L474" s="99"/>
      <c r="M474" s="99"/>
      <c r="N474" s="99"/>
      <c r="O474" s="130"/>
    </row>
    <row r="475" spans="1:15" x14ac:dyDescent="0.25">
      <c r="A475" s="98"/>
      <c r="B475" s="95"/>
      <c r="C475" s="95"/>
      <c r="D475" s="95"/>
      <c r="E475" s="95"/>
      <c r="F475" s="95"/>
      <c r="G475" s="95"/>
      <c r="H475" s="95"/>
      <c r="I475" s="1363" t="s">
        <v>58</v>
      </c>
      <c r="J475" s="1362">
        <f>SUM(J471:J473)</f>
        <v>0.94</v>
      </c>
      <c r="K475" s="94"/>
      <c r="L475" s="94"/>
      <c r="M475" s="94"/>
      <c r="N475" s="94"/>
      <c r="O475" s="93"/>
    </row>
    <row r="476" spans="1:15" x14ac:dyDescent="0.25">
      <c r="A476" s="107"/>
      <c r="B476" s="94"/>
      <c r="C476" s="94"/>
      <c r="D476" s="94"/>
      <c r="E476" s="94"/>
      <c r="F476" s="94"/>
      <c r="G476" s="94"/>
      <c r="H476" s="94"/>
      <c r="I476" s="94"/>
      <c r="J476" s="94"/>
      <c r="K476" s="94"/>
      <c r="L476" s="94"/>
      <c r="M476" s="94"/>
      <c r="N476" s="94"/>
      <c r="O476" s="93"/>
    </row>
    <row r="477" spans="1:15" x14ac:dyDescent="0.25">
      <c r="A477" s="1367" t="s">
        <v>67</v>
      </c>
      <c r="B477" s="1367" t="s">
        <v>13</v>
      </c>
      <c r="C477" s="1367" t="s">
        <v>66</v>
      </c>
      <c r="D477" s="1367" t="s">
        <v>65</v>
      </c>
      <c r="E477" s="1367" t="s">
        <v>64</v>
      </c>
      <c r="F477" s="1367" t="s">
        <v>40</v>
      </c>
      <c r="G477" s="1367" t="s">
        <v>63</v>
      </c>
      <c r="H477" s="1367" t="s">
        <v>62</v>
      </c>
      <c r="I477" s="1367" t="s">
        <v>58</v>
      </c>
      <c r="J477" s="95"/>
      <c r="K477" s="94"/>
      <c r="L477" s="94"/>
      <c r="M477" s="94"/>
      <c r="N477" s="94"/>
      <c r="O477" s="93"/>
    </row>
    <row r="478" spans="1:15" x14ac:dyDescent="0.25">
      <c r="A478" s="129">
        <v>10</v>
      </c>
      <c r="B478" s="129" t="s">
        <v>61</v>
      </c>
      <c r="C478" s="129"/>
      <c r="D478" s="100">
        <v>500</v>
      </c>
      <c r="E478" s="129" t="s">
        <v>59</v>
      </c>
      <c r="F478" s="129">
        <v>4</v>
      </c>
      <c r="G478" s="129">
        <v>3000</v>
      </c>
      <c r="H478" s="129">
        <v>1</v>
      </c>
      <c r="I478" s="100">
        <f>D478*F478/G478*H478</f>
        <v>0.66666666666666663</v>
      </c>
      <c r="J478" s="99"/>
      <c r="K478" s="94"/>
      <c r="L478" s="94"/>
      <c r="M478" s="94"/>
      <c r="N478" s="94"/>
      <c r="O478" s="93"/>
    </row>
    <row r="479" spans="1:15" x14ac:dyDescent="0.25">
      <c r="A479" s="98"/>
      <c r="B479" s="95"/>
      <c r="C479" s="95"/>
      <c r="D479" s="95"/>
      <c r="E479" s="95"/>
      <c r="F479" s="95"/>
      <c r="G479" s="95"/>
      <c r="H479" s="1363" t="s">
        <v>58</v>
      </c>
      <c r="I479" s="1362">
        <f>SUM(I478)</f>
        <v>0.66666666666666663</v>
      </c>
      <c r="J479" s="95"/>
      <c r="K479" s="94"/>
      <c r="L479" s="94"/>
      <c r="M479" s="94"/>
      <c r="N479" s="94"/>
      <c r="O479" s="93"/>
    </row>
    <row r="480" spans="1:15" ht="15.75" thickBot="1" x14ac:dyDescent="0.3">
      <c r="A480" s="92"/>
      <c r="B480" s="91"/>
      <c r="C480" s="91"/>
      <c r="D480" s="91"/>
      <c r="E480" s="91"/>
      <c r="F480" s="91"/>
      <c r="G480" s="91"/>
      <c r="H480" s="91"/>
      <c r="I480" s="91"/>
      <c r="J480" s="91"/>
      <c r="K480" s="91"/>
      <c r="L480" s="91"/>
      <c r="M480" s="91"/>
      <c r="N480" s="91"/>
      <c r="O480" s="90"/>
    </row>
    <row r="481" spans="1:15" ht="15.75" thickBot="1" x14ac:dyDescent="0.3">
      <c r="O481" s="1229"/>
    </row>
    <row r="482" spans="1:15" x14ac:dyDescent="0.25">
      <c r="A482" s="141"/>
      <c r="B482" s="140"/>
      <c r="C482" s="140"/>
      <c r="D482" s="140"/>
      <c r="E482" s="140"/>
      <c r="F482" s="140"/>
      <c r="G482" s="140"/>
      <c r="H482" s="140"/>
      <c r="I482" s="140"/>
      <c r="J482" s="140"/>
      <c r="K482" s="140"/>
      <c r="L482" s="140"/>
      <c r="M482" s="140"/>
      <c r="N482" s="140"/>
      <c r="O482" s="93"/>
    </row>
    <row r="483" spans="1:15" x14ac:dyDescent="0.25">
      <c r="A483" s="1367" t="s">
        <v>57</v>
      </c>
      <c r="B483" s="133" t="s">
        <v>127</v>
      </c>
      <c r="C483" s="94"/>
      <c r="D483" s="94"/>
      <c r="E483" s="94"/>
      <c r="F483" s="94"/>
      <c r="G483" s="94"/>
      <c r="H483" s="94"/>
      <c r="I483" s="94"/>
      <c r="J483" s="1367" t="s">
        <v>51</v>
      </c>
      <c r="K483" s="138">
        <v>81</v>
      </c>
      <c r="L483" s="94"/>
      <c r="M483" s="1367" t="s">
        <v>126</v>
      </c>
      <c r="N483" s="137">
        <f ca="1">E498+SU_A0010_m+SU_A0010_p+SU_A0010_f+SU_A0010_t</f>
        <v>100.99012842727628</v>
      </c>
      <c r="O483" s="93"/>
    </row>
    <row r="484" spans="1:15" x14ac:dyDescent="0.25">
      <c r="A484" s="1367" t="s">
        <v>125</v>
      </c>
      <c r="B484" s="133" t="s">
        <v>5</v>
      </c>
      <c r="C484" s="94"/>
      <c r="D484" s="94"/>
      <c r="E484" s="94"/>
      <c r="F484" s="94"/>
      <c r="G484" s="94"/>
      <c r="H484" s="94"/>
      <c r="I484" s="94"/>
      <c r="J484" s="94"/>
      <c r="K484" s="94"/>
      <c r="L484" s="94"/>
      <c r="M484" s="1367" t="s">
        <v>124</v>
      </c>
      <c r="N484" s="136">
        <v>1</v>
      </c>
      <c r="O484" s="93"/>
    </row>
    <row r="485" spans="1:15" x14ac:dyDescent="0.25">
      <c r="A485" s="1367" t="s">
        <v>123</v>
      </c>
      <c r="B485" s="1421" t="s">
        <v>2387</v>
      </c>
      <c r="C485" s="94"/>
      <c r="D485" s="94"/>
      <c r="E485" s="94"/>
      <c r="F485" s="94"/>
      <c r="G485" s="94"/>
      <c r="H485" s="94"/>
      <c r="I485" s="94"/>
      <c r="J485" s="1373" t="s">
        <v>122</v>
      </c>
      <c r="K485" s="94"/>
      <c r="L485" s="94"/>
      <c r="M485" s="94"/>
      <c r="N485" s="94"/>
      <c r="O485" s="93"/>
    </row>
    <row r="486" spans="1:15" x14ac:dyDescent="0.25">
      <c r="A486" s="1367" t="s">
        <v>121</v>
      </c>
      <c r="B486" s="135" t="s">
        <v>2388</v>
      </c>
      <c r="C486" s="94"/>
      <c r="D486" s="94"/>
      <c r="E486" s="94"/>
      <c r="F486" s="94"/>
      <c r="G486" s="94"/>
      <c r="H486" s="94"/>
      <c r="I486" s="94"/>
      <c r="J486" s="1373" t="s">
        <v>119</v>
      </c>
      <c r="K486" s="94"/>
      <c r="L486" s="94"/>
      <c r="M486" s="1367" t="s">
        <v>118</v>
      </c>
      <c r="N486" s="100">
        <f ca="1">N483*N484</f>
        <v>100.99012842727628</v>
      </c>
      <c r="O486" s="93"/>
    </row>
    <row r="487" spans="1:15" x14ac:dyDescent="0.25">
      <c r="A487" s="1367" t="s">
        <v>117</v>
      </c>
      <c r="B487" s="133" t="s">
        <v>23</v>
      </c>
      <c r="C487" s="94"/>
      <c r="D487" s="94"/>
      <c r="E487" s="94"/>
      <c r="F487" s="94"/>
      <c r="G487" s="94"/>
      <c r="H487" s="94"/>
      <c r="I487" s="94"/>
      <c r="J487" s="1373" t="s">
        <v>116</v>
      </c>
      <c r="K487" s="94"/>
      <c r="L487" s="94"/>
      <c r="M487" s="94"/>
      <c r="N487" s="94"/>
      <c r="O487" s="93"/>
    </row>
    <row r="488" spans="1:15" x14ac:dyDescent="0.25">
      <c r="A488" s="1367" t="s">
        <v>115</v>
      </c>
      <c r="B488" s="745" t="s">
        <v>2387</v>
      </c>
      <c r="C488" s="94"/>
      <c r="D488" s="94"/>
      <c r="E488" s="94"/>
      <c r="F488" s="94"/>
      <c r="G488" s="94"/>
      <c r="H488" s="94"/>
      <c r="I488" s="94"/>
      <c r="J488" s="94"/>
      <c r="K488" s="94"/>
      <c r="L488" s="94"/>
      <c r="M488" s="94"/>
      <c r="N488" s="94"/>
      <c r="O488" s="93"/>
    </row>
    <row r="489" spans="1:15" x14ac:dyDescent="0.25">
      <c r="A489" s="107"/>
      <c r="B489" s="94"/>
      <c r="C489" s="94"/>
      <c r="D489" s="94"/>
      <c r="E489" s="94"/>
      <c r="F489" s="94"/>
      <c r="G489" s="94"/>
      <c r="H489" s="94"/>
      <c r="I489" s="94"/>
      <c r="J489" s="94"/>
      <c r="K489" s="94"/>
      <c r="L489" s="94"/>
      <c r="M489" s="94"/>
      <c r="N489" s="94"/>
      <c r="O489" s="93"/>
    </row>
    <row r="490" spans="1:15" x14ac:dyDescent="0.25">
      <c r="A490" s="1367" t="s">
        <v>67</v>
      </c>
      <c r="B490" s="1367" t="s">
        <v>114</v>
      </c>
      <c r="C490" s="1367" t="s">
        <v>113</v>
      </c>
      <c r="D490" s="1367" t="s">
        <v>40</v>
      </c>
      <c r="E490" s="1367" t="s">
        <v>58</v>
      </c>
      <c r="F490" s="94"/>
      <c r="G490" s="94"/>
      <c r="H490" s="94"/>
      <c r="I490" s="94"/>
      <c r="J490" s="94"/>
      <c r="K490" s="94"/>
      <c r="L490" s="94"/>
      <c r="M490" s="94"/>
      <c r="N490" s="94"/>
      <c r="O490" s="93"/>
    </row>
    <row r="491" spans="1:15" x14ac:dyDescent="0.25">
      <c r="A491" s="129">
        <v>10</v>
      </c>
      <c r="B491" s="132" t="str">
        <f ca="1">INDEX('SU Parts'!$A$1:$O$1998,ROW(INDIRECT(F491))-1,COLUMN(INDIRECT(F491)))</f>
        <v>Front Sway Bar</v>
      </c>
      <c r="C491" s="100">
        <f ca="1">INDEX('SU Parts'!$A$1:$O$1998,ROW(INDIRECT(F491))-4,COLUMN(INDIRECT(F491))+12)</f>
        <v>2.4501548140722353</v>
      </c>
      <c r="D491" s="127">
        <f ca="1">INDEX('SU Parts'!$A$1:$O$1998,ROW(INDIRECT(F491))-3,COLUMN(INDIRECT(F491))+12)</f>
        <v>1</v>
      </c>
      <c r="E491" s="100">
        <f t="shared" ref="E491:E497" ca="1" si="15">C491*D491</f>
        <v>2.4501548140722353</v>
      </c>
      <c r="F491" s="1419" t="str">
        <f t="shared" ref="F491:F497" si="16">CONCATENATE("SU_1000",G491)</f>
        <v>SU_10001</v>
      </c>
      <c r="G491" s="1419">
        <v>1</v>
      </c>
      <c r="H491" s="94"/>
      <c r="I491" s="94"/>
      <c r="J491" s="94"/>
      <c r="K491" s="94"/>
      <c r="L491" s="94"/>
      <c r="M491" s="94"/>
      <c r="N491" s="94"/>
      <c r="O491" s="93"/>
    </row>
    <row r="492" spans="1:15" x14ac:dyDescent="0.25">
      <c r="A492" s="129">
        <v>20</v>
      </c>
      <c r="B492" s="132" t="str">
        <f ca="1">INDEX('SU Parts'!$A$1:$O$1998,ROW(INDIRECT(F492))-1,COLUMN(INDIRECT(F492)))</f>
        <v>Front Lever</v>
      </c>
      <c r="C492" s="100">
        <f ca="1">INDEX('SU Parts'!$A$1:$O$1998,ROW(INDIRECT(F492))-4,COLUMN(INDIRECT(F492))+12)</f>
        <v>2.06393995</v>
      </c>
      <c r="D492" s="127">
        <f ca="1">INDEX('SU Parts'!$A$1:$O$1998,ROW(INDIRECT(F492))-3,COLUMN(INDIRECT(F492))+12)</f>
        <v>4</v>
      </c>
      <c r="E492" s="100">
        <f t="shared" ca="1" si="15"/>
        <v>8.2557597999999999</v>
      </c>
      <c r="F492" s="1419" t="str">
        <f t="shared" si="16"/>
        <v>SU_10002</v>
      </c>
      <c r="G492" s="1419">
        <v>2</v>
      </c>
      <c r="H492" s="99"/>
      <c r="I492" s="99"/>
      <c r="J492" s="99"/>
      <c r="K492" s="99"/>
      <c r="L492" s="99"/>
      <c r="M492" s="99"/>
      <c r="N492" s="99"/>
      <c r="O492" s="93"/>
    </row>
    <row r="493" spans="1:15" x14ac:dyDescent="0.25">
      <c r="A493" s="129">
        <v>30</v>
      </c>
      <c r="B493" s="132" t="str">
        <f ca="1">INDEX('SU Parts'!$A$1:$O$1998,ROW(INDIRECT(F493))-1,COLUMN(INDIRECT(F493)))</f>
        <v xml:space="preserve">Front Roll Bar lower mount </v>
      </c>
      <c r="C493" s="100">
        <f ca="1">INDEX('SU Parts'!$A$1:$O$1998,ROW(INDIRECT(F493))-4,COLUMN(INDIRECT(F493))+12)</f>
        <v>1.8931695999999998</v>
      </c>
      <c r="D493" s="127">
        <f ca="1">INDEX('SU Parts'!$A$1:$O$1998,ROW(INDIRECT(F493))-3,COLUMN(INDIRECT(F493))+12)</f>
        <v>2</v>
      </c>
      <c r="E493" s="100">
        <f t="shared" ca="1" si="15"/>
        <v>3.7863391999999996</v>
      </c>
      <c r="F493" s="1419" t="str">
        <f t="shared" si="16"/>
        <v>SU_10003</v>
      </c>
      <c r="G493" s="1419">
        <v>3</v>
      </c>
      <c r="H493" s="99"/>
      <c r="I493" s="99"/>
      <c r="J493" s="99"/>
      <c r="K493" s="99"/>
      <c r="L493" s="99"/>
      <c r="M493" s="99"/>
      <c r="N493" s="99"/>
      <c r="O493" s="131"/>
    </row>
    <row r="494" spans="1:15" x14ac:dyDescent="0.25">
      <c r="A494" s="129">
        <v>40</v>
      </c>
      <c r="B494" s="132" t="str">
        <f ca="1">INDEX('SU Parts'!$A$1:$O$1998,ROW(INDIRECT(F494))-1,COLUMN(INDIRECT(F494)))</f>
        <v>Bushing</v>
      </c>
      <c r="C494" s="100">
        <f ca="1">INDEX('SU Parts'!$A$1:$O$1998,ROW(INDIRECT(F494))-4,COLUMN(INDIRECT(F494))+12)</f>
        <v>1.3288451250000002</v>
      </c>
      <c r="D494" s="127">
        <f ca="1">INDEX('SU Parts'!$A$1:$O$1998,ROW(INDIRECT(F494))-3,COLUMN(INDIRECT(F494))+12)</f>
        <v>4</v>
      </c>
      <c r="E494" s="100">
        <f t="shared" ca="1" si="15"/>
        <v>5.3153805000000007</v>
      </c>
      <c r="F494" s="1419" t="str">
        <f t="shared" si="16"/>
        <v>SU_10004</v>
      </c>
      <c r="G494" s="1419">
        <v>4</v>
      </c>
      <c r="H494" s="99"/>
      <c r="I494" s="99"/>
      <c r="J494" s="99"/>
      <c r="K494" s="99"/>
      <c r="L494" s="99"/>
      <c r="M494" s="99"/>
      <c r="N494" s="99"/>
      <c r="O494" s="131"/>
    </row>
    <row r="495" spans="1:15" x14ac:dyDescent="0.25">
      <c r="A495" s="129">
        <v>50</v>
      </c>
      <c r="B495" s="132" t="str">
        <f ca="1">INDEX('SU Parts'!$A$1:$O$1998,ROW(INDIRECT(F495))-1,COLUMN(INDIRECT(F495)))</f>
        <v>Front Roll Bar upper mount</v>
      </c>
      <c r="C495" s="100">
        <f ca="1">INDEX('SU Parts'!$A$1:$O$1998,ROW(INDIRECT(F495))-4,COLUMN(INDIRECT(F495))+12)</f>
        <v>4.5121900000000004</v>
      </c>
      <c r="D495" s="127">
        <f ca="1">INDEX('SU Parts'!$A$1:$O$1998,ROW(INDIRECT(F495))-3,COLUMN(INDIRECT(F495))+12)</f>
        <v>2</v>
      </c>
      <c r="E495" s="100">
        <f t="shared" ca="1" si="15"/>
        <v>9.0243800000000007</v>
      </c>
      <c r="F495" s="1419" t="str">
        <f t="shared" si="16"/>
        <v>SU_10005</v>
      </c>
      <c r="G495" s="1419">
        <v>5</v>
      </c>
      <c r="H495" s="99"/>
      <c r="I495" s="99"/>
      <c r="J495" s="99"/>
      <c r="K495" s="99"/>
      <c r="L495" s="99"/>
      <c r="M495" s="99"/>
      <c r="N495" s="99"/>
      <c r="O495" s="130"/>
    </row>
    <row r="496" spans="1:15" x14ac:dyDescent="0.25">
      <c r="A496" s="222">
        <v>60</v>
      </c>
      <c r="B496" s="132" t="str">
        <f ca="1">INDEX('SU Parts'!$A$1:$O$1998,ROW(INDIRECT(F496))-1,COLUMN(INDIRECT(F496)))</f>
        <v>Rod tube</v>
      </c>
      <c r="C496" s="100">
        <f ca="1">INDEX('SU Parts'!$A$1:$O$1998,ROW(INDIRECT(F496))-4,COLUMN(INDIRECT(F496))+12)</f>
        <v>12.078795434522036</v>
      </c>
      <c r="D496" s="127">
        <f ca="1">INDEX('SU Parts'!$A$1:$O$1998,ROW(INDIRECT(F496))-3,COLUMN(INDIRECT(F496))+12)</f>
        <v>2</v>
      </c>
      <c r="E496" s="100">
        <f t="shared" ca="1" si="15"/>
        <v>24.157590869044071</v>
      </c>
      <c r="F496" s="1419" t="str">
        <f t="shared" si="16"/>
        <v>SU_10006</v>
      </c>
      <c r="G496" s="1419">
        <v>6</v>
      </c>
      <c r="H496" s="94"/>
      <c r="I496" s="94"/>
      <c r="J496" s="94"/>
      <c r="K496" s="94"/>
      <c r="L496" s="94"/>
      <c r="M496" s="94"/>
      <c r="N496" s="94"/>
      <c r="O496" s="93"/>
    </row>
    <row r="497" spans="1:15" x14ac:dyDescent="0.25">
      <c r="A497" s="325">
        <v>70</v>
      </c>
      <c r="B497" s="1420" t="str">
        <f ca="1">INDEX('SU Parts'!$A$1:$O$1998,ROW(INDIRECT(F497))-1,COLUMN(INDIRECT(F497)))</f>
        <v>Rod insert</v>
      </c>
      <c r="C497" s="100">
        <f ca="1">INDEX('SU Parts'!$A$1:$O$1998,ROW(INDIRECT(F497))-4,COLUMN(INDIRECT(F497))+12)</f>
        <v>2.9416692995590514</v>
      </c>
      <c r="D497" s="127">
        <f ca="1">INDEX('SU Parts'!$A$1:$O$1998,ROW(INDIRECT(F497))-3,COLUMN(INDIRECT(F497))+12)</f>
        <v>4</v>
      </c>
      <c r="E497" s="100">
        <f t="shared" ca="1" si="15"/>
        <v>11.766677198236206</v>
      </c>
      <c r="F497" s="1419" t="str">
        <f t="shared" si="16"/>
        <v>SU_10007</v>
      </c>
      <c r="G497" s="1419">
        <v>7</v>
      </c>
      <c r="H497" s="94"/>
      <c r="I497" s="94"/>
      <c r="J497" s="94"/>
      <c r="K497" s="94"/>
      <c r="L497" s="94"/>
      <c r="M497" s="94"/>
      <c r="N497" s="94"/>
      <c r="O497" s="93"/>
    </row>
    <row r="498" spans="1:15" x14ac:dyDescent="0.25">
      <c r="A498" s="107"/>
      <c r="B498" s="94"/>
      <c r="C498" s="94"/>
      <c r="D498" s="1363" t="s">
        <v>58</v>
      </c>
      <c r="E498" s="1362">
        <f ca="1">SUM(E491:E497)</f>
        <v>64.75628238135252</v>
      </c>
      <c r="F498" s="99"/>
      <c r="G498" s="99"/>
      <c r="H498" s="99"/>
      <c r="I498" s="99"/>
      <c r="J498" s="99"/>
      <c r="K498" s="99"/>
      <c r="L498" s="99"/>
      <c r="M498" s="99"/>
      <c r="N498" s="99"/>
      <c r="O498" s="93"/>
    </row>
    <row r="499" spans="1:15" x14ac:dyDescent="0.25">
      <c r="A499" s="107"/>
      <c r="B499" s="94"/>
      <c r="C499" s="94"/>
      <c r="D499" s="94"/>
      <c r="E499" s="94"/>
      <c r="F499" s="94"/>
      <c r="G499" s="94"/>
      <c r="H499" s="94"/>
      <c r="I499" s="94"/>
      <c r="J499" s="94"/>
      <c r="K499" s="94"/>
      <c r="L499" s="94"/>
      <c r="M499" s="94"/>
      <c r="N499" s="94"/>
      <c r="O499" s="93"/>
    </row>
    <row r="500" spans="1:15" x14ac:dyDescent="0.25">
      <c r="A500" s="1367" t="s">
        <v>67</v>
      </c>
      <c r="B500" s="1367" t="s">
        <v>112</v>
      </c>
      <c r="C500" s="1367" t="s">
        <v>66</v>
      </c>
      <c r="D500" s="1367" t="s">
        <v>65</v>
      </c>
      <c r="E500" s="1367" t="s">
        <v>81</v>
      </c>
      <c r="F500" s="1367" t="s">
        <v>80</v>
      </c>
      <c r="G500" s="1367" t="s">
        <v>79</v>
      </c>
      <c r="H500" s="1367" t="s">
        <v>78</v>
      </c>
      <c r="I500" s="1367" t="s">
        <v>111</v>
      </c>
      <c r="J500" s="1367" t="s">
        <v>110</v>
      </c>
      <c r="K500" s="1367" t="s">
        <v>109</v>
      </c>
      <c r="L500" s="1367" t="s">
        <v>108</v>
      </c>
      <c r="M500" s="1367" t="s">
        <v>40</v>
      </c>
      <c r="N500" s="1367" t="s">
        <v>58</v>
      </c>
      <c r="O500" s="93"/>
    </row>
    <row r="501" spans="1:15" x14ac:dyDescent="0.25">
      <c r="A501" s="282">
        <v>10</v>
      </c>
      <c r="B501" s="282" t="s">
        <v>2386</v>
      </c>
      <c r="C501" s="282" t="s">
        <v>2385</v>
      </c>
      <c r="D501" s="283">
        <v>0</v>
      </c>
      <c r="E501" s="282"/>
      <c r="F501" s="282"/>
      <c r="G501" s="282"/>
      <c r="H501" s="278"/>
      <c r="I501" s="303"/>
      <c r="J501" s="435"/>
      <c r="K501" s="278"/>
      <c r="L501" s="278"/>
      <c r="M501" s="381">
        <v>1</v>
      </c>
      <c r="N501" s="1418"/>
      <c r="O501" s="93"/>
    </row>
    <row r="502" spans="1:15" x14ac:dyDescent="0.25">
      <c r="A502" s="1416">
        <v>20</v>
      </c>
      <c r="B502" s="1416" t="s">
        <v>250</v>
      </c>
      <c r="C502" s="1417" t="s">
        <v>2384</v>
      </c>
      <c r="D502" s="283">
        <v>10</v>
      </c>
      <c r="E502" s="1416">
        <v>4.0000000000000001E-3</v>
      </c>
      <c r="F502" s="1416" t="s">
        <v>299</v>
      </c>
      <c r="G502" s="1416"/>
      <c r="H502" s="278"/>
      <c r="I502" s="1415"/>
      <c r="J502" s="435"/>
      <c r="K502" s="278"/>
      <c r="L502" s="278"/>
      <c r="M502" s="381">
        <v>1</v>
      </c>
      <c r="N502" s="100">
        <f>M502*D502</f>
        <v>10</v>
      </c>
      <c r="O502" s="93"/>
    </row>
    <row r="503" spans="1:15" x14ac:dyDescent="0.25">
      <c r="A503" s="98"/>
      <c r="B503" s="95"/>
      <c r="C503" s="95"/>
      <c r="D503" s="95"/>
      <c r="E503" s="95"/>
      <c r="F503" s="95"/>
      <c r="G503" s="95"/>
      <c r="H503" s="95"/>
      <c r="I503" s="95"/>
      <c r="J503" s="95"/>
      <c r="K503" s="95"/>
      <c r="L503" s="95"/>
      <c r="M503" s="1367" t="s">
        <v>58</v>
      </c>
      <c r="N503" s="1362">
        <f>SUM(N502:N502)</f>
        <v>10</v>
      </c>
      <c r="O503" s="93"/>
    </row>
    <row r="504" spans="1:15" x14ac:dyDescent="0.25">
      <c r="A504" s="107"/>
      <c r="B504" s="94"/>
      <c r="C504" s="94"/>
      <c r="D504" s="94"/>
      <c r="E504" s="94"/>
      <c r="F504" s="94"/>
      <c r="G504" s="94"/>
      <c r="H504" s="94"/>
      <c r="I504" s="94"/>
      <c r="J504" s="94"/>
      <c r="K504" s="94"/>
      <c r="L504" s="94"/>
      <c r="M504" s="94"/>
      <c r="N504" s="94"/>
      <c r="O504" s="93"/>
    </row>
    <row r="505" spans="1:15" x14ac:dyDescent="0.25">
      <c r="A505" s="1414" t="s">
        <v>67</v>
      </c>
      <c r="B505" s="1414" t="s">
        <v>106</v>
      </c>
      <c r="C505" s="1414" t="s">
        <v>66</v>
      </c>
      <c r="D505" s="1414" t="s">
        <v>65</v>
      </c>
      <c r="E505" s="1414" t="s">
        <v>64</v>
      </c>
      <c r="F505" s="1414" t="s">
        <v>40</v>
      </c>
      <c r="G505" s="1414" t="s">
        <v>105</v>
      </c>
      <c r="H505" s="1414" t="s">
        <v>104</v>
      </c>
      <c r="I505" s="1414" t="s">
        <v>58</v>
      </c>
      <c r="J505" s="95"/>
      <c r="K505" s="95"/>
      <c r="L505" s="95"/>
      <c r="M505" s="95"/>
      <c r="N505" s="95"/>
      <c r="O505" s="120"/>
    </row>
    <row r="506" spans="1:15" x14ac:dyDescent="0.25">
      <c r="A506" s="282">
        <v>10</v>
      </c>
      <c r="B506" s="309" t="s">
        <v>1185</v>
      </c>
      <c r="C506" s="292" t="s">
        <v>2383</v>
      </c>
      <c r="D506" s="337">
        <v>0.02</v>
      </c>
      <c r="E506" s="282" t="s">
        <v>1164</v>
      </c>
      <c r="F506" s="1413">
        <v>5.56</v>
      </c>
      <c r="G506" s="299" t="s">
        <v>1163</v>
      </c>
      <c r="H506" s="299">
        <v>4</v>
      </c>
      <c r="I506" s="276">
        <f t="shared" ref="I506:I520" si="17">IF(H506="",D506*F506,D506*F506*H506)</f>
        <v>0.44479999999999997</v>
      </c>
      <c r="J506" s="95"/>
      <c r="K506" s="95"/>
      <c r="L506" s="95"/>
      <c r="M506" s="95"/>
      <c r="N506" s="95"/>
      <c r="O506" s="120"/>
    </row>
    <row r="507" spans="1:15" x14ac:dyDescent="0.25">
      <c r="A507" s="282">
        <v>20</v>
      </c>
      <c r="B507" s="309" t="s">
        <v>1185</v>
      </c>
      <c r="C507" s="292" t="s">
        <v>1184</v>
      </c>
      <c r="D507" s="337">
        <v>0.02</v>
      </c>
      <c r="E507" s="282" t="s">
        <v>1164</v>
      </c>
      <c r="F507" s="1413">
        <v>5.56</v>
      </c>
      <c r="G507" s="299" t="s">
        <v>1163</v>
      </c>
      <c r="H507" s="299">
        <v>4</v>
      </c>
      <c r="I507" s="207">
        <f t="shared" si="17"/>
        <v>0.44479999999999997</v>
      </c>
      <c r="J507" s="95"/>
      <c r="K507" s="95"/>
      <c r="L507" s="95"/>
      <c r="M507" s="95"/>
      <c r="N507" s="95"/>
      <c r="O507" s="120"/>
    </row>
    <row r="508" spans="1:15" x14ac:dyDescent="0.25">
      <c r="A508" s="282">
        <v>30</v>
      </c>
      <c r="B508" s="555" t="s">
        <v>2382</v>
      </c>
      <c r="C508" s="601" t="s">
        <v>2381</v>
      </c>
      <c r="D508" s="100">
        <v>0.02</v>
      </c>
      <c r="E508" s="129" t="s">
        <v>354</v>
      </c>
      <c r="F508" s="299">
        <v>5.56</v>
      </c>
      <c r="G508" s="129" t="s">
        <v>1163</v>
      </c>
      <c r="H508" s="129">
        <v>4</v>
      </c>
      <c r="I508" s="207">
        <f t="shared" si="17"/>
        <v>0.44479999999999997</v>
      </c>
      <c r="J508" s="95"/>
      <c r="K508" s="95"/>
      <c r="L508" s="95"/>
      <c r="M508" s="95"/>
      <c r="N508" s="95"/>
      <c r="O508" s="120"/>
    </row>
    <row r="509" spans="1:15" ht="30" x14ac:dyDescent="0.25">
      <c r="A509" s="282">
        <v>40</v>
      </c>
      <c r="B509" s="1410" t="s">
        <v>103</v>
      </c>
      <c r="C509" s="1412" t="s">
        <v>2380</v>
      </c>
      <c r="D509" s="1411">
        <v>0.15</v>
      </c>
      <c r="E509" s="1410" t="s">
        <v>101</v>
      </c>
      <c r="F509" s="1409">
        <v>6.2</v>
      </c>
      <c r="G509" s="1409"/>
      <c r="H509" s="1409"/>
      <c r="I509" s="207">
        <f t="shared" si="17"/>
        <v>0.92999999999999994</v>
      </c>
      <c r="J509" s="95"/>
      <c r="K509" s="95"/>
      <c r="L509" s="95"/>
      <c r="M509" s="95"/>
      <c r="N509" s="95"/>
      <c r="O509" s="120"/>
    </row>
    <row r="510" spans="1:15" x14ac:dyDescent="0.25">
      <c r="A510" s="282">
        <v>50</v>
      </c>
      <c r="B510" s="309" t="s">
        <v>243</v>
      </c>
      <c r="C510" s="1407" t="s">
        <v>2379</v>
      </c>
      <c r="D510" s="337">
        <v>5.25</v>
      </c>
      <c r="E510" s="309" t="s">
        <v>299</v>
      </c>
      <c r="F510" s="1394">
        <v>4.0000000000000001E-3</v>
      </c>
      <c r="G510" s="1394"/>
      <c r="H510" s="1394"/>
      <c r="I510" s="100">
        <f t="shared" si="17"/>
        <v>2.1000000000000001E-2</v>
      </c>
      <c r="J510" s="95"/>
      <c r="K510" s="95"/>
      <c r="L510" s="95"/>
      <c r="M510" s="95"/>
      <c r="N510" s="95"/>
      <c r="O510" s="120"/>
    </row>
    <row r="511" spans="1:15" ht="30" x14ac:dyDescent="0.25">
      <c r="A511" s="282">
        <v>60</v>
      </c>
      <c r="B511" s="309" t="s">
        <v>95</v>
      </c>
      <c r="C511" s="1407" t="s">
        <v>2378</v>
      </c>
      <c r="D511" s="337">
        <v>0.19</v>
      </c>
      <c r="E511" s="1394" t="s">
        <v>64</v>
      </c>
      <c r="F511" s="1405">
        <v>4</v>
      </c>
      <c r="G511" s="1394"/>
      <c r="H511" s="1394"/>
      <c r="I511" s="100">
        <f t="shared" si="17"/>
        <v>0.76</v>
      </c>
      <c r="J511" s="95"/>
      <c r="K511" s="95"/>
      <c r="L511" s="95"/>
      <c r="M511" s="95"/>
      <c r="N511" s="95"/>
      <c r="O511" s="120"/>
    </row>
    <row r="512" spans="1:15" ht="30" x14ac:dyDescent="0.25">
      <c r="A512" s="282">
        <v>70</v>
      </c>
      <c r="B512" s="309" t="s">
        <v>87</v>
      </c>
      <c r="C512" s="1407" t="s">
        <v>2377</v>
      </c>
      <c r="D512" s="337">
        <v>0.06</v>
      </c>
      <c r="E512" s="1394" t="s">
        <v>64</v>
      </c>
      <c r="F512" s="1405">
        <v>2</v>
      </c>
      <c r="G512" s="1394"/>
      <c r="H512" s="1394"/>
      <c r="I512" s="100">
        <f t="shared" si="17"/>
        <v>0.12</v>
      </c>
      <c r="J512" s="95"/>
      <c r="K512" s="95"/>
      <c r="L512" s="95"/>
      <c r="M512" s="95"/>
      <c r="N512" s="95"/>
      <c r="O512" s="120"/>
    </row>
    <row r="513" spans="1:27" x14ac:dyDescent="0.25">
      <c r="A513" s="282">
        <v>80</v>
      </c>
      <c r="B513" s="1394" t="s">
        <v>103</v>
      </c>
      <c r="C513" s="1406" t="s">
        <v>2376</v>
      </c>
      <c r="D513" s="337">
        <v>0.15</v>
      </c>
      <c r="E513" s="1394" t="s">
        <v>101</v>
      </c>
      <c r="F513" s="1405">
        <v>4</v>
      </c>
      <c r="G513" s="1394"/>
      <c r="H513" s="1394"/>
      <c r="I513" s="100">
        <f t="shared" si="17"/>
        <v>0.6</v>
      </c>
      <c r="J513" s="94"/>
      <c r="K513" s="94"/>
      <c r="L513" s="94"/>
      <c r="M513" s="94"/>
      <c r="N513" s="94"/>
      <c r="O513" s="93"/>
    </row>
    <row r="514" spans="1:27" x14ac:dyDescent="0.25">
      <c r="A514" s="282">
        <v>90</v>
      </c>
      <c r="B514" s="1369" t="s">
        <v>2375</v>
      </c>
      <c r="C514" s="1406" t="s">
        <v>2374</v>
      </c>
      <c r="D514" s="1408">
        <v>0.25</v>
      </c>
      <c r="E514" s="1369" t="s">
        <v>64</v>
      </c>
      <c r="F514" s="1405">
        <v>2</v>
      </c>
      <c r="G514" s="1394"/>
      <c r="H514" s="1394"/>
      <c r="I514" s="100">
        <f t="shared" si="17"/>
        <v>0.5</v>
      </c>
      <c r="J514" s="94"/>
      <c r="K514" s="94"/>
      <c r="L514" s="94"/>
      <c r="M514" s="94"/>
      <c r="N514" s="94"/>
      <c r="O514" s="93"/>
    </row>
    <row r="515" spans="1:27" x14ac:dyDescent="0.25">
      <c r="A515" s="282">
        <v>100</v>
      </c>
      <c r="B515" s="309" t="s">
        <v>1179</v>
      </c>
      <c r="C515" s="1407" t="s">
        <v>2373</v>
      </c>
      <c r="D515" s="337">
        <v>1</v>
      </c>
      <c r="E515" s="1394" t="s">
        <v>64</v>
      </c>
      <c r="F515" s="1405">
        <v>2</v>
      </c>
      <c r="G515" s="1394"/>
      <c r="H515" s="1394"/>
      <c r="I515" s="100">
        <f t="shared" si="17"/>
        <v>2</v>
      </c>
      <c r="J515" s="94"/>
      <c r="K515" s="94"/>
      <c r="L515" s="94"/>
      <c r="M515" s="94"/>
      <c r="N515" s="94"/>
      <c r="O515" s="93"/>
    </row>
    <row r="516" spans="1:27" x14ac:dyDescent="0.25">
      <c r="A516" s="282">
        <v>110</v>
      </c>
      <c r="B516" s="282" t="s">
        <v>374</v>
      </c>
      <c r="C516" s="292" t="s">
        <v>2372</v>
      </c>
      <c r="D516" s="337">
        <v>0.14000000000000001</v>
      </c>
      <c r="E516" s="282" t="s">
        <v>64</v>
      </c>
      <c r="F516" s="299">
        <v>1</v>
      </c>
      <c r="G516" s="299"/>
      <c r="H516" s="299"/>
      <c r="I516" s="100">
        <f t="shared" si="17"/>
        <v>0.14000000000000001</v>
      </c>
      <c r="J516" s="94"/>
      <c r="K516" s="94"/>
      <c r="L516" s="94"/>
      <c r="M516" s="94"/>
      <c r="N516" s="94"/>
      <c r="O516" s="93"/>
    </row>
    <row r="517" spans="1:27" x14ac:dyDescent="0.25">
      <c r="A517" s="282">
        <v>120</v>
      </c>
      <c r="B517" s="309" t="s">
        <v>2371</v>
      </c>
      <c r="C517" s="376" t="s">
        <v>2370</v>
      </c>
      <c r="D517" s="337">
        <v>0.13</v>
      </c>
      <c r="E517" s="309" t="s">
        <v>64</v>
      </c>
      <c r="F517" s="299">
        <v>8</v>
      </c>
      <c r="G517" s="299"/>
      <c r="H517" s="299"/>
      <c r="I517" s="100">
        <f t="shared" si="17"/>
        <v>1.04</v>
      </c>
      <c r="J517" s="94"/>
      <c r="K517" s="94"/>
      <c r="L517" s="94"/>
      <c r="M517" s="94"/>
      <c r="N517" s="94"/>
      <c r="O517" s="93"/>
    </row>
    <row r="518" spans="1:27" x14ac:dyDescent="0.25">
      <c r="A518" s="282">
        <v>130</v>
      </c>
      <c r="B518" s="309" t="s">
        <v>85</v>
      </c>
      <c r="C518" s="1407" t="s">
        <v>2369</v>
      </c>
      <c r="D518" s="337">
        <v>0.75</v>
      </c>
      <c r="E518" s="1394" t="s">
        <v>64</v>
      </c>
      <c r="F518" s="1405">
        <v>2</v>
      </c>
      <c r="G518" s="1394"/>
      <c r="H518" s="1394"/>
      <c r="I518" s="100">
        <f t="shared" si="17"/>
        <v>1.5</v>
      </c>
      <c r="J518" s="94"/>
      <c r="K518" s="94"/>
      <c r="L518" s="94"/>
      <c r="M518" s="94"/>
      <c r="N518" s="94"/>
      <c r="O518" s="93"/>
    </row>
    <row r="519" spans="1:27" x14ac:dyDescent="0.25">
      <c r="A519" s="282">
        <v>140</v>
      </c>
      <c r="B519" s="1394" t="s">
        <v>84</v>
      </c>
      <c r="C519" s="1407" t="s">
        <v>2368</v>
      </c>
      <c r="D519" s="337">
        <v>0.25</v>
      </c>
      <c r="E519" s="1394" t="s">
        <v>64</v>
      </c>
      <c r="F519" s="1405">
        <v>2</v>
      </c>
      <c r="G519" s="1394"/>
      <c r="H519" s="1394"/>
      <c r="I519" s="100">
        <f t="shared" si="17"/>
        <v>0.5</v>
      </c>
      <c r="J519" s="94"/>
      <c r="K519" s="94"/>
      <c r="L519" s="94"/>
      <c r="M519" s="94"/>
      <c r="N519" s="94"/>
      <c r="O519" s="93"/>
    </row>
    <row r="520" spans="1:27" x14ac:dyDescent="0.25">
      <c r="A520" s="282">
        <v>150</v>
      </c>
      <c r="B520" s="309" t="s">
        <v>1181</v>
      </c>
      <c r="C520" s="1406" t="s">
        <v>1180</v>
      </c>
      <c r="D520" s="337">
        <v>0.5</v>
      </c>
      <c r="E520" s="309" t="s">
        <v>64</v>
      </c>
      <c r="F520" s="1405">
        <v>8</v>
      </c>
      <c r="G520" s="1394"/>
      <c r="H520" s="1394"/>
      <c r="I520" s="100">
        <f t="shared" si="17"/>
        <v>4</v>
      </c>
      <c r="J520" s="99"/>
      <c r="K520" s="99"/>
      <c r="L520" s="99"/>
      <c r="M520" s="99"/>
      <c r="N520" s="99"/>
      <c r="O520" s="120"/>
    </row>
    <row r="521" spans="1:27" x14ac:dyDescent="0.25">
      <c r="I521" s="100">
        <f>IF(H515="",D515*F515,D515*F515*H515)</f>
        <v>2</v>
      </c>
      <c r="J521" s="99"/>
      <c r="K521" s="99"/>
      <c r="L521" s="99"/>
      <c r="M521" s="99"/>
      <c r="N521" s="99"/>
      <c r="O521" s="130"/>
    </row>
    <row r="522" spans="1:27" x14ac:dyDescent="0.25">
      <c r="A522" s="98"/>
      <c r="B522" s="95"/>
      <c r="C522" s="95"/>
      <c r="D522" s="95"/>
      <c r="E522" s="95"/>
      <c r="F522" s="95"/>
      <c r="G522" s="95"/>
      <c r="H522" s="1363" t="s">
        <v>58</v>
      </c>
      <c r="I522" s="1362">
        <f>SUM(I506:I521)</f>
        <v>15.445399999999999</v>
      </c>
      <c r="J522" s="94"/>
      <c r="K522" s="94"/>
      <c r="L522" s="94"/>
      <c r="M522" s="94"/>
      <c r="N522" s="94"/>
      <c r="O522" s="93"/>
    </row>
    <row r="523" spans="1:27" x14ac:dyDescent="0.25">
      <c r="A523" s="107"/>
      <c r="B523" s="94"/>
      <c r="C523" s="94"/>
      <c r="D523" s="94"/>
      <c r="E523" s="94"/>
      <c r="F523" s="94"/>
      <c r="G523" s="94"/>
      <c r="H523" s="94"/>
      <c r="I523" s="94"/>
      <c r="J523" s="94"/>
      <c r="K523" s="94"/>
      <c r="L523" s="94"/>
      <c r="M523" s="94"/>
      <c r="N523" s="94"/>
      <c r="O523" s="93"/>
    </row>
    <row r="524" spans="1:27" x14ac:dyDescent="0.25">
      <c r="A524" s="1404" t="s">
        <v>67</v>
      </c>
      <c r="B524" s="1404" t="s">
        <v>82</v>
      </c>
      <c r="C524" s="1404" t="s">
        <v>66</v>
      </c>
      <c r="D524" s="1404" t="s">
        <v>65</v>
      </c>
      <c r="E524" s="1404" t="s">
        <v>81</v>
      </c>
      <c r="F524" s="1404" t="s">
        <v>80</v>
      </c>
      <c r="G524" s="1404" t="s">
        <v>79</v>
      </c>
      <c r="H524" s="1404" t="s">
        <v>78</v>
      </c>
      <c r="I524" s="1403" t="s">
        <v>40</v>
      </c>
      <c r="J524" s="1367" t="s">
        <v>58</v>
      </c>
      <c r="K524" s="94"/>
      <c r="L524" s="94"/>
      <c r="M524" s="94"/>
      <c r="N524" s="94"/>
      <c r="O524" s="93"/>
    </row>
    <row r="525" spans="1:27" x14ac:dyDescent="0.25">
      <c r="A525" s="1394">
        <v>10</v>
      </c>
      <c r="B525" s="1389" t="s">
        <v>486</v>
      </c>
      <c r="C525" s="1394" t="s">
        <v>2699</v>
      </c>
      <c r="D525" s="1402">
        <f>1.25/105154*E525^2*G525*SQRT(G525)+(0.005*EXP(0.319*E525))</f>
        <v>0.12251200985657942</v>
      </c>
      <c r="E525" s="629">
        <v>6</v>
      </c>
      <c r="F525" s="535" t="s">
        <v>68</v>
      </c>
      <c r="G525" s="1394">
        <v>35</v>
      </c>
      <c r="H525" s="1396" t="s">
        <v>68</v>
      </c>
      <c r="I525" s="1395">
        <v>4</v>
      </c>
      <c r="J525" s="100">
        <f t="shared" ref="J525:J529" si="18">I525*D525</f>
        <v>0.49004803942631769</v>
      </c>
      <c r="K525" s="94"/>
      <c r="L525" s="94"/>
      <c r="M525" s="94"/>
      <c r="N525" s="94"/>
      <c r="O525" s="93"/>
    </row>
    <row r="526" spans="1:27" x14ac:dyDescent="0.25">
      <c r="A526" s="1394">
        <v>20</v>
      </c>
      <c r="B526" s="1389" t="s">
        <v>72</v>
      </c>
      <c r="C526" s="1394" t="s">
        <v>2700</v>
      </c>
      <c r="D526" s="1402">
        <f>0.8/105154*E526^2*G526*SQRT(G526)+(0.003*EXP(0.319*E526))</f>
        <v>4.4837397015100443E-2</v>
      </c>
      <c r="E526" s="629">
        <v>6</v>
      </c>
      <c r="F526" s="535" t="s">
        <v>68</v>
      </c>
      <c r="G526" s="1394">
        <v>20</v>
      </c>
      <c r="H526" s="1396" t="s">
        <v>68</v>
      </c>
      <c r="I526" s="1395">
        <v>4</v>
      </c>
      <c r="J526" s="100">
        <f t="shared" si="18"/>
        <v>0.17934958806040177</v>
      </c>
      <c r="K526" s="94"/>
      <c r="L526" s="94"/>
      <c r="M526" s="94"/>
      <c r="N526" s="94"/>
      <c r="O526" s="93"/>
      <c r="R526" s="1401"/>
      <c r="S526" s="1401"/>
      <c r="T526" s="1401"/>
      <c r="U526" s="1401"/>
      <c r="V526" s="741"/>
      <c r="W526" s="1400"/>
      <c r="X526" s="743"/>
      <c r="Y526" s="742"/>
      <c r="Z526" s="741"/>
      <c r="AA526" s="1399"/>
    </row>
    <row r="527" spans="1:27" x14ac:dyDescent="0.25">
      <c r="A527" s="1394">
        <v>30</v>
      </c>
      <c r="B527" s="1364" t="s">
        <v>74</v>
      </c>
      <c r="C527" s="299"/>
      <c r="D527" s="1398">
        <v>0.01</v>
      </c>
      <c r="E527" s="299">
        <v>6</v>
      </c>
      <c r="F527" s="1397" t="s">
        <v>68</v>
      </c>
      <c r="G527" s="1394"/>
      <c r="H527" s="1396"/>
      <c r="I527" s="1395">
        <v>12</v>
      </c>
      <c r="J527" s="100">
        <f t="shared" si="18"/>
        <v>0.12</v>
      </c>
      <c r="K527" s="94"/>
      <c r="L527" s="94"/>
      <c r="M527" s="94"/>
      <c r="N527" s="94"/>
      <c r="O527" s="93"/>
    </row>
    <row r="528" spans="1:27" x14ac:dyDescent="0.25">
      <c r="A528" s="1394">
        <v>40</v>
      </c>
      <c r="B528" s="1364" t="s">
        <v>75</v>
      </c>
      <c r="C528" s="1393" t="s">
        <v>2701</v>
      </c>
      <c r="D528" s="1392">
        <f>(0.009*EXP(0.2*E528))</f>
        <v>2.9881052304628931E-2</v>
      </c>
      <c r="E528" s="1391">
        <v>6</v>
      </c>
      <c r="F528" s="1389" t="s">
        <v>68</v>
      </c>
      <c r="G528" s="1390"/>
      <c r="H528" s="1389"/>
      <c r="I528" s="1388">
        <v>8</v>
      </c>
      <c r="J528" s="100">
        <f t="shared" si="18"/>
        <v>0.23904841843703145</v>
      </c>
      <c r="L528" s="94"/>
      <c r="M528" s="94"/>
      <c r="N528" s="94"/>
      <c r="O528" s="93"/>
    </row>
    <row r="529" spans="1:15" x14ac:dyDescent="0.25">
      <c r="A529" s="1380">
        <v>50</v>
      </c>
      <c r="B529" s="1385" t="s">
        <v>2366</v>
      </c>
      <c r="C529" s="1387"/>
      <c r="D529" s="1375">
        <f>0.02*E529^2+1.22</f>
        <v>1.94</v>
      </c>
      <c r="E529" s="1374">
        <v>6</v>
      </c>
      <c r="F529" s="1386" t="s">
        <v>68</v>
      </c>
      <c r="G529" s="1385"/>
      <c r="H529" s="1385"/>
      <c r="I529" s="1384">
        <v>4</v>
      </c>
      <c r="J529" s="100">
        <f t="shared" si="18"/>
        <v>7.76</v>
      </c>
      <c r="K529" s="94"/>
      <c r="L529" s="94"/>
      <c r="M529" s="94"/>
      <c r="N529" s="94"/>
      <c r="O529" s="93"/>
    </row>
    <row r="530" spans="1:15" x14ac:dyDescent="0.25">
      <c r="A530" s="98"/>
      <c r="B530" s="95"/>
      <c r="C530" s="95"/>
      <c r="D530" s="95"/>
      <c r="E530" s="95"/>
      <c r="F530" s="95"/>
      <c r="G530" s="95"/>
      <c r="H530" s="95"/>
      <c r="I530" s="1383" t="s">
        <v>58</v>
      </c>
      <c r="J530" s="1382">
        <f>SUM(J525:J529)</f>
        <v>8.7884460459237506</v>
      </c>
      <c r="K530" s="94"/>
      <c r="L530" s="94"/>
      <c r="M530" s="94"/>
      <c r="N530" s="94"/>
      <c r="O530" s="93"/>
    </row>
    <row r="531" spans="1:15" x14ac:dyDescent="0.25">
      <c r="A531" s="107"/>
      <c r="B531" s="94"/>
      <c r="C531" s="94"/>
      <c r="D531" s="94"/>
      <c r="E531" s="94"/>
      <c r="F531" s="94"/>
      <c r="G531" s="94"/>
      <c r="H531" s="94"/>
      <c r="I531" s="94"/>
      <c r="J531" s="94"/>
      <c r="K531" s="94"/>
      <c r="L531" s="94"/>
      <c r="M531" s="94"/>
      <c r="N531" s="94"/>
      <c r="O531" s="93"/>
    </row>
    <row r="532" spans="1:15" x14ac:dyDescent="0.25">
      <c r="A532" s="1367" t="s">
        <v>67</v>
      </c>
      <c r="B532" s="1367" t="s">
        <v>13</v>
      </c>
      <c r="C532" s="1367" t="s">
        <v>66</v>
      </c>
      <c r="D532" s="1367" t="s">
        <v>65</v>
      </c>
      <c r="E532" s="1367" t="s">
        <v>64</v>
      </c>
      <c r="F532" s="1367" t="s">
        <v>40</v>
      </c>
      <c r="G532" s="1367" t="s">
        <v>63</v>
      </c>
      <c r="H532" s="1367" t="s">
        <v>62</v>
      </c>
      <c r="I532" s="1367" t="s">
        <v>58</v>
      </c>
      <c r="J532" s="95"/>
      <c r="K532" s="94"/>
      <c r="L532" s="94"/>
      <c r="M532" s="94"/>
      <c r="N532" s="94"/>
      <c r="O532" s="93"/>
    </row>
    <row r="533" spans="1:15" x14ac:dyDescent="0.25">
      <c r="A533" s="1380">
        <v>10</v>
      </c>
      <c r="B533" s="1380" t="s">
        <v>61</v>
      </c>
      <c r="C533" s="1380" t="s">
        <v>2365</v>
      </c>
      <c r="D533" s="1375">
        <v>500</v>
      </c>
      <c r="E533" s="1380" t="s">
        <v>59</v>
      </c>
      <c r="F533" s="1380">
        <v>4</v>
      </c>
      <c r="G533" s="1380">
        <v>3000</v>
      </c>
      <c r="H533" s="1380">
        <v>1</v>
      </c>
      <c r="I533" s="100">
        <f>D533*F533/G533*H533</f>
        <v>0.66666666666666663</v>
      </c>
      <c r="J533" s="95"/>
      <c r="K533" s="94"/>
      <c r="L533" s="94"/>
      <c r="M533" s="94"/>
      <c r="N533" s="94"/>
      <c r="O533" s="93"/>
    </row>
    <row r="534" spans="1:15" ht="32.25" customHeight="1" x14ac:dyDescent="0.25">
      <c r="A534" s="1380">
        <v>20</v>
      </c>
      <c r="B534" s="1380" t="s">
        <v>61</v>
      </c>
      <c r="C534" s="1381" t="s">
        <v>2364</v>
      </c>
      <c r="D534" s="1375">
        <v>500</v>
      </c>
      <c r="E534" s="1380" t="s">
        <v>59</v>
      </c>
      <c r="F534" s="1380">
        <v>8</v>
      </c>
      <c r="G534" s="1380">
        <v>3000</v>
      </c>
      <c r="H534" s="1380">
        <v>1</v>
      </c>
      <c r="I534" s="100">
        <f>D534*F534/G534*H534</f>
        <v>1.3333333333333333</v>
      </c>
      <c r="J534" s="99"/>
      <c r="K534" s="94"/>
      <c r="L534" s="94"/>
      <c r="M534" s="94"/>
      <c r="N534" s="94"/>
      <c r="O534" s="93"/>
    </row>
    <row r="535" spans="1:15" x14ac:dyDescent="0.25">
      <c r="A535" s="98"/>
      <c r="B535" s="95"/>
      <c r="C535" s="95"/>
      <c r="D535" s="95"/>
      <c r="E535" s="95"/>
      <c r="F535" s="95"/>
      <c r="G535" s="95"/>
      <c r="H535" s="1363" t="s">
        <v>58</v>
      </c>
      <c r="I535" s="1362">
        <f>SUM(I533:I534)</f>
        <v>2</v>
      </c>
      <c r="J535" s="95"/>
      <c r="K535" s="94"/>
      <c r="L535" s="94"/>
      <c r="M535" s="94"/>
      <c r="N535" s="94"/>
      <c r="O535" s="93"/>
    </row>
    <row r="536" spans="1:15" ht="15.75" thickBot="1" x14ac:dyDescent="0.3">
      <c r="A536" s="92"/>
      <c r="B536" s="91"/>
      <c r="C536" s="91"/>
      <c r="D536" s="91"/>
      <c r="E536" s="91"/>
      <c r="F536" s="91"/>
      <c r="G536" s="91"/>
      <c r="H536" s="91"/>
      <c r="I536" s="91"/>
      <c r="J536" s="91"/>
      <c r="K536" s="91"/>
      <c r="L536" s="91"/>
      <c r="M536" s="91"/>
      <c r="N536" s="91"/>
      <c r="O536" s="90"/>
    </row>
    <row r="537" spans="1:15" ht="15.75" thickBot="1" x14ac:dyDescent="0.3">
      <c r="O537" s="1229"/>
    </row>
    <row r="538" spans="1:15" x14ac:dyDescent="0.25">
      <c r="A538" s="141"/>
      <c r="B538" s="140"/>
      <c r="C538" s="140"/>
      <c r="D538" s="140"/>
      <c r="E538" s="140"/>
      <c r="F538" s="140"/>
      <c r="G538" s="140"/>
      <c r="H538" s="140"/>
      <c r="I538" s="140"/>
      <c r="J538" s="140"/>
      <c r="K538" s="140"/>
      <c r="L538" s="140"/>
      <c r="M538" s="140"/>
      <c r="N538" s="140"/>
      <c r="O538" s="93"/>
    </row>
    <row r="539" spans="1:15" x14ac:dyDescent="0.25">
      <c r="A539" s="1367" t="s">
        <v>57</v>
      </c>
      <c r="B539" s="133" t="s">
        <v>127</v>
      </c>
      <c r="C539" s="94"/>
      <c r="D539" s="94"/>
      <c r="E539" s="94"/>
      <c r="F539" s="94"/>
      <c r="G539" s="94"/>
      <c r="H539" s="94"/>
      <c r="I539" s="94"/>
      <c r="J539" s="1367" t="s">
        <v>51</v>
      </c>
      <c r="K539" s="138">
        <v>81</v>
      </c>
      <c r="L539" s="94"/>
      <c r="M539" s="1367" t="s">
        <v>126</v>
      </c>
      <c r="N539" s="137">
        <f>E553+SU_A0011_f+SU_A0011_p</f>
        <v>60.775828099276083</v>
      </c>
      <c r="O539" s="93"/>
    </row>
    <row r="540" spans="1:15" x14ac:dyDescent="0.25">
      <c r="A540" s="1367" t="s">
        <v>125</v>
      </c>
      <c r="B540" s="133" t="s">
        <v>5</v>
      </c>
      <c r="C540" s="94"/>
      <c r="D540" s="94"/>
      <c r="E540" s="94"/>
      <c r="F540" s="94"/>
      <c r="G540" s="94"/>
      <c r="H540" s="94"/>
      <c r="I540" s="94"/>
      <c r="J540" s="94"/>
      <c r="K540" s="94"/>
      <c r="L540" s="94"/>
      <c r="M540" s="1367" t="s">
        <v>124</v>
      </c>
      <c r="N540" s="136">
        <v>2</v>
      </c>
      <c r="O540" s="93"/>
    </row>
    <row r="541" spans="1:15" x14ac:dyDescent="0.25">
      <c r="A541" s="1367" t="s">
        <v>123</v>
      </c>
      <c r="B541" s="99" t="s">
        <v>2363</v>
      </c>
      <c r="C541" s="94"/>
      <c r="D541" s="94"/>
      <c r="E541" s="94"/>
      <c r="F541" s="94"/>
      <c r="G541" s="94"/>
      <c r="H541" s="94"/>
      <c r="I541" s="94"/>
      <c r="J541" s="1373" t="s">
        <v>122</v>
      </c>
      <c r="K541" s="94"/>
      <c r="L541" s="94"/>
      <c r="M541" s="94"/>
      <c r="N541" s="94"/>
      <c r="O541" s="93"/>
    </row>
    <row r="542" spans="1:15" x14ac:dyDescent="0.25">
      <c r="A542" s="1367" t="s">
        <v>121</v>
      </c>
      <c r="B542" s="135" t="s">
        <v>2362</v>
      </c>
      <c r="C542" s="94"/>
      <c r="D542" s="94"/>
      <c r="E542" s="94"/>
      <c r="F542" s="94"/>
      <c r="G542" s="94"/>
      <c r="H542" s="94"/>
      <c r="I542" s="94"/>
      <c r="J542" s="1373" t="s">
        <v>119</v>
      </c>
      <c r="K542" s="94"/>
      <c r="L542" s="94"/>
      <c r="M542" s="1367" t="s">
        <v>118</v>
      </c>
      <c r="N542" s="100">
        <f>N539*N540</f>
        <v>121.55165619855217</v>
      </c>
      <c r="O542" s="93"/>
    </row>
    <row r="543" spans="1:15" x14ac:dyDescent="0.25">
      <c r="A543" s="1367" t="s">
        <v>117</v>
      </c>
      <c r="B543" s="133" t="s">
        <v>23</v>
      </c>
      <c r="C543" s="94"/>
      <c r="D543" s="94"/>
      <c r="E543" s="94"/>
      <c r="F543" s="94"/>
      <c r="G543" s="94"/>
      <c r="H543" s="94"/>
      <c r="I543" s="94"/>
      <c r="J543" s="1373" t="s">
        <v>116</v>
      </c>
      <c r="K543" s="94"/>
      <c r="L543" s="94"/>
      <c r="M543" s="94"/>
      <c r="N543" s="94"/>
      <c r="O543" s="93"/>
    </row>
    <row r="544" spans="1:15" x14ac:dyDescent="0.25">
      <c r="A544" s="1367" t="s">
        <v>115</v>
      </c>
      <c r="B544" s="133"/>
      <c r="C544" s="94"/>
      <c r="D544" s="94"/>
      <c r="E544" s="94"/>
      <c r="F544" s="94"/>
      <c r="G544" s="94"/>
      <c r="H544" s="94"/>
      <c r="I544" s="94"/>
      <c r="J544" s="94"/>
      <c r="K544" s="94"/>
      <c r="L544" s="94"/>
      <c r="M544" s="94"/>
      <c r="N544" s="94"/>
      <c r="O544" s="93"/>
    </row>
    <row r="545" spans="1:15" x14ac:dyDescent="0.25">
      <c r="A545" s="107"/>
      <c r="B545" s="94"/>
      <c r="C545" s="94"/>
      <c r="D545" s="94"/>
      <c r="E545" s="94"/>
      <c r="F545" s="94"/>
      <c r="G545" s="94"/>
      <c r="H545" s="94"/>
      <c r="I545" s="94"/>
      <c r="J545" s="94"/>
      <c r="K545" s="94"/>
      <c r="L545" s="94"/>
      <c r="M545" s="94"/>
      <c r="N545" s="94"/>
      <c r="O545" s="93"/>
    </row>
    <row r="546" spans="1:15" x14ac:dyDescent="0.25">
      <c r="A546" s="1367" t="s">
        <v>67</v>
      </c>
      <c r="B546" s="1367" t="s">
        <v>114</v>
      </c>
      <c r="C546" s="1367" t="s">
        <v>113</v>
      </c>
      <c r="D546" s="1367" t="s">
        <v>40</v>
      </c>
      <c r="E546" s="1367" t="s">
        <v>58</v>
      </c>
      <c r="F546" s="94"/>
      <c r="G546" s="94"/>
      <c r="H546" s="94"/>
      <c r="I546" s="94"/>
      <c r="J546" s="94"/>
      <c r="K546" s="94"/>
      <c r="L546" s="94"/>
      <c r="M546" s="94"/>
      <c r="N546" s="94"/>
      <c r="O546" s="93"/>
    </row>
    <row r="547" spans="1:15" x14ac:dyDescent="0.25">
      <c r="A547" s="129">
        <v>10</v>
      </c>
      <c r="B547" s="132" t="str">
        <f>'SU Parts'!B1335</f>
        <v>Front upright</v>
      </c>
      <c r="C547" s="100">
        <f>'SU Parts'!N1332</f>
        <v>27.812275200000002</v>
      </c>
      <c r="D547" s="127">
        <f>SU_11001_q</f>
        <v>1</v>
      </c>
      <c r="E547" s="100">
        <f t="shared" ref="E547:E552" si="19">C547*D547</f>
        <v>27.812275200000002</v>
      </c>
      <c r="F547" s="94"/>
      <c r="G547" s="94"/>
      <c r="H547" s="94"/>
      <c r="I547" s="94"/>
      <c r="J547" s="94"/>
      <c r="K547" s="94"/>
      <c r="L547" s="94"/>
      <c r="M547" s="94"/>
      <c r="N547" s="94"/>
      <c r="O547" s="93"/>
    </row>
    <row r="548" spans="1:15" x14ac:dyDescent="0.25">
      <c r="A548" s="129">
        <v>20</v>
      </c>
      <c r="B548" s="132" t="str">
        <f>'SU Parts'!B1359</f>
        <v>Steering tab</v>
      </c>
      <c r="C548" s="100">
        <f>'SU Parts'!N1356</f>
        <v>5.0546223999999995</v>
      </c>
      <c r="D548" s="127">
        <f>SU_11002_q</f>
        <v>1</v>
      </c>
      <c r="E548" s="100">
        <f t="shared" si="19"/>
        <v>5.0546223999999995</v>
      </c>
      <c r="F548" s="99"/>
      <c r="G548" s="99"/>
      <c r="H548" s="99"/>
      <c r="I548" s="99"/>
      <c r="J548" s="99"/>
      <c r="K548" s="99"/>
      <c r="L548" s="99"/>
      <c r="M548" s="99"/>
      <c r="N548" s="99"/>
      <c r="O548" s="93"/>
    </row>
    <row r="549" spans="1:15" x14ac:dyDescent="0.25">
      <c r="A549" s="129">
        <v>30</v>
      </c>
      <c r="B549" s="132" t="str">
        <f>'SU Parts'!B1383</f>
        <v>Upper tab</v>
      </c>
      <c r="C549" s="100">
        <f>'SU Parts'!N1380</f>
        <v>3.2352644000000002</v>
      </c>
      <c r="D549" s="129">
        <f>SU_11003_q</f>
        <v>1</v>
      </c>
      <c r="E549" s="100">
        <f t="shared" si="19"/>
        <v>3.2352644000000002</v>
      </c>
      <c r="F549" s="99"/>
      <c r="G549" s="99"/>
      <c r="H549" s="99"/>
      <c r="I549" s="99"/>
      <c r="J549" s="99"/>
      <c r="K549" s="99"/>
      <c r="L549" s="99"/>
      <c r="M549" s="99"/>
      <c r="N549" s="99"/>
      <c r="O549" s="131"/>
    </row>
    <row r="550" spans="1:15" x14ac:dyDescent="0.25">
      <c r="A550" s="129">
        <v>40</v>
      </c>
      <c r="B550" s="132" t="str">
        <f>'SU Parts'!B1405</f>
        <v>Camber adjustment shims</v>
      </c>
      <c r="C550" s="100">
        <f>'SU Parts'!N1402</f>
        <v>1.699657</v>
      </c>
      <c r="D550" s="129">
        <f>SU_11004_q</f>
        <v>1</v>
      </c>
      <c r="E550" s="100">
        <f t="shared" si="19"/>
        <v>1.699657</v>
      </c>
      <c r="F550" s="99"/>
      <c r="G550" s="99"/>
      <c r="H550" s="99"/>
      <c r="I550" s="99"/>
      <c r="J550" s="99"/>
      <c r="K550" s="99"/>
      <c r="L550" s="99"/>
      <c r="M550" s="99"/>
      <c r="N550" s="99"/>
      <c r="O550" s="131"/>
    </row>
    <row r="551" spans="1:15" x14ac:dyDescent="0.25">
      <c r="A551" s="129">
        <v>50</v>
      </c>
      <c r="B551" s="128" t="str">
        <f>'SU Parts'!B1425</f>
        <v>Lower spacer</v>
      </c>
      <c r="C551" s="100">
        <f>'SU Parts'!N1422</f>
        <v>1.342501421761888</v>
      </c>
      <c r="D551" s="100">
        <f>SU_11005_q</f>
        <v>2</v>
      </c>
      <c r="E551" s="100">
        <f t="shared" si="19"/>
        <v>2.6850028435237761</v>
      </c>
      <c r="F551" s="99"/>
      <c r="G551" s="99"/>
      <c r="H551" s="99"/>
      <c r="I551" s="99"/>
      <c r="J551" s="99"/>
      <c r="K551" s="99"/>
      <c r="L551" s="99"/>
      <c r="M551" s="99"/>
      <c r="N551" s="99"/>
      <c r="O551" s="130"/>
    </row>
    <row r="552" spans="1:15" x14ac:dyDescent="0.25">
      <c r="A552" s="129">
        <v>60</v>
      </c>
      <c r="B552" s="128" t="str">
        <f>'SU Parts'!B1445</f>
        <v>Upper spacer</v>
      </c>
      <c r="C552" s="100">
        <f>'SU Parts'!N1442</f>
        <v>1.3895031278761534</v>
      </c>
      <c r="D552" s="100">
        <f>SU_11006_q</f>
        <v>2</v>
      </c>
      <c r="E552" s="100">
        <f t="shared" si="19"/>
        <v>2.7790062557523068</v>
      </c>
      <c r="F552" s="94"/>
      <c r="G552" s="94"/>
      <c r="H552" s="94"/>
      <c r="I552" s="94"/>
      <c r="J552" s="94"/>
      <c r="K552" s="94"/>
      <c r="L552" s="94"/>
      <c r="M552" s="94"/>
      <c r="N552" s="94"/>
      <c r="O552" s="93"/>
    </row>
    <row r="553" spans="1:15" x14ac:dyDescent="0.25">
      <c r="A553" s="107"/>
      <c r="B553" s="94"/>
      <c r="C553" s="94"/>
      <c r="D553" s="1363" t="s">
        <v>58</v>
      </c>
      <c r="E553" s="1362">
        <f>SUM(E547:E552)</f>
        <v>43.265828099276085</v>
      </c>
      <c r="F553" s="99"/>
      <c r="G553" s="99"/>
      <c r="H553" s="99"/>
      <c r="I553" s="99"/>
      <c r="J553" s="99"/>
      <c r="K553" s="99"/>
      <c r="L553" s="99"/>
      <c r="M553" s="99"/>
      <c r="N553" s="99"/>
      <c r="O553" s="93"/>
    </row>
    <row r="554" spans="1:15" x14ac:dyDescent="0.25">
      <c r="A554" s="107"/>
      <c r="B554" s="94"/>
      <c r="C554" s="94"/>
      <c r="D554" s="94"/>
      <c r="E554" s="94"/>
      <c r="F554" s="94"/>
      <c r="G554" s="94"/>
      <c r="H554" s="94"/>
      <c r="I554" s="94"/>
      <c r="J554" s="94"/>
      <c r="K554" s="94"/>
      <c r="L554" s="94"/>
      <c r="M554" s="94"/>
      <c r="N554" s="94"/>
      <c r="O554" s="93"/>
    </row>
    <row r="555" spans="1:15" x14ac:dyDescent="0.25">
      <c r="A555" s="107"/>
      <c r="B555" s="94"/>
      <c r="C555" s="94"/>
      <c r="D555" s="94"/>
      <c r="E555" s="94"/>
      <c r="F555" s="94"/>
      <c r="G555" s="94"/>
      <c r="H555" s="94"/>
      <c r="I555" s="94"/>
      <c r="J555" s="94"/>
      <c r="K555" s="94"/>
      <c r="L555" s="94"/>
      <c r="M555" s="94"/>
      <c r="N555" s="94"/>
      <c r="O555" s="93"/>
    </row>
    <row r="556" spans="1:15" x14ac:dyDescent="0.25">
      <c r="A556" s="1367" t="s">
        <v>67</v>
      </c>
      <c r="B556" s="1367" t="s">
        <v>106</v>
      </c>
      <c r="C556" s="1367" t="s">
        <v>66</v>
      </c>
      <c r="D556" s="1367" t="s">
        <v>65</v>
      </c>
      <c r="E556" s="1367" t="s">
        <v>64</v>
      </c>
      <c r="F556" s="1367" t="s">
        <v>40</v>
      </c>
      <c r="G556" s="1367" t="s">
        <v>105</v>
      </c>
      <c r="H556" s="1367" t="s">
        <v>104</v>
      </c>
      <c r="I556" s="1367" t="s">
        <v>58</v>
      </c>
      <c r="J556" s="95"/>
      <c r="K556" s="95"/>
      <c r="L556" s="95"/>
      <c r="M556" s="95"/>
      <c r="N556" s="95"/>
      <c r="O556" s="120"/>
    </row>
    <row r="557" spans="1:15" x14ac:dyDescent="0.25">
      <c r="A557" s="1374">
        <v>10</v>
      </c>
      <c r="B557" s="1377" t="s">
        <v>100</v>
      </c>
      <c r="C557" s="1378" t="s">
        <v>2354</v>
      </c>
      <c r="D557" s="1375">
        <v>0.56000000000000005</v>
      </c>
      <c r="E557" s="1374" t="s">
        <v>64</v>
      </c>
      <c r="F557" s="1374">
        <v>1</v>
      </c>
      <c r="G557" s="1374"/>
      <c r="H557" s="1374">
        <v>1</v>
      </c>
      <c r="I557" s="100">
        <f t="shared" ref="I557:I569" si="20">IF(H557="",D557*F557,D557*F557*H557)</f>
        <v>0.56000000000000005</v>
      </c>
      <c r="J557" s="94"/>
      <c r="K557" s="94"/>
      <c r="L557" s="94"/>
      <c r="M557" s="94"/>
      <c r="N557" s="94"/>
      <c r="O557" s="93"/>
    </row>
    <row r="558" spans="1:15" x14ac:dyDescent="0.25">
      <c r="A558" s="1374">
        <v>20</v>
      </c>
      <c r="B558" s="1377" t="s">
        <v>145</v>
      </c>
      <c r="C558" s="1378" t="s">
        <v>2361</v>
      </c>
      <c r="D558" s="1375">
        <v>0.13</v>
      </c>
      <c r="E558" s="1374" t="s">
        <v>64</v>
      </c>
      <c r="F558" s="1374">
        <v>1</v>
      </c>
      <c r="G558" s="1374"/>
      <c r="H558" s="1374">
        <v>1</v>
      </c>
      <c r="I558" s="100">
        <f t="shared" si="20"/>
        <v>0.13</v>
      </c>
      <c r="J558" s="94"/>
      <c r="K558" s="94"/>
      <c r="L558" s="94"/>
      <c r="M558" s="94"/>
      <c r="N558" s="94"/>
      <c r="O558" s="93"/>
    </row>
    <row r="559" spans="1:15" x14ac:dyDescent="0.25">
      <c r="A559" s="1374">
        <v>30</v>
      </c>
      <c r="B559" s="1377" t="s">
        <v>85</v>
      </c>
      <c r="C559" s="1378" t="s">
        <v>2360</v>
      </c>
      <c r="D559" s="1375">
        <v>0.75</v>
      </c>
      <c r="E559" s="1374" t="s">
        <v>64</v>
      </c>
      <c r="F559" s="1374">
        <v>2</v>
      </c>
      <c r="G559" s="1374"/>
      <c r="H559" s="1374">
        <v>1</v>
      </c>
      <c r="I559" s="100">
        <f t="shared" si="20"/>
        <v>1.5</v>
      </c>
      <c r="J559" s="94"/>
      <c r="K559" s="94"/>
      <c r="L559" s="94"/>
      <c r="M559" s="94"/>
      <c r="N559" s="94"/>
      <c r="O559" s="93"/>
    </row>
    <row r="560" spans="1:15" x14ac:dyDescent="0.25">
      <c r="A560" s="1374">
        <v>40</v>
      </c>
      <c r="B560" s="1370" t="s">
        <v>84</v>
      </c>
      <c r="C560" s="1378" t="s">
        <v>2360</v>
      </c>
      <c r="D560" s="1375">
        <v>0.25</v>
      </c>
      <c r="E560" s="1374" t="s">
        <v>64</v>
      </c>
      <c r="F560" s="1374">
        <v>2</v>
      </c>
      <c r="G560" s="1374"/>
      <c r="H560" s="1374">
        <v>1</v>
      </c>
      <c r="I560" s="100">
        <f t="shared" si="20"/>
        <v>0.5</v>
      </c>
      <c r="J560" s="94"/>
      <c r="K560" s="94"/>
      <c r="L560" s="94"/>
      <c r="M560" s="94"/>
      <c r="N560" s="94"/>
      <c r="O560" s="93"/>
    </row>
    <row r="561" spans="1:15" x14ac:dyDescent="0.25">
      <c r="A561" s="1374">
        <v>50</v>
      </c>
      <c r="B561" s="1377" t="s">
        <v>145</v>
      </c>
      <c r="C561" s="1379" t="s">
        <v>2353</v>
      </c>
      <c r="D561" s="1375">
        <v>0.13</v>
      </c>
      <c r="E561" s="1374" t="s">
        <v>64</v>
      </c>
      <c r="F561" s="1374">
        <v>1</v>
      </c>
      <c r="G561" s="1374"/>
      <c r="H561" s="1374">
        <v>1</v>
      </c>
      <c r="I561" s="100">
        <f t="shared" si="20"/>
        <v>0.13</v>
      </c>
      <c r="J561" s="94"/>
      <c r="K561" s="94"/>
      <c r="L561" s="94"/>
      <c r="M561" s="94"/>
      <c r="N561" s="94"/>
      <c r="O561" s="93"/>
    </row>
    <row r="562" spans="1:15" x14ac:dyDescent="0.25">
      <c r="A562" s="1374">
        <v>60</v>
      </c>
      <c r="B562" s="1371" t="s">
        <v>145</v>
      </c>
      <c r="C562" s="1374" t="s">
        <v>2352</v>
      </c>
      <c r="D562" s="1375">
        <v>0.13</v>
      </c>
      <c r="E562" s="1374" t="s">
        <v>64</v>
      </c>
      <c r="F562" s="1374">
        <v>1</v>
      </c>
      <c r="G562" s="1374"/>
      <c r="H562" s="1374">
        <v>1</v>
      </c>
      <c r="I562" s="100">
        <f t="shared" si="20"/>
        <v>0.13</v>
      </c>
      <c r="J562" s="94"/>
      <c r="K562" s="94"/>
      <c r="L562" s="94"/>
      <c r="M562" s="94"/>
      <c r="N562" s="94"/>
      <c r="O562" s="93"/>
    </row>
    <row r="563" spans="1:15" x14ac:dyDescent="0.25">
      <c r="A563" s="1374">
        <v>70</v>
      </c>
      <c r="B563" s="1377" t="s">
        <v>85</v>
      </c>
      <c r="C563" s="1378" t="s">
        <v>2351</v>
      </c>
      <c r="D563" s="1375">
        <v>0.75</v>
      </c>
      <c r="E563" s="1374" t="s">
        <v>64</v>
      </c>
      <c r="F563" s="1374">
        <v>2</v>
      </c>
      <c r="G563" s="1374"/>
      <c r="H563" s="1374">
        <v>1</v>
      </c>
      <c r="I563" s="100">
        <f t="shared" si="20"/>
        <v>1.5</v>
      </c>
      <c r="J563" s="94"/>
      <c r="K563" s="94"/>
      <c r="L563" s="94"/>
      <c r="M563" s="94"/>
      <c r="N563" s="94"/>
      <c r="O563" s="93"/>
    </row>
    <row r="564" spans="1:15" x14ac:dyDescent="0.25">
      <c r="A564" s="1374">
        <v>80</v>
      </c>
      <c r="B564" s="1370" t="s">
        <v>84</v>
      </c>
      <c r="C564" s="1378" t="s">
        <v>2351</v>
      </c>
      <c r="D564" s="1375">
        <v>0.25</v>
      </c>
      <c r="E564" s="1374" t="s">
        <v>64</v>
      </c>
      <c r="F564" s="1374">
        <v>2</v>
      </c>
      <c r="G564" s="1374"/>
      <c r="H564" s="1374">
        <v>1</v>
      </c>
      <c r="I564" s="100">
        <f t="shared" si="20"/>
        <v>0.5</v>
      </c>
      <c r="J564" s="94"/>
      <c r="K564" s="94"/>
      <c r="L564" s="94"/>
      <c r="M564" s="94"/>
      <c r="N564" s="94"/>
      <c r="O564" s="93"/>
    </row>
    <row r="565" spans="1:15" x14ac:dyDescent="0.25">
      <c r="A565" s="1374">
        <v>90</v>
      </c>
      <c r="B565" s="1377" t="s">
        <v>87</v>
      </c>
      <c r="C565" s="1376" t="s">
        <v>2350</v>
      </c>
      <c r="D565" s="1375">
        <v>0.06</v>
      </c>
      <c r="E565" s="1374" t="s">
        <v>64</v>
      </c>
      <c r="F565" s="1374">
        <v>4</v>
      </c>
      <c r="G565" s="1374"/>
      <c r="H565" s="1374">
        <v>1</v>
      </c>
      <c r="I565" s="100">
        <f t="shared" si="20"/>
        <v>0.24</v>
      </c>
      <c r="J565" s="94"/>
      <c r="K565" s="94"/>
      <c r="L565" s="94"/>
      <c r="M565" s="94"/>
      <c r="N565" s="94"/>
      <c r="O565" s="93"/>
    </row>
    <row r="566" spans="1:15" x14ac:dyDescent="0.25">
      <c r="A566" s="1374">
        <v>100</v>
      </c>
      <c r="B566" s="1369" t="s">
        <v>92</v>
      </c>
      <c r="C566" s="285" t="s">
        <v>2349</v>
      </c>
      <c r="D566" s="283">
        <v>0.63</v>
      </c>
      <c r="E566" s="282" t="s">
        <v>64</v>
      </c>
      <c r="F566" s="282">
        <v>1</v>
      </c>
      <c r="G566" s="282"/>
      <c r="H566" s="282">
        <v>1</v>
      </c>
      <c r="I566" s="100">
        <f t="shared" si="20"/>
        <v>0.63</v>
      </c>
      <c r="J566" s="94"/>
      <c r="K566" s="94"/>
      <c r="L566" s="94"/>
      <c r="M566" s="94"/>
      <c r="N566" s="94"/>
      <c r="O566" s="93"/>
    </row>
    <row r="567" spans="1:15" x14ac:dyDescent="0.25">
      <c r="A567" s="1374">
        <v>110</v>
      </c>
      <c r="B567" s="309" t="s">
        <v>85</v>
      </c>
      <c r="C567" s="285" t="s">
        <v>2348</v>
      </c>
      <c r="D567" s="283">
        <v>0.75</v>
      </c>
      <c r="E567" s="282" t="s">
        <v>64</v>
      </c>
      <c r="F567" s="282">
        <v>2</v>
      </c>
      <c r="G567" s="282"/>
      <c r="H567" s="282">
        <v>1</v>
      </c>
      <c r="I567" s="100">
        <f t="shared" si="20"/>
        <v>1.5</v>
      </c>
      <c r="J567" s="94"/>
      <c r="K567" s="94"/>
      <c r="L567" s="94"/>
      <c r="M567" s="94"/>
      <c r="N567" s="94"/>
      <c r="O567" s="93"/>
    </row>
    <row r="568" spans="1:15" x14ac:dyDescent="0.25">
      <c r="A568" s="1374">
        <v>120</v>
      </c>
      <c r="B568" s="1537" t="s">
        <v>84</v>
      </c>
      <c r="C568" s="1636" t="s">
        <v>2348</v>
      </c>
      <c r="D568" s="1637">
        <v>0.25</v>
      </c>
      <c r="E568" s="1427" t="s">
        <v>64</v>
      </c>
      <c r="F568" s="1427">
        <v>2</v>
      </c>
      <c r="G568" s="1427"/>
      <c r="H568" s="1427">
        <v>1</v>
      </c>
      <c r="I568" s="220">
        <f t="shared" si="20"/>
        <v>0.5</v>
      </c>
      <c r="J568" s="94"/>
      <c r="K568" s="94"/>
      <c r="L568" s="94"/>
      <c r="M568" s="94"/>
      <c r="N568" s="94"/>
      <c r="O568" s="93"/>
    </row>
    <row r="569" spans="1:15" ht="30" x14ac:dyDescent="0.25">
      <c r="A569" s="1374">
        <v>130</v>
      </c>
      <c r="B569" s="1548" t="s">
        <v>2690</v>
      </c>
      <c r="C569" s="1463" t="s">
        <v>2691</v>
      </c>
      <c r="D569" s="1459">
        <v>8.75</v>
      </c>
      <c r="E569" s="1458" t="s">
        <v>64</v>
      </c>
      <c r="F569" s="1458">
        <v>1</v>
      </c>
      <c r="G569" s="1458"/>
      <c r="H569" s="1458">
        <v>1</v>
      </c>
      <c r="I569" s="1468">
        <f t="shared" si="20"/>
        <v>8.75</v>
      </c>
      <c r="J569" s="94"/>
      <c r="K569" s="94"/>
      <c r="L569" s="94"/>
      <c r="M569" s="94"/>
      <c r="N569" s="94"/>
      <c r="O569" s="93"/>
    </row>
    <row r="570" spans="1:15" x14ac:dyDescent="0.25">
      <c r="A570" s="98"/>
      <c r="B570" s="95"/>
      <c r="C570" s="95"/>
      <c r="D570" s="95"/>
      <c r="E570" s="95"/>
      <c r="F570" s="95"/>
      <c r="G570" s="95"/>
      <c r="H570" s="1429" t="s">
        <v>58</v>
      </c>
      <c r="I570" s="1428">
        <f>SUM(I557:I569)</f>
        <v>16.57</v>
      </c>
      <c r="J570" s="94"/>
      <c r="K570" s="94"/>
      <c r="L570" s="94"/>
      <c r="M570" s="94"/>
      <c r="N570" s="94"/>
      <c r="O570" s="93"/>
    </row>
    <row r="571" spans="1:15" x14ac:dyDescent="0.25">
      <c r="A571" s="107"/>
      <c r="B571" s="94"/>
      <c r="C571" s="94"/>
      <c r="D571" s="94"/>
      <c r="E571" s="94"/>
      <c r="F571" s="94"/>
      <c r="G571" s="94"/>
      <c r="H571" s="94"/>
      <c r="I571" s="94"/>
      <c r="J571" s="94"/>
      <c r="K571" s="94"/>
      <c r="L571" s="94"/>
      <c r="M571" s="94"/>
      <c r="N571" s="94"/>
      <c r="O571" s="93"/>
    </row>
    <row r="572" spans="1:15" x14ac:dyDescent="0.25">
      <c r="A572" s="1367" t="s">
        <v>67</v>
      </c>
      <c r="B572" s="1367" t="s">
        <v>82</v>
      </c>
      <c r="C572" s="1367" t="s">
        <v>66</v>
      </c>
      <c r="D572" s="1367" t="s">
        <v>65</v>
      </c>
      <c r="E572" s="1367" t="s">
        <v>81</v>
      </c>
      <c r="F572" s="1367" t="s">
        <v>80</v>
      </c>
      <c r="G572" s="1367" t="s">
        <v>79</v>
      </c>
      <c r="H572" s="1367" t="s">
        <v>78</v>
      </c>
      <c r="I572" s="1367" t="s">
        <v>40</v>
      </c>
      <c r="J572" s="1367" t="s">
        <v>58</v>
      </c>
      <c r="K572" s="94"/>
      <c r="L572" s="94"/>
      <c r="M572" s="94"/>
      <c r="N572" s="94"/>
      <c r="O572" s="93"/>
    </row>
    <row r="573" spans="1:15" x14ac:dyDescent="0.25">
      <c r="A573" s="282">
        <v>10</v>
      </c>
      <c r="B573" s="338" t="s">
        <v>72</v>
      </c>
      <c r="C573" s="282" t="s">
        <v>2347</v>
      </c>
      <c r="D573" s="283">
        <v>0.12</v>
      </c>
      <c r="E573" s="282">
        <v>6</v>
      </c>
      <c r="F573" s="374" t="s">
        <v>68</v>
      </c>
      <c r="G573" s="282">
        <v>50</v>
      </c>
      <c r="H573" s="285" t="s">
        <v>68</v>
      </c>
      <c r="I573" s="373">
        <v>2</v>
      </c>
      <c r="J573" s="100">
        <f t="shared" ref="J573:J579" si="21">I573*D573</f>
        <v>0.24</v>
      </c>
      <c r="K573" s="94"/>
      <c r="L573" s="94"/>
      <c r="M573" s="94"/>
      <c r="N573" s="94"/>
      <c r="O573" s="93"/>
    </row>
    <row r="574" spans="1:15" x14ac:dyDescent="0.25">
      <c r="A574" s="282">
        <v>20</v>
      </c>
      <c r="B574" s="338" t="s">
        <v>72</v>
      </c>
      <c r="C574" s="282" t="s">
        <v>2359</v>
      </c>
      <c r="D574" s="283">
        <v>7.0000000000000007E-2</v>
      </c>
      <c r="E574" s="282">
        <v>6</v>
      </c>
      <c r="F574" s="374" t="s">
        <v>68</v>
      </c>
      <c r="G574" s="282">
        <v>30</v>
      </c>
      <c r="H574" s="285" t="s">
        <v>68</v>
      </c>
      <c r="I574" s="373">
        <v>2</v>
      </c>
      <c r="J574" s="100">
        <f t="shared" si="21"/>
        <v>0.14000000000000001</v>
      </c>
      <c r="K574" s="94"/>
      <c r="L574" s="94"/>
      <c r="M574" s="94"/>
      <c r="N574" s="94"/>
      <c r="O574" s="93"/>
    </row>
    <row r="575" spans="1:15" x14ac:dyDescent="0.25">
      <c r="A575" s="282">
        <v>30</v>
      </c>
      <c r="B575" s="338" t="s">
        <v>72</v>
      </c>
      <c r="C575" s="292" t="s">
        <v>2346</v>
      </c>
      <c r="D575" s="283">
        <v>0.14000000000000001</v>
      </c>
      <c r="E575" s="282">
        <v>8</v>
      </c>
      <c r="F575" s="374" t="s">
        <v>68</v>
      </c>
      <c r="G575" s="282">
        <v>35</v>
      </c>
      <c r="H575" s="285" t="s">
        <v>68</v>
      </c>
      <c r="I575" s="373">
        <v>2</v>
      </c>
      <c r="J575" s="100">
        <f t="shared" si="21"/>
        <v>0.28000000000000003</v>
      </c>
      <c r="K575" s="94"/>
      <c r="L575" s="94"/>
      <c r="M575" s="94"/>
      <c r="N575" s="94"/>
      <c r="O575" s="93"/>
    </row>
    <row r="576" spans="1:15" x14ac:dyDescent="0.25">
      <c r="A576" s="282">
        <v>40</v>
      </c>
      <c r="B576" s="1364" t="s">
        <v>75</v>
      </c>
      <c r="C576" s="282" t="s">
        <v>2358</v>
      </c>
      <c r="D576" s="283">
        <v>0.03</v>
      </c>
      <c r="E576" s="282">
        <v>6</v>
      </c>
      <c r="F576" s="374" t="s">
        <v>68</v>
      </c>
      <c r="G576" s="282"/>
      <c r="H576" s="285"/>
      <c r="I576" s="373">
        <v>4</v>
      </c>
      <c r="J576" s="100">
        <f t="shared" si="21"/>
        <v>0.12</v>
      </c>
      <c r="K576" s="142"/>
      <c r="L576" s="142"/>
      <c r="M576" s="142"/>
      <c r="N576" s="142"/>
      <c r="O576" s="93"/>
    </row>
    <row r="577" spans="1:15" x14ac:dyDescent="0.25">
      <c r="A577" s="282">
        <v>50</v>
      </c>
      <c r="B577" s="1366" t="s">
        <v>75</v>
      </c>
      <c r="C577" s="282" t="s">
        <v>2344</v>
      </c>
      <c r="D577" s="283">
        <v>0.04</v>
      </c>
      <c r="E577" s="282">
        <v>8</v>
      </c>
      <c r="F577" s="374" t="s">
        <v>68</v>
      </c>
      <c r="G577" s="282"/>
      <c r="H577" s="285"/>
      <c r="I577" s="373">
        <v>2</v>
      </c>
      <c r="J577" s="100">
        <f t="shared" si="21"/>
        <v>0.08</v>
      </c>
      <c r="K577" s="142"/>
      <c r="L577" s="142"/>
      <c r="M577" s="142"/>
      <c r="N577" s="142"/>
      <c r="O577" s="93"/>
    </row>
    <row r="578" spans="1:15" x14ac:dyDescent="0.25">
      <c r="A578" s="282">
        <v>60</v>
      </c>
      <c r="B578" s="1364" t="s">
        <v>74</v>
      </c>
      <c r="C578" s="282" t="s">
        <v>2357</v>
      </c>
      <c r="D578" s="283">
        <v>0.01</v>
      </c>
      <c r="E578" s="282">
        <v>6</v>
      </c>
      <c r="F578" s="374" t="s">
        <v>68</v>
      </c>
      <c r="G578" s="282"/>
      <c r="H578" s="285"/>
      <c r="I578" s="373">
        <v>4</v>
      </c>
      <c r="J578" s="100">
        <f t="shared" si="21"/>
        <v>0.04</v>
      </c>
      <c r="K578" s="99"/>
      <c r="L578" s="99"/>
      <c r="M578" s="99"/>
      <c r="N578" s="99"/>
      <c r="O578" s="130"/>
    </row>
    <row r="579" spans="1:15" x14ac:dyDescent="0.25">
      <c r="A579" s="282">
        <v>70</v>
      </c>
      <c r="B579" s="1364" t="s">
        <v>74</v>
      </c>
      <c r="C579" s="282" t="s">
        <v>2342</v>
      </c>
      <c r="D579" s="283">
        <v>0.01</v>
      </c>
      <c r="E579" s="282">
        <v>8</v>
      </c>
      <c r="F579" s="374" t="s">
        <v>68</v>
      </c>
      <c r="G579" s="282"/>
      <c r="H579" s="285"/>
      <c r="I579" s="373">
        <v>4</v>
      </c>
      <c r="J579" s="100">
        <f t="shared" si="21"/>
        <v>0.04</v>
      </c>
      <c r="K579" s="142"/>
      <c r="L579" s="142"/>
      <c r="M579" s="142"/>
      <c r="N579" s="142"/>
      <c r="O579" s="93"/>
    </row>
    <row r="580" spans="1:15" x14ac:dyDescent="0.25">
      <c r="A580" s="98"/>
      <c r="B580" s="95"/>
      <c r="C580" s="95"/>
      <c r="D580" s="95"/>
      <c r="E580" s="95"/>
      <c r="F580" s="95"/>
      <c r="G580" s="95"/>
      <c r="H580" s="95"/>
      <c r="I580" s="1363" t="s">
        <v>58</v>
      </c>
      <c r="J580" s="1362">
        <f>SUM(J573:J579)</f>
        <v>0.94000000000000006</v>
      </c>
      <c r="K580" s="94"/>
      <c r="L580" s="94"/>
      <c r="M580" s="94"/>
      <c r="N580" s="94"/>
      <c r="O580" s="93"/>
    </row>
    <row r="581" spans="1:15" ht="15.75" thickBot="1" x14ac:dyDescent="0.3">
      <c r="A581" s="92"/>
      <c r="B581" s="91"/>
      <c r="C581" s="91"/>
      <c r="D581" s="91"/>
      <c r="E581" s="91"/>
      <c r="F581" s="91"/>
      <c r="G581" s="91"/>
      <c r="H581" s="91"/>
      <c r="I581" s="91"/>
      <c r="J581" s="91"/>
      <c r="K581" s="91"/>
      <c r="L581" s="91"/>
      <c r="M581" s="91"/>
      <c r="N581" s="91"/>
      <c r="O581" s="90"/>
    </row>
    <row r="582" spans="1:15" ht="15.75" thickBot="1" x14ac:dyDescent="0.3"/>
    <row r="583" spans="1:15" x14ac:dyDescent="0.25">
      <c r="A583" s="600"/>
      <c r="B583" s="599"/>
      <c r="C583" s="599"/>
      <c r="D583" s="599"/>
      <c r="E583" s="599"/>
      <c r="F583" s="599"/>
      <c r="G583" s="599"/>
      <c r="H583" s="599"/>
      <c r="I583" s="599"/>
      <c r="J583" s="599"/>
      <c r="K583" s="599"/>
      <c r="L583" s="599"/>
      <c r="M583" s="599"/>
      <c r="N583" s="599"/>
      <c r="O583" s="598"/>
    </row>
    <row r="584" spans="1:15" x14ac:dyDescent="0.25">
      <c r="A584" s="1368" t="s">
        <v>57</v>
      </c>
      <c r="B584" s="133" t="s">
        <v>127</v>
      </c>
      <c r="C584" s="94"/>
      <c r="D584" s="94"/>
      <c r="E584" s="94"/>
      <c r="F584" s="94"/>
      <c r="G584" s="94"/>
      <c r="H584" s="94"/>
      <c r="I584" s="94"/>
      <c r="J584" s="1367" t="s">
        <v>51</v>
      </c>
      <c r="K584" s="138">
        <v>81</v>
      </c>
      <c r="L584" s="94"/>
      <c r="M584" s="1367" t="s">
        <v>126</v>
      </c>
      <c r="N584" s="137">
        <f>E597+SU_A0012_f+SU_A0012_p</f>
        <v>76.840363313663346</v>
      </c>
      <c r="O584" s="594"/>
    </row>
    <row r="585" spans="1:15" x14ac:dyDescent="0.25">
      <c r="A585" s="1368" t="s">
        <v>125</v>
      </c>
      <c r="B585" s="133" t="s">
        <v>5</v>
      </c>
      <c r="C585" s="94"/>
      <c r="D585" s="94"/>
      <c r="E585" s="94"/>
      <c r="F585" s="94"/>
      <c r="G585" s="94"/>
      <c r="H585" s="94"/>
      <c r="I585" s="94"/>
      <c r="J585" s="94"/>
      <c r="K585" s="94"/>
      <c r="L585" s="94"/>
      <c r="M585" s="1367" t="s">
        <v>124</v>
      </c>
      <c r="N585" s="136">
        <v>2</v>
      </c>
      <c r="O585" s="594"/>
    </row>
    <row r="586" spans="1:15" x14ac:dyDescent="0.25">
      <c r="A586" s="1368" t="s">
        <v>123</v>
      </c>
      <c r="B586" s="99" t="s">
        <v>2356</v>
      </c>
      <c r="C586" s="94"/>
      <c r="D586" s="94"/>
      <c r="E586" s="94"/>
      <c r="F586" s="94"/>
      <c r="G586" s="94"/>
      <c r="H586" s="94"/>
      <c r="I586" s="94"/>
      <c r="J586" s="1373" t="s">
        <v>122</v>
      </c>
      <c r="K586" s="94"/>
      <c r="L586" s="94"/>
      <c r="M586" s="94"/>
      <c r="N586" s="94"/>
      <c r="O586" s="594"/>
    </row>
    <row r="587" spans="1:15" x14ac:dyDescent="0.25">
      <c r="A587" s="1368" t="s">
        <v>121</v>
      </c>
      <c r="B587" s="135" t="s">
        <v>2355</v>
      </c>
      <c r="C587" s="94"/>
      <c r="D587" s="94"/>
      <c r="E587" s="94"/>
      <c r="F587" s="94"/>
      <c r="G587" s="94"/>
      <c r="H587" s="94"/>
      <c r="I587" s="94"/>
      <c r="J587" s="1373" t="s">
        <v>119</v>
      </c>
      <c r="K587" s="94"/>
      <c r="L587" s="94"/>
      <c r="M587" s="1367" t="s">
        <v>118</v>
      </c>
      <c r="N587" s="100">
        <f>N584*N585</f>
        <v>153.68072662732669</v>
      </c>
      <c r="O587" s="594"/>
    </row>
    <row r="588" spans="1:15" x14ac:dyDescent="0.25">
      <c r="A588" s="1368" t="s">
        <v>117</v>
      </c>
      <c r="B588" s="133" t="s">
        <v>23</v>
      </c>
      <c r="C588" s="94"/>
      <c r="D588" s="94"/>
      <c r="E588" s="94"/>
      <c r="F588" s="94"/>
      <c r="G588" s="94"/>
      <c r="H588" s="94"/>
      <c r="I588" s="94"/>
      <c r="J588" s="1373" t="s">
        <v>116</v>
      </c>
      <c r="K588" s="94"/>
      <c r="L588" s="94"/>
      <c r="M588" s="94"/>
      <c r="N588" s="94"/>
      <c r="O588" s="594"/>
    </row>
    <row r="589" spans="1:15" x14ac:dyDescent="0.25">
      <c r="A589" s="1368" t="s">
        <v>115</v>
      </c>
      <c r="B589" s="133"/>
      <c r="C589" s="94"/>
      <c r="D589" s="94"/>
      <c r="E589" s="94"/>
      <c r="F589" s="94"/>
      <c r="G589" s="94"/>
      <c r="H589" s="94"/>
      <c r="I589" s="94"/>
      <c r="J589" s="94"/>
      <c r="K589" s="94"/>
      <c r="L589" s="94"/>
      <c r="M589" s="94"/>
      <c r="N589" s="94"/>
      <c r="O589" s="594"/>
    </row>
    <row r="590" spans="1:15" x14ac:dyDescent="0.25">
      <c r="A590" s="1111"/>
      <c r="B590" s="94"/>
      <c r="C590" s="94"/>
      <c r="D590" s="94"/>
      <c r="E590" s="94"/>
      <c r="F590" s="94"/>
      <c r="G590" s="94"/>
      <c r="H590" s="94"/>
      <c r="I590" s="94"/>
      <c r="J590" s="94"/>
      <c r="K590" s="94"/>
      <c r="L590" s="94"/>
      <c r="M590" s="94"/>
      <c r="N590" s="94"/>
      <c r="O590" s="594"/>
    </row>
    <row r="591" spans="1:15" x14ac:dyDescent="0.25">
      <c r="A591" s="1368" t="s">
        <v>67</v>
      </c>
      <c r="B591" s="1367" t="s">
        <v>114</v>
      </c>
      <c r="C591" s="1367" t="s">
        <v>113</v>
      </c>
      <c r="D591" s="1367" t="s">
        <v>40</v>
      </c>
      <c r="E591" s="1367" t="s">
        <v>58</v>
      </c>
      <c r="F591" s="94"/>
      <c r="G591" s="94"/>
      <c r="H591" s="94"/>
      <c r="I591" s="94"/>
      <c r="J591" s="94"/>
      <c r="K591" s="94"/>
      <c r="L591" s="94"/>
      <c r="M591" s="94"/>
      <c r="N591" s="94"/>
      <c r="O591" s="594"/>
    </row>
    <row r="592" spans="1:15" x14ac:dyDescent="0.25">
      <c r="A592" s="1119">
        <v>10</v>
      </c>
      <c r="B592" s="132" t="str">
        <f>'SU Parts'!B1465</f>
        <v>Rear upright</v>
      </c>
      <c r="C592" s="100">
        <f>'SU Parts'!N1462</f>
        <v>50.726375399999995</v>
      </c>
      <c r="D592" s="127">
        <f>SU_12001_q</f>
        <v>1</v>
      </c>
      <c r="E592" s="100">
        <f>C592*D592</f>
        <v>50.726375399999995</v>
      </c>
      <c r="F592" s="94"/>
      <c r="G592" s="94"/>
      <c r="H592" s="94"/>
      <c r="I592" s="94"/>
      <c r="J592" s="94"/>
      <c r="K592" s="94"/>
      <c r="L592" s="94"/>
      <c r="M592" s="94"/>
      <c r="N592" s="94"/>
      <c r="O592" s="594"/>
    </row>
    <row r="593" spans="1:15" x14ac:dyDescent="0.25">
      <c r="A593" s="1119">
        <v>20</v>
      </c>
      <c r="B593" s="132" t="str">
        <f>'SU Parts'!B1489</f>
        <v>Upper tab</v>
      </c>
      <c r="C593" s="100">
        <f>'SU Parts'!N1486</f>
        <v>3.6958321000000001</v>
      </c>
      <c r="D593" s="127">
        <f>SU_12002_q</f>
        <v>1</v>
      </c>
      <c r="E593" s="100">
        <f>C593*D593</f>
        <v>3.6958321000000001</v>
      </c>
      <c r="F593" s="99"/>
      <c r="G593" s="99"/>
      <c r="H593" s="99"/>
      <c r="I593" s="99"/>
      <c r="J593" s="99"/>
      <c r="K593" s="99"/>
      <c r="L593" s="99"/>
      <c r="M593" s="99"/>
      <c r="N593" s="99"/>
      <c r="O593" s="594"/>
    </row>
    <row r="594" spans="1:15" x14ac:dyDescent="0.25">
      <c r="A594" s="1119">
        <v>30</v>
      </c>
      <c r="B594" s="132" t="str">
        <f>'SU Parts'!B1511</f>
        <v>Camber adjustment shims</v>
      </c>
      <c r="C594" s="100">
        <f>'SU Parts'!N1508</f>
        <v>1.7551442500000001</v>
      </c>
      <c r="D594" s="1372">
        <f>SU_12003_q</f>
        <v>1</v>
      </c>
      <c r="E594" s="100">
        <f>C594*D594</f>
        <v>1.7551442500000001</v>
      </c>
      <c r="F594" s="99"/>
      <c r="G594" s="99"/>
      <c r="H594" s="99"/>
      <c r="I594" s="99"/>
      <c r="J594" s="99"/>
      <c r="K594" s="99"/>
      <c r="L594" s="99"/>
      <c r="M594" s="99"/>
      <c r="N594" s="99"/>
      <c r="O594" s="1126"/>
    </row>
    <row r="595" spans="1:15" x14ac:dyDescent="0.25">
      <c r="A595" s="1119">
        <v>40</v>
      </c>
      <c r="B595" s="132" t="str">
        <f>'SU Parts'!B1531</f>
        <v>Lower spacer</v>
      </c>
      <c r="C595" s="100">
        <f>'SU Parts'!N1528</f>
        <v>1.3620026539555241</v>
      </c>
      <c r="D595" s="1372">
        <f>SU_12004_q</f>
        <v>2</v>
      </c>
      <c r="E595" s="100">
        <f>C595*D595</f>
        <v>2.7240053079110482</v>
      </c>
      <c r="F595" s="99"/>
      <c r="G595" s="99"/>
      <c r="H595" s="99"/>
      <c r="I595" s="99"/>
      <c r="J595" s="99"/>
      <c r="K595" s="99"/>
      <c r="L595" s="99"/>
      <c r="M595" s="99"/>
      <c r="N595" s="99"/>
      <c r="O595" s="1126"/>
    </row>
    <row r="596" spans="1:15" x14ac:dyDescent="0.25">
      <c r="A596" s="1119">
        <v>50</v>
      </c>
      <c r="B596" s="128" t="str">
        <f>'SU Parts'!B1551</f>
        <v>Upper spacer</v>
      </c>
      <c r="C596" s="100">
        <f>'SU Parts'!N1548</f>
        <v>1.3895031278761534</v>
      </c>
      <c r="D596" s="1372">
        <f>SU_12005_q</f>
        <v>2</v>
      </c>
      <c r="E596" s="100">
        <f>C596*D596</f>
        <v>2.7790062557523068</v>
      </c>
      <c r="F596" s="99"/>
      <c r="G596" s="99"/>
      <c r="H596" s="99"/>
      <c r="I596" s="99"/>
      <c r="J596" s="99"/>
      <c r="K596" s="99"/>
      <c r="L596" s="99"/>
      <c r="M596" s="99"/>
      <c r="N596" s="99"/>
      <c r="O596" s="1121"/>
    </row>
    <row r="597" spans="1:15" x14ac:dyDescent="0.25">
      <c r="A597" s="1111"/>
      <c r="B597" s="94"/>
      <c r="C597" s="94"/>
      <c r="D597" s="1363" t="s">
        <v>58</v>
      </c>
      <c r="E597" s="1362">
        <f>SUM(E592:E596)</f>
        <v>61.680363313663349</v>
      </c>
      <c r="F597" s="99"/>
      <c r="G597" s="99"/>
      <c r="H597" s="99"/>
      <c r="I597" s="99"/>
      <c r="J597" s="99"/>
      <c r="K597" s="99"/>
      <c r="L597" s="99"/>
      <c r="M597" s="99"/>
      <c r="N597" s="99"/>
      <c r="O597" s="594"/>
    </row>
    <row r="598" spans="1:15" x14ac:dyDescent="0.25">
      <c r="A598" s="1111"/>
      <c r="B598" s="94"/>
      <c r="C598" s="94"/>
      <c r="D598" s="94"/>
      <c r="E598" s="94"/>
      <c r="F598" s="94"/>
      <c r="G598" s="94"/>
      <c r="H598" s="94"/>
      <c r="I598" s="94"/>
      <c r="J598" s="94"/>
      <c r="K598" s="94"/>
      <c r="L598" s="94"/>
      <c r="M598" s="94"/>
      <c r="N598" s="94"/>
      <c r="O598" s="594"/>
    </row>
    <row r="599" spans="1:15" x14ac:dyDescent="0.25">
      <c r="A599" s="1111"/>
      <c r="B599" s="94"/>
      <c r="C599" s="94"/>
      <c r="D599" s="94"/>
      <c r="E599" s="94"/>
      <c r="F599" s="94"/>
      <c r="G599" s="94"/>
      <c r="H599" s="94"/>
      <c r="I599" s="94"/>
      <c r="J599" s="94"/>
      <c r="K599" s="94"/>
      <c r="L599" s="94"/>
      <c r="M599" s="94"/>
      <c r="N599" s="94"/>
      <c r="O599" s="594"/>
    </row>
    <row r="600" spans="1:15" x14ac:dyDescent="0.25">
      <c r="A600" s="1368" t="s">
        <v>67</v>
      </c>
      <c r="B600" s="1367" t="s">
        <v>106</v>
      </c>
      <c r="C600" s="1367" t="s">
        <v>66</v>
      </c>
      <c r="D600" s="1367" t="s">
        <v>65</v>
      </c>
      <c r="E600" s="1367" t="s">
        <v>64</v>
      </c>
      <c r="F600" s="1367" t="s">
        <v>40</v>
      </c>
      <c r="G600" s="1367" t="s">
        <v>105</v>
      </c>
      <c r="H600" s="1367" t="s">
        <v>104</v>
      </c>
      <c r="I600" s="1367" t="s">
        <v>58</v>
      </c>
      <c r="J600" s="95"/>
      <c r="K600" s="95"/>
      <c r="L600" s="95"/>
      <c r="M600" s="95"/>
      <c r="N600" s="95"/>
      <c r="O600" s="734"/>
    </row>
    <row r="601" spans="1:15" x14ac:dyDescent="0.25">
      <c r="A601" s="1365">
        <v>10</v>
      </c>
      <c r="B601" s="309" t="s">
        <v>100</v>
      </c>
      <c r="C601" s="285" t="s">
        <v>2354</v>
      </c>
      <c r="D601" s="283">
        <v>0.56000000000000005</v>
      </c>
      <c r="E601" s="282" t="s">
        <v>64</v>
      </c>
      <c r="F601" s="282">
        <v>1</v>
      </c>
      <c r="G601" s="282"/>
      <c r="H601" s="282">
        <v>1</v>
      </c>
      <c r="I601" s="100">
        <f t="shared" ref="I601:I610" si="22">IF(H601="",D601*F601,D601*F601*H601)</f>
        <v>0.56000000000000005</v>
      </c>
      <c r="J601" s="94"/>
      <c r="K601" s="94"/>
      <c r="L601" s="94"/>
      <c r="M601" s="94"/>
      <c r="N601" s="94"/>
      <c r="O601" s="594"/>
    </row>
    <row r="602" spans="1:15" x14ac:dyDescent="0.25">
      <c r="A602" s="1365">
        <v>20</v>
      </c>
      <c r="B602" s="309" t="s">
        <v>145</v>
      </c>
      <c r="C602" s="292" t="s">
        <v>2353</v>
      </c>
      <c r="D602" s="283">
        <v>0.13</v>
      </c>
      <c r="E602" s="282" t="s">
        <v>64</v>
      </c>
      <c r="F602" s="282">
        <v>1</v>
      </c>
      <c r="G602" s="282"/>
      <c r="H602" s="282">
        <v>1</v>
      </c>
      <c r="I602" s="100">
        <f t="shared" si="22"/>
        <v>0.13</v>
      </c>
      <c r="J602" s="94"/>
      <c r="K602" s="94"/>
      <c r="L602" s="94"/>
      <c r="M602" s="94"/>
      <c r="N602" s="94"/>
      <c r="O602" s="594"/>
    </row>
    <row r="603" spans="1:15" x14ac:dyDescent="0.25">
      <c r="A603" s="1365">
        <v>30</v>
      </c>
      <c r="B603" s="1371" t="s">
        <v>145</v>
      </c>
      <c r="C603" s="282" t="s">
        <v>2352</v>
      </c>
      <c r="D603" s="283">
        <v>0.13</v>
      </c>
      <c r="E603" s="282" t="s">
        <v>64</v>
      </c>
      <c r="F603" s="282">
        <v>1</v>
      </c>
      <c r="G603" s="282"/>
      <c r="H603" s="282">
        <v>1</v>
      </c>
      <c r="I603" s="100">
        <f t="shared" si="22"/>
        <v>0.13</v>
      </c>
      <c r="J603" s="94"/>
      <c r="K603" s="94"/>
      <c r="L603" s="94"/>
      <c r="M603" s="94"/>
      <c r="N603" s="94"/>
      <c r="O603" s="594"/>
    </row>
    <row r="604" spans="1:15" x14ac:dyDescent="0.25">
      <c r="A604" s="1365">
        <v>40</v>
      </c>
      <c r="B604" s="309" t="s">
        <v>85</v>
      </c>
      <c r="C604" s="285" t="s">
        <v>2351</v>
      </c>
      <c r="D604" s="283">
        <v>0.75</v>
      </c>
      <c r="E604" s="282" t="s">
        <v>64</v>
      </c>
      <c r="F604" s="282">
        <v>2</v>
      </c>
      <c r="G604" s="282"/>
      <c r="H604" s="282">
        <v>1</v>
      </c>
      <c r="I604" s="100">
        <f t="shared" si="22"/>
        <v>1.5</v>
      </c>
      <c r="J604" s="94"/>
      <c r="K604" s="94"/>
      <c r="L604" s="94"/>
      <c r="M604" s="94"/>
      <c r="N604" s="94"/>
      <c r="O604" s="594"/>
    </row>
    <row r="605" spans="1:15" x14ac:dyDescent="0.25">
      <c r="A605" s="1365">
        <v>50</v>
      </c>
      <c r="B605" s="1370" t="s">
        <v>84</v>
      </c>
      <c r="C605" s="285" t="s">
        <v>2351</v>
      </c>
      <c r="D605" s="283">
        <v>0.25</v>
      </c>
      <c r="E605" s="282" t="s">
        <v>64</v>
      </c>
      <c r="F605" s="282">
        <v>2</v>
      </c>
      <c r="G605" s="282"/>
      <c r="H605" s="282">
        <v>1</v>
      </c>
      <c r="I605" s="100">
        <f t="shared" si="22"/>
        <v>0.5</v>
      </c>
      <c r="J605" s="94"/>
      <c r="K605" s="94"/>
      <c r="L605" s="94"/>
      <c r="M605" s="94"/>
      <c r="N605" s="94"/>
      <c r="O605" s="594"/>
    </row>
    <row r="606" spans="1:15" x14ac:dyDescent="0.25">
      <c r="A606" s="1365">
        <v>60</v>
      </c>
      <c r="B606" s="309" t="s">
        <v>87</v>
      </c>
      <c r="C606" s="376" t="s">
        <v>2350</v>
      </c>
      <c r="D606" s="283">
        <v>0.06</v>
      </c>
      <c r="E606" s="282" t="s">
        <v>64</v>
      </c>
      <c r="F606" s="282">
        <v>4</v>
      </c>
      <c r="G606" s="282"/>
      <c r="H606" s="282">
        <v>1</v>
      </c>
      <c r="I606" s="100">
        <f t="shared" si="22"/>
        <v>0.24</v>
      </c>
      <c r="J606" s="94"/>
      <c r="K606" s="94"/>
      <c r="L606" s="94"/>
      <c r="M606" s="94"/>
      <c r="N606" s="94"/>
      <c r="O606" s="594"/>
    </row>
    <row r="607" spans="1:15" x14ac:dyDescent="0.25">
      <c r="A607" s="1365">
        <v>70</v>
      </c>
      <c r="B607" s="1369" t="s">
        <v>92</v>
      </c>
      <c r="C607" s="285" t="s">
        <v>2349</v>
      </c>
      <c r="D607" s="283">
        <v>0.63</v>
      </c>
      <c r="E607" s="282" t="s">
        <v>64</v>
      </c>
      <c r="F607" s="282">
        <v>1</v>
      </c>
      <c r="G607" s="282"/>
      <c r="H607" s="282">
        <v>1</v>
      </c>
      <c r="I607" s="100">
        <f t="shared" si="22"/>
        <v>0.63</v>
      </c>
      <c r="J607" s="94"/>
      <c r="K607" s="94"/>
      <c r="L607" s="94"/>
      <c r="M607" s="94"/>
      <c r="N607" s="94"/>
      <c r="O607" s="594"/>
    </row>
    <row r="608" spans="1:15" x14ac:dyDescent="0.25">
      <c r="A608" s="1365">
        <v>80</v>
      </c>
      <c r="B608" s="309" t="s">
        <v>85</v>
      </c>
      <c r="C608" s="285" t="s">
        <v>2348</v>
      </c>
      <c r="D608" s="283">
        <v>0.75</v>
      </c>
      <c r="E608" s="282" t="s">
        <v>64</v>
      </c>
      <c r="F608" s="282">
        <v>2</v>
      </c>
      <c r="G608" s="282"/>
      <c r="H608" s="282">
        <v>1</v>
      </c>
      <c r="I608" s="100">
        <f t="shared" si="22"/>
        <v>1.5</v>
      </c>
      <c r="J608" s="94"/>
      <c r="K608" s="94"/>
      <c r="L608" s="94"/>
      <c r="M608" s="94"/>
      <c r="N608" s="94"/>
      <c r="O608" s="594"/>
    </row>
    <row r="609" spans="1:15" x14ac:dyDescent="0.25">
      <c r="A609" s="1638">
        <v>90</v>
      </c>
      <c r="B609" s="232" t="s">
        <v>84</v>
      </c>
      <c r="C609" s="1639" t="s">
        <v>2348</v>
      </c>
      <c r="D609" s="1640">
        <v>0.25</v>
      </c>
      <c r="E609" s="228" t="s">
        <v>64</v>
      </c>
      <c r="F609" s="228">
        <v>2</v>
      </c>
      <c r="G609" s="228"/>
      <c r="H609" s="228">
        <v>1</v>
      </c>
      <c r="I609" s="220">
        <f t="shared" si="22"/>
        <v>0.5</v>
      </c>
      <c r="J609" s="94"/>
      <c r="K609" s="94"/>
      <c r="L609" s="94"/>
      <c r="M609" s="94"/>
      <c r="N609" s="94"/>
      <c r="O609" s="594"/>
    </row>
    <row r="610" spans="1:15" ht="30" x14ac:dyDescent="0.25">
      <c r="A610" s="1458">
        <v>100</v>
      </c>
      <c r="B610" s="1548" t="s">
        <v>2690</v>
      </c>
      <c r="C610" s="1463" t="s">
        <v>2691</v>
      </c>
      <c r="D610" s="1459">
        <v>8.75</v>
      </c>
      <c r="E610" s="1458" t="s">
        <v>64</v>
      </c>
      <c r="F610" s="1458">
        <v>1</v>
      </c>
      <c r="G610" s="1458"/>
      <c r="H610" s="1458">
        <v>1</v>
      </c>
      <c r="I610" s="1468">
        <f t="shared" si="22"/>
        <v>8.75</v>
      </c>
      <c r="J610" s="94"/>
      <c r="K610" s="94"/>
      <c r="L610" s="94"/>
      <c r="M610" s="94"/>
      <c r="N610" s="94"/>
      <c r="O610" s="594"/>
    </row>
    <row r="611" spans="1:15" x14ac:dyDescent="0.25">
      <c r="A611" s="1106"/>
      <c r="B611" s="95"/>
      <c r="C611" s="95"/>
      <c r="D611" s="95"/>
      <c r="E611" s="95"/>
      <c r="F611" s="95"/>
      <c r="G611" s="95"/>
      <c r="H611" s="1429" t="s">
        <v>58</v>
      </c>
      <c r="I611" s="1428">
        <f>SUM(I601:I610)</f>
        <v>14.440000000000001</v>
      </c>
      <c r="J611" s="94"/>
      <c r="K611" s="94"/>
      <c r="L611" s="94"/>
      <c r="M611" s="94"/>
      <c r="N611" s="94"/>
      <c r="O611" s="594"/>
    </row>
    <row r="612" spans="1:15" x14ac:dyDescent="0.25">
      <c r="A612" s="1111"/>
      <c r="B612" s="94"/>
      <c r="C612" s="94"/>
      <c r="D612" s="94"/>
      <c r="E612" s="94"/>
      <c r="F612" s="94"/>
      <c r="G612" s="94"/>
      <c r="H612" s="94"/>
      <c r="I612" s="94"/>
      <c r="J612" s="94"/>
      <c r="K612" s="94"/>
      <c r="L612" s="94"/>
      <c r="M612" s="94"/>
      <c r="N612" s="94"/>
      <c r="O612" s="594"/>
    </row>
    <row r="613" spans="1:15" x14ac:dyDescent="0.25">
      <c r="A613" s="1368" t="s">
        <v>67</v>
      </c>
      <c r="B613" s="1367" t="s">
        <v>82</v>
      </c>
      <c r="C613" s="1367" t="s">
        <v>66</v>
      </c>
      <c r="D613" s="1367" t="s">
        <v>65</v>
      </c>
      <c r="E613" s="1367" t="s">
        <v>81</v>
      </c>
      <c r="F613" s="1367" t="s">
        <v>80</v>
      </c>
      <c r="G613" s="1367" t="s">
        <v>79</v>
      </c>
      <c r="H613" s="1367" t="s">
        <v>78</v>
      </c>
      <c r="I613" s="1367" t="s">
        <v>40</v>
      </c>
      <c r="J613" s="1367" t="s">
        <v>58</v>
      </c>
      <c r="K613" s="94"/>
      <c r="L613" s="94"/>
      <c r="M613" s="94"/>
      <c r="N613" s="94"/>
      <c r="O613" s="594"/>
    </row>
    <row r="614" spans="1:15" x14ac:dyDescent="0.25">
      <c r="A614" s="1365">
        <v>10</v>
      </c>
      <c r="B614" s="338" t="s">
        <v>72</v>
      </c>
      <c r="C614" s="282" t="s">
        <v>2347</v>
      </c>
      <c r="D614" s="283">
        <v>0.12</v>
      </c>
      <c r="E614" s="282">
        <v>6</v>
      </c>
      <c r="F614" s="374" t="s">
        <v>68</v>
      </c>
      <c r="G614" s="282">
        <v>50</v>
      </c>
      <c r="H614" s="285" t="s">
        <v>68</v>
      </c>
      <c r="I614" s="373">
        <v>2</v>
      </c>
      <c r="J614" s="100">
        <f t="shared" ref="J614:J619" si="23">I614*D614</f>
        <v>0.24</v>
      </c>
      <c r="K614" s="94"/>
      <c r="L614" s="94"/>
      <c r="M614" s="94"/>
      <c r="N614" s="94"/>
      <c r="O614" s="594"/>
    </row>
    <row r="615" spans="1:15" x14ac:dyDescent="0.25">
      <c r="A615" s="1365">
        <v>20</v>
      </c>
      <c r="B615" s="338" t="s">
        <v>72</v>
      </c>
      <c r="C615" s="292" t="s">
        <v>2346</v>
      </c>
      <c r="D615" s="283">
        <v>0.14000000000000001</v>
      </c>
      <c r="E615" s="282">
        <v>8</v>
      </c>
      <c r="F615" s="374" t="s">
        <v>68</v>
      </c>
      <c r="G615" s="282">
        <v>35</v>
      </c>
      <c r="H615" s="285" t="s">
        <v>68</v>
      </c>
      <c r="I615" s="373">
        <v>2</v>
      </c>
      <c r="J615" s="100">
        <f t="shared" si="23"/>
        <v>0.28000000000000003</v>
      </c>
      <c r="K615" s="94"/>
      <c r="L615" s="94"/>
      <c r="M615" s="94"/>
      <c r="N615" s="94"/>
      <c r="O615" s="594"/>
    </row>
    <row r="616" spans="1:15" x14ac:dyDescent="0.25">
      <c r="A616" s="1365">
        <v>30</v>
      </c>
      <c r="B616" s="1364" t="s">
        <v>75</v>
      </c>
      <c r="C616" s="282" t="s">
        <v>2345</v>
      </c>
      <c r="D616" s="283">
        <v>0.03</v>
      </c>
      <c r="E616" s="282">
        <v>6</v>
      </c>
      <c r="F616" s="374" t="s">
        <v>68</v>
      </c>
      <c r="G616" s="282"/>
      <c r="H616" s="285"/>
      <c r="I616" s="373">
        <v>2</v>
      </c>
      <c r="J616" s="100">
        <f t="shared" si="23"/>
        <v>0.06</v>
      </c>
      <c r="K616" s="142"/>
      <c r="L616" s="142"/>
      <c r="M616" s="142"/>
      <c r="N616" s="142"/>
      <c r="O616" s="594"/>
    </row>
    <row r="617" spans="1:15" x14ac:dyDescent="0.25">
      <c r="A617" s="1365">
        <v>40</v>
      </c>
      <c r="B617" s="1366" t="s">
        <v>75</v>
      </c>
      <c r="C617" s="282" t="s">
        <v>2344</v>
      </c>
      <c r="D617" s="283">
        <v>0.04</v>
      </c>
      <c r="E617" s="282">
        <v>8</v>
      </c>
      <c r="F617" s="374" t="s">
        <v>68</v>
      </c>
      <c r="G617" s="282"/>
      <c r="H617" s="285"/>
      <c r="I617" s="373">
        <v>2</v>
      </c>
      <c r="J617" s="100">
        <f t="shared" si="23"/>
        <v>0.08</v>
      </c>
      <c r="K617" s="142"/>
      <c r="L617" s="142"/>
      <c r="M617" s="142"/>
      <c r="N617" s="142"/>
      <c r="O617" s="594"/>
    </row>
    <row r="618" spans="1:15" x14ac:dyDescent="0.25">
      <c r="A618" s="1365">
        <v>50</v>
      </c>
      <c r="B618" s="1364" t="s">
        <v>74</v>
      </c>
      <c r="C618" s="282" t="s">
        <v>2343</v>
      </c>
      <c r="D618" s="283">
        <v>0.01</v>
      </c>
      <c r="E618" s="282">
        <v>6</v>
      </c>
      <c r="F618" s="374" t="s">
        <v>68</v>
      </c>
      <c r="G618" s="282"/>
      <c r="H618" s="285"/>
      <c r="I618" s="373">
        <v>2</v>
      </c>
      <c r="J618" s="100">
        <f t="shared" si="23"/>
        <v>0.02</v>
      </c>
      <c r="K618" s="99"/>
      <c r="L618" s="99"/>
      <c r="M618" s="99"/>
      <c r="N618" s="99"/>
      <c r="O618" s="1121"/>
    </row>
    <row r="619" spans="1:15" x14ac:dyDescent="0.25">
      <c r="A619" s="1365">
        <v>60</v>
      </c>
      <c r="B619" s="1364" t="s">
        <v>74</v>
      </c>
      <c r="C619" s="282" t="s">
        <v>2342</v>
      </c>
      <c r="D619" s="283">
        <v>0.01</v>
      </c>
      <c r="E619" s="282">
        <v>8</v>
      </c>
      <c r="F619" s="374" t="s">
        <v>68</v>
      </c>
      <c r="G619" s="282"/>
      <c r="H619" s="285"/>
      <c r="I619" s="373">
        <v>4</v>
      </c>
      <c r="J619" s="100">
        <f t="shared" si="23"/>
        <v>0.04</v>
      </c>
      <c r="K619" s="142"/>
      <c r="L619" s="142"/>
      <c r="M619" s="142"/>
      <c r="N619" s="142"/>
      <c r="O619" s="594"/>
    </row>
    <row r="620" spans="1:15" x14ac:dyDescent="0.25">
      <c r="A620" s="1106"/>
      <c r="B620" s="95"/>
      <c r="C620" s="95"/>
      <c r="D620" s="95"/>
      <c r="E620" s="95"/>
      <c r="F620" s="95"/>
      <c r="G620" s="95"/>
      <c r="H620" s="95"/>
      <c r="I620" s="1363" t="s">
        <v>58</v>
      </c>
      <c r="J620" s="1362">
        <f>SUM(J614:J619)</f>
        <v>0.72000000000000008</v>
      </c>
      <c r="K620" s="94"/>
      <c r="L620" s="94"/>
      <c r="M620" s="94"/>
      <c r="N620" s="94"/>
      <c r="O620" s="594"/>
    </row>
    <row r="621" spans="1:15" ht="15.75" thickBot="1" x14ac:dyDescent="0.3">
      <c r="A621" s="1103"/>
      <c r="B621" s="304"/>
      <c r="C621" s="304"/>
      <c r="D621" s="304"/>
      <c r="E621" s="304"/>
      <c r="F621" s="304"/>
      <c r="G621" s="304"/>
      <c r="H621" s="304"/>
      <c r="I621" s="304"/>
      <c r="J621" s="304"/>
      <c r="K621" s="304"/>
      <c r="L621" s="304"/>
      <c r="M621" s="304"/>
      <c r="N621" s="304"/>
      <c r="O621" s="588"/>
    </row>
  </sheetData>
  <hyperlinks>
    <hyperlink ref="B10" location="SU_01001" display="SU_01001"/>
    <hyperlink ref="B252" location="SU_05001" display="SU_05001"/>
    <hyperlink ref="B294" location="SU_06001" display="SU_06001"/>
    <hyperlink ref="B295" location="SU_06002" display="SU_06002"/>
    <hyperlink ref="B11" location="SU_01002" display="='SU Parts'!B28"/>
    <hyperlink ref="B12" location="SU_01003" display="Cylinder"/>
    <hyperlink ref="B13" location="SU_01004" display="Front Lower Front A-Arm Carbon Tube"/>
    <hyperlink ref="B14" location="SU_01005" display="Rear Lower Front A-Arm Carbon Tube"/>
    <hyperlink ref="B15" location="SU_01006" display="Spacer"/>
    <hyperlink ref="B16" location="SU_01007" display="Front Lower Front A-Arm Mount"/>
    <hyperlink ref="B17" location="SU_01008" display="Rear Lower Front A-Arm Mount"/>
    <hyperlink ref="B71" location="SU_02001" display="SU_02001"/>
    <hyperlink ref="B72" location="SU_02002" display="Double Upper Front Insert"/>
    <hyperlink ref="B73" location="SU_02003" display="Cylinder"/>
    <hyperlink ref="B74" location="SU_02004" display="Front Lower Front A-Arm Carbon Tube"/>
    <hyperlink ref="B75" location="SU_02005" display="Rear Lower Front A-Arm Carbon Tube"/>
    <hyperlink ref="B76" location="SU_02006" display="Spacer"/>
    <hyperlink ref="B77" location="SU_02007" display="Front Upper Front A-Arm Mount"/>
    <hyperlink ref="B78" location="SU_02008" display="Rear Upper Front A-Arm Mount"/>
    <hyperlink ref="B348" location="SU_07001" display="SU_07001"/>
    <hyperlink ref="B349" location="SU_07002" display="SU_07002"/>
    <hyperlink ref="B253" location="SU_05002" display="SU_05002"/>
    <hyperlink ref="B254" location="SU_05003" display="SU_05003"/>
    <hyperlink ref="B255" location="SU_05004" display="SU_05004"/>
    <hyperlink ref="B350" location="SU_07003" display="SU_07003"/>
    <hyperlink ref="B351" location="SU_07004" display="SU_07004"/>
    <hyperlink ref="B446" location="SU_09001" display="SU_09001"/>
    <hyperlink ref="B447" location="SU_09002" display="SU_09002"/>
    <hyperlink ref="B491" location="SU_10001" display="SU_10001"/>
    <hyperlink ref="B547" location="SU_11001" display="SU_11001"/>
    <hyperlink ref="B548" location="SU_11002" display="SU_11002"/>
    <hyperlink ref="B592" location="SU_12001" display="SU_12001"/>
    <hyperlink ref="B593" location="SU_12002" display="SU_12002"/>
    <hyperlink ref="B549" location="SU_11003" display="SU_11003"/>
    <hyperlink ref="B550" location="SU_11004" display="SU_11004"/>
    <hyperlink ref="B551" location="SU_11005" display="SU_11005"/>
    <hyperlink ref="B552" location="SU_11006" display="SU_11006"/>
    <hyperlink ref="B132" location="SU_03002" display="Double Lower Rear Insert"/>
    <hyperlink ref="B133" location="SU_03003" display="Cylinder"/>
    <hyperlink ref="B134" location="SU_03004" display="Front Lower Rear A-Arm Carbon Tube"/>
    <hyperlink ref="B135" location="SU_03005" display="Rear Lower Rear A-Arm Carbon Tube"/>
    <hyperlink ref="B136" location="SU_03006" display="Spacer"/>
    <hyperlink ref="B137" location="SU_03007" display="Front Lower Rear A-Arm Mount"/>
    <hyperlink ref="B138" location="SU_03008" display="Rear Lower Rear A-Arm Mount"/>
    <hyperlink ref="B131" location="SU_03001" display="Simple Insert"/>
    <hyperlink ref="B192" location="SU_04002" display="Double Upper Rear Insert"/>
    <hyperlink ref="B193" location="SU_04003" display="Cylinder"/>
    <hyperlink ref="B194" location="SU_04004" display="Front Upper Rear A-Arm Carbon Tube"/>
    <hyperlink ref="B195" location="SU_04005" display="Rear Upper Rear A-Arm Carbon Tube"/>
    <hyperlink ref="B196" location="SU_04006" display="Spacer"/>
    <hyperlink ref="B197" location="SU_04007" display="Front Upper Rear A-Arm Mount"/>
    <hyperlink ref="B198" location="SU_04008_m" display="Rear Upper Rear A-Arm Mount"/>
    <hyperlink ref="B191" location="SU_04001" display="Simple Insert"/>
    <hyperlink ref="B594" location="SU_12003" display="SU_12003"/>
    <hyperlink ref="B595" location="SU_12004" display="SU_12004"/>
    <hyperlink ref="B596" location="SU_12005" display="SU_12005"/>
    <hyperlink ref="B296" location="SU_06003" display="SU_06003"/>
    <hyperlink ref="B297" location="SU_06004" display="SU_06004"/>
    <hyperlink ref="B298" location="SU_06005" display="SU_06005"/>
    <hyperlink ref="B299" location="SU_06006" display="SU_06006"/>
    <hyperlink ref="B392" location="SU_08001" display="SU_08001"/>
    <hyperlink ref="B393" location="SU_08002" display="SU_08002"/>
    <hyperlink ref="B394" location="SU_08003" display="SU_08003"/>
    <hyperlink ref="B395" location="SU_08004" display="SU_08004"/>
    <hyperlink ref="B396" location="SU_08005" display="SU_08005"/>
    <hyperlink ref="B397" location="SU_08006" display="SU_08006"/>
    <hyperlink ref="B448" location="SU_09003" display="SU_09003"/>
    <hyperlink ref="B492:B497" location="EL_02001" display="EL_02001"/>
    <hyperlink ref="B492" location="SU_10002" display="SU_10002"/>
    <hyperlink ref="B493" location="SU_10003" display="SU_10003"/>
    <hyperlink ref="B494" location="SU_10004" display="SU_10004"/>
    <hyperlink ref="B495" location="SU_10005" display="SU_10005"/>
    <hyperlink ref="B496" location="SU_10006" display="SU_10006"/>
    <hyperlink ref="B497" location="SU_10007" display="SU_10007"/>
  </hyperlinks>
  <pageMargins left="0.7" right="0.7" top="0.75" bottom="0.75" header="0.51180555555555496" footer="0.3"/>
  <pageSetup paperSize="9" scale="41" firstPageNumber="0" fitToHeight="0" orientation="portrait" r:id="rId1"/>
  <headerFooter>
    <oddFooter>&amp;C&amp;P</oddFooter>
  </headerFooter>
  <rowBreaks count="11" manualBreakCount="11">
    <brk id="60" max="16383" man="1"/>
    <brk id="120" max="16383" man="1"/>
    <brk id="180" max="16383" man="1"/>
    <brk id="241" max="16383" man="1"/>
    <brk id="283" max="16383" man="1"/>
    <brk id="337" max="16383" man="1"/>
    <brk id="381" max="16383" man="1"/>
    <brk id="435" max="16383" man="1"/>
    <brk id="480" max="16383" man="1"/>
    <brk id="536" max="16383" man="1"/>
    <brk id="581" max="16383" man="1"/>
  </rowBreak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99"/>
    <pageSetUpPr fitToPage="1"/>
  </sheetPr>
  <dimension ref="A1:P1565"/>
  <sheetViews>
    <sheetView zoomScale="80" zoomScaleNormal="80" workbookViewId="0"/>
  </sheetViews>
  <sheetFormatPr baseColWidth="10" defaultColWidth="9.140625" defaultRowHeight="15" x14ac:dyDescent="0.25"/>
  <cols>
    <col min="1" max="1" width="14" style="89" customWidth="1"/>
    <col min="2" max="2" width="27.42578125" style="89" customWidth="1"/>
    <col min="3" max="3" width="33.140625" style="89" customWidth="1"/>
    <col min="4" max="4" width="11.140625" style="89" customWidth="1"/>
    <col min="5" max="6" width="9.140625" style="89"/>
    <col min="7" max="7" width="17.42578125" style="89" customWidth="1"/>
    <col min="8" max="8" width="12.5703125" style="89" bestFit="1" customWidth="1"/>
    <col min="9" max="9" width="17.85546875" style="89" customWidth="1"/>
    <col min="10" max="10" width="12.42578125" style="89" customWidth="1"/>
    <col min="11" max="11" width="9.140625" style="89"/>
    <col min="12" max="12" width="11.28515625" style="89" customWidth="1"/>
    <col min="13" max="13" width="15.42578125" style="89" customWidth="1"/>
    <col min="14" max="14" width="9.140625" style="89"/>
    <col min="15" max="15" width="3.140625" style="89" customWidth="1"/>
    <col min="16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1454" t="s">
        <v>57</v>
      </c>
      <c r="B2" s="133" t="s">
        <v>523</v>
      </c>
      <c r="C2" s="94"/>
      <c r="D2" s="94"/>
      <c r="E2" s="94"/>
      <c r="F2" s="94"/>
      <c r="G2" s="94"/>
      <c r="H2" s="94"/>
      <c r="I2" s="94"/>
      <c r="J2" s="1456" t="s">
        <v>51</v>
      </c>
      <c r="K2" s="138">
        <v>81</v>
      </c>
      <c r="L2" s="94"/>
      <c r="M2" s="1454" t="s">
        <v>113</v>
      </c>
      <c r="N2" s="100">
        <f>SU_01001_m+SU_01001_p</f>
        <v>3.8023183829599998</v>
      </c>
      <c r="O2" s="93"/>
    </row>
    <row r="3" spans="1:15" x14ac:dyDescent="0.25">
      <c r="A3" s="1454" t="s">
        <v>125</v>
      </c>
      <c r="B3" s="133" t="s">
        <v>5</v>
      </c>
      <c r="C3" s="94"/>
      <c r="D3" s="1454" t="s">
        <v>122</v>
      </c>
      <c r="E3" s="547" t="s">
        <v>522</v>
      </c>
      <c r="F3" s="94"/>
      <c r="G3" s="94"/>
      <c r="H3" s="94"/>
      <c r="I3" s="94"/>
      <c r="J3" s="94"/>
      <c r="K3" s="94"/>
      <c r="L3" s="94"/>
      <c r="M3" s="1454" t="s">
        <v>124</v>
      </c>
      <c r="N3" s="136">
        <v>2</v>
      </c>
      <c r="O3" s="93"/>
    </row>
    <row r="4" spans="1:15" x14ac:dyDescent="0.25">
      <c r="A4" s="1454" t="s">
        <v>123</v>
      </c>
      <c r="B4" s="270" t="str">
        <f>'SU Assemblies'!B4</f>
        <v>Lower Front A-Arm</v>
      </c>
      <c r="C4" s="94"/>
      <c r="D4" s="1454" t="s">
        <v>119</v>
      </c>
      <c r="E4" s="94"/>
      <c r="F4" s="94"/>
      <c r="G4" s="94"/>
      <c r="H4" s="94"/>
      <c r="I4" s="94"/>
      <c r="J4" s="1455" t="s">
        <v>122</v>
      </c>
      <c r="K4" s="94"/>
      <c r="L4" s="94"/>
      <c r="M4" s="94"/>
      <c r="N4" s="94"/>
      <c r="O4" s="93"/>
    </row>
    <row r="5" spans="1:15" x14ac:dyDescent="0.25">
      <c r="A5" s="1454" t="s">
        <v>114</v>
      </c>
      <c r="B5" s="135" t="s">
        <v>2464</v>
      </c>
      <c r="C5" s="94"/>
      <c r="D5" s="1454" t="s">
        <v>116</v>
      </c>
      <c r="E5" s="94"/>
      <c r="F5" s="94"/>
      <c r="G5" s="94"/>
      <c r="H5" s="94"/>
      <c r="I5" s="94"/>
      <c r="J5" s="1455" t="s">
        <v>119</v>
      </c>
      <c r="K5" s="94"/>
      <c r="L5" s="94"/>
      <c r="M5" s="1454" t="s">
        <v>118</v>
      </c>
      <c r="N5" s="100">
        <f>N3*N2</f>
        <v>7.6046367659199996</v>
      </c>
      <c r="O5" s="93"/>
    </row>
    <row r="6" spans="1:15" x14ac:dyDescent="0.25">
      <c r="A6" s="1454" t="s">
        <v>121</v>
      </c>
      <c r="B6" s="269" t="s">
        <v>2684</v>
      </c>
      <c r="C6" s="94"/>
      <c r="D6" s="94"/>
      <c r="E6" s="94"/>
      <c r="F6" s="94"/>
      <c r="G6" s="94"/>
      <c r="H6" s="94"/>
      <c r="I6" s="94"/>
      <c r="J6" s="1455" t="s">
        <v>116</v>
      </c>
      <c r="K6" s="94"/>
      <c r="L6" s="94"/>
      <c r="M6" s="94"/>
      <c r="N6" s="94"/>
      <c r="O6" s="93"/>
    </row>
    <row r="7" spans="1:15" x14ac:dyDescent="0.25">
      <c r="A7" s="1454" t="s">
        <v>117</v>
      </c>
      <c r="B7" s="133" t="s">
        <v>23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1454" t="s">
        <v>115</v>
      </c>
      <c r="B8" s="133"/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266"/>
      <c r="B9" s="265"/>
      <c r="C9" s="265"/>
      <c r="D9" s="265"/>
      <c r="E9" s="265"/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1453" t="s">
        <v>67</v>
      </c>
      <c r="B10" s="1452" t="s">
        <v>112</v>
      </c>
      <c r="C10" s="1452" t="s">
        <v>66</v>
      </c>
      <c r="D10" s="1452" t="s">
        <v>65</v>
      </c>
      <c r="E10" s="1452" t="s">
        <v>81</v>
      </c>
      <c r="F10" s="1483" t="s">
        <v>80</v>
      </c>
      <c r="G10" s="1483" t="s">
        <v>79</v>
      </c>
      <c r="H10" s="1483" t="s">
        <v>78</v>
      </c>
      <c r="I10" s="1483" t="s">
        <v>111</v>
      </c>
      <c r="J10" s="1483" t="s">
        <v>110</v>
      </c>
      <c r="K10" s="1483" t="s">
        <v>109</v>
      </c>
      <c r="L10" s="1483" t="s">
        <v>108</v>
      </c>
      <c r="M10" s="1483" t="s">
        <v>40</v>
      </c>
      <c r="N10" s="1483" t="s">
        <v>58</v>
      </c>
      <c r="O10" s="93"/>
    </row>
    <row r="11" spans="1:15" s="250" customFormat="1" ht="30" x14ac:dyDescent="0.25">
      <c r="A11" s="1595">
        <v>10</v>
      </c>
      <c r="B11" s="1598" t="s">
        <v>1134</v>
      </c>
      <c r="C11" s="1595" t="s">
        <v>2638</v>
      </c>
      <c r="D11" s="1597">
        <v>4.2</v>
      </c>
      <c r="E11" s="1596">
        <v>26</v>
      </c>
      <c r="F11" s="1595" t="s">
        <v>68</v>
      </c>
      <c r="G11" s="1595"/>
      <c r="H11" s="1594"/>
      <c r="I11" s="1491" t="s">
        <v>2580</v>
      </c>
      <c r="J11" s="1593">
        <f>0.013^2*3.14</f>
        <v>5.3065999999999996E-4</v>
      </c>
      <c r="K11" s="1592">
        <v>5.8000000000000003E-2</v>
      </c>
      <c r="L11" s="1591">
        <v>2710</v>
      </c>
      <c r="M11" s="1590">
        <v>1</v>
      </c>
      <c r="N11" s="1582">
        <f>IF(J11="",D11*M11,D11*J11*K11*L11*M11)</f>
        <v>0.35031838296000001</v>
      </c>
      <c r="O11" s="143"/>
    </row>
    <row r="12" spans="1:15" x14ac:dyDescent="0.25">
      <c r="A12" s="98"/>
      <c r="B12" s="95"/>
      <c r="C12" s="95"/>
      <c r="D12" s="95"/>
      <c r="E12" s="95"/>
      <c r="F12" s="95"/>
      <c r="G12" s="95"/>
      <c r="H12" s="95"/>
      <c r="I12" s="95"/>
      <c r="J12" s="95"/>
      <c r="K12" s="95"/>
      <c r="L12" s="95"/>
      <c r="M12" s="1485" t="s">
        <v>58</v>
      </c>
      <c r="N12" s="1447">
        <f>SUM(N11:N11)</f>
        <v>0.35031838296000001</v>
      </c>
      <c r="O12" s="93"/>
    </row>
    <row r="13" spans="1:15" x14ac:dyDescent="0.25">
      <c r="A13" s="107"/>
      <c r="B13" s="94"/>
      <c r="C13" s="94"/>
      <c r="D13" s="94"/>
      <c r="E13" s="94"/>
      <c r="F13" s="94"/>
      <c r="G13" s="94"/>
      <c r="H13" s="94"/>
      <c r="I13" s="94"/>
      <c r="J13" s="94"/>
      <c r="K13" s="94"/>
      <c r="L13" s="94"/>
      <c r="M13" s="94"/>
      <c r="N13" s="94"/>
      <c r="O13" s="93"/>
    </row>
    <row r="14" spans="1:15" x14ac:dyDescent="0.25">
      <c r="A14" s="1466" t="s">
        <v>67</v>
      </c>
      <c r="B14" s="1483" t="s">
        <v>106</v>
      </c>
      <c r="C14" s="1483" t="s">
        <v>66</v>
      </c>
      <c r="D14" s="1483" t="s">
        <v>65</v>
      </c>
      <c r="E14" s="1483" t="s">
        <v>64</v>
      </c>
      <c r="F14" s="1483" t="s">
        <v>40</v>
      </c>
      <c r="G14" s="1483" t="s">
        <v>105</v>
      </c>
      <c r="H14" s="1483" t="s">
        <v>104</v>
      </c>
      <c r="I14" s="1483" t="s">
        <v>58</v>
      </c>
      <c r="J14" s="95"/>
      <c r="K14" s="95"/>
      <c r="L14" s="95"/>
      <c r="M14" s="95"/>
      <c r="N14" s="95"/>
      <c r="O14" s="93"/>
    </row>
    <row r="15" spans="1:15" s="245" customFormat="1" ht="30" x14ac:dyDescent="0.25">
      <c r="A15" s="1586">
        <v>10</v>
      </c>
      <c r="B15" s="1577" t="s">
        <v>516</v>
      </c>
      <c r="C15" s="1586"/>
      <c r="D15" s="1587">
        <v>1.3</v>
      </c>
      <c r="E15" s="1577" t="s">
        <v>64</v>
      </c>
      <c r="F15" s="1586">
        <v>1</v>
      </c>
      <c r="G15" s="1586"/>
      <c r="H15" s="1586"/>
      <c r="I15" s="1600">
        <f t="shared" ref="I15:I20" si="0">IF(H15="",D15*F15,D15*F15*H15)</f>
        <v>1.3</v>
      </c>
      <c r="J15" s="142"/>
      <c r="K15" s="142"/>
      <c r="L15" s="142"/>
      <c r="M15" s="142"/>
      <c r="N15" s="142"/>
      <c r="O15" s="120"/>
    </row>
    <row r="16" spans="1:15" ht="30" x14ac:dyDescent="0.25">
      <c r="A16" s="1579">
        <v>20</v>
      </c>
      <c r="B16" s="1577" t="s">
        <v>514</v>
      </c>
      <c r="C16" s="1581" t="s">
        <v>2643</v>
      </c>
      <c r="D16" s="1580">
        <v>0.04</v>
      </c>
      <c r="E16" s="1579" t="s">
        <v>512</v>
      </c>
      <c r="F16" s="1578">
        <v>17</v>
      </c>
      <c r="G16" s="1577" t="s">
        <v>629</v>
      </c>
      <c r="H16" s="1589">
        <v>1</v>
      </c>
      <c r="I16" s="1599">
        <f t="shared" si="0"/>
        <v>0.68</v>
      </c>
      <c r="J16" s="94"/>
      <c r="K16" s="94"/>
      <c r="L16" s="94"/>
      <c r="M16" s="94"/>
      <c r="N16" s="94"/>
      <c r="O16" s="93"/>
    </row>
    <row r="17" spans="1:15" s="254" customFormat="1" x14ac:dyDescent="0.25">
      <c r="A17" s="1586">
        <v>30</v>
      </c>
      <c r="B17" s="1577" t="s">
        <v>822</v>
      </c>
      <c r="C17" s="1586"/>
      <c r="D17" s="1587">
        <v>0.65</v>
      </c>
      <c r="E17" s="1577" t="s">
        <v>64</v>
      </c>
      <c r="F17" s="1586">
        <v>1</v>
      </c>
      <c r="G17" s="1586"/>
      <c r="H17" s="1586"/>
      <c r="I17" s="1600">
        <f t="shared" si="0"/>
        <v>0.65</v>
      </c>
      <c r="J17" s="99"/>
      <c r="K17" s="99"/>
      <c r="L17" s="99"/>
      <c r="M17" s="99"/>
      <c r="N17" s="99"/>
      <c r="O17" s="130"/>
    </row>
    <row r="18" spans="1:15" ht="30" x14ac:dyDescent="0.25">
      <c r="A18" s="1579">
        <v>40</v>
      </c>
      <c r="B18" s="1577" t="s">
        <v>514</v>
      </c>
      <c r="C18" s="1581" t="s">
        <v>2642</v>
      </c>
      <c r="D18" s="1580">
        <v>0.04</v>
      </c>
      <c r="E18" s="1579" t="s">
        <v>512</v>
      </c>
      <c r="F18" s="1578">
        <v>2</v>
      </c>
      <c r="G18" s="1577" t="s">
        <v>629</v>
      </c>
      <c r="H18" s="1589">
        <v>1</v>
      </c>
      <c r="I18" s="1599">
        <f t="shared" si="0"/>
        <v>0.08</v>
      </c>
      <c r="J18" s="94"/>
      <c r="K18" s="94"/>
      <c r="L18" s="94"/>
      <c r="M18" s="94"/>
      <c r="N18" s="94"/>
      <c r="O18" s="93"/>
    </row>
    <row r="19" spans="1:15" x14ac:dyDescent="0.25">
      <c r="A19" s="1586">
        <v>50</v>
      </c>
      <c r="B19" s="1577" t="s">
        <v>822</v>
      </c>
      <c r="C19" s="1586"/>
      <c r="D19" s="1587">
        <v>0.65</v>
      </c>
      <c r="E19" s="1577" t="s">
        <v>64</v>
      </c>
      <c r="F19" s="1586">
        <v>1</v>
      </c>
      <c r="G19" s="1586"/>
      <c r="H19" s="1586"/>
      <c r="I19" s="1600">
        <f t="shared" si="0"/>
        <v>0.65</v>
      </c>
      <c r="J19" s="94"/>
      <c r="K19" s="94"/>
      <c r="L19" s="94"/>
      <c r="M19" s="94"/>
      <c r="N19" s="94"/>
      <c r="O19" s="93"/>
    </row>
    <row r="20" spans="1:15" ht="30" x14ac:dyDescent="0.25">
      <c r="A20" s="1579">
        <v>60</v>
      </c>
      <c r="B20" s="1577" t="s">
        <v>514</v>
      </c>
      <c r="C20" s="1581" t="s">
        <v>2641</v>
      </c>
      <c r="D20" s="1580">
        <v>0.04</v>
      </c>
      <c r="E20" s="1579" t="s">
        <v>512</v>
      </c>
      <c r="F20" s="1578">
        <v>2.2999999999999998</v>
      </c>
      <c r="G20" s="1577" t="s">
        <v>629</v>
      </c>
      <c r="H20" s="1589">
        <v>1</v>
      </c>
      <c r="I20" s="1599">
        <f t="shared" si="0"/>
        <v>9.1999999999999998E-2</v>
      </c>
      <c r="J20" s="94"/>
      <c r="K20" s="94"/>
      <c r="L20" s="94"/>
      <c r="M20" s="94"/>
      <c r="N20" s="94"/>
      <c r="O20" s="93"/>
    </row>
    <row r="21" spans="1:15" ht="17.25" customHeight="1" x14ac:dyDescent="0.25">
      <c r="A21" s="98"/>
      <c r="B21" s="95"/>
      <c r="C21" s="95"/>
      <c r="D21" s="95"/>
      <c r="E21" s="95"/>
      <c r="F21" s="95"/>
      <c r="G21" s="95"/>
      <c r="H21" s="1448" t="s">
        <v>58</v>
      </c>
      <c r="I21" s="1447">
        <f>SUM(I15:I20)</f>
        <v>3.452</v>
      </c>
      <c r="J21" s="95"/>
      <c r="K21" s="95"/>
      <c r="L21" s="95"/>
      <c r="M21" s="95"/>
      <c r="N21" s="95"/>
      <c r="O21" s="93"/>
    </row>
    <row r="22" spans="1:15" ht="15.75" thickBot="1" x14ac:dyDescent="0.3">
      <c r="A22" s="92"/>
      <c r="B22" s="91"/>
      <c r="C22" s="91"/>
      <c r="D22" s="91"/>
      <c r="E22" s="91"/>
      <c r="F22" s="91"/>
      <c r="G22" s="91"/>
      <c r="H22" s="544"/>
      <c r="I22" s="544"/>
      <c r="J22" s="91"/>
      <c r="K22" s="91"/>
      <c r="L22" s="91"/>
      <c r="M22" s="91"/>
      <c r="N22" s="91"/>
      <c r="O22" s="90"/>
    </row>
    <row r="23" spans="1:15" ht="15.75" thickBot="1" x14ac:dyDescent="0.3"/>
    <row r="24" spans="1:15" x14ac:dyDescent="0.25">
      <c r="A24" s="141"/>
      <c r="B24" s="140"/>
      <c r="C24" s="140"/>
      <c r="D24" s="140"/>
      <c r="E24" s="140"/>
      <c r="F24" s="140"/>
      <c r="G24" s="140"/>
      <c r="H24" s="140"/>
      <c r="I24" s="140"/>
      <c r="J24" s="140"/>
      <c r="K24" s="140"/>
      <c r="L24" s="140"/>
      <c r="M24" s="140"/>
      <c r="N24" s="140"/>
      <c r="O24" s="139"/>
    </row>
    <row r="25" spans="1:15" x14ac:dyDescent="0.25">
      <c r="A25" s="1454" t="s">
        <v>57</v>
      </c>
      <c r="B25" s="133" t="s">
        <v>523</v>
      </c>
      <c r="C25" s="94"/>
      <c r="D25" s="94"/>
      <c r="E25" s="94"/>
      <c r="F25" s="94"/>
      <c r="G25" s="94"/>
      <c r="H25" s="94"/>
      <c r="I25" s="94"/>
      <c r="J25" s="1456" t="s">
        <v>51</v>
      </c>
      <c r="K25" s="138">
        <v>81</v>
      </c>
      <c r="L25" s="94"/>
      <c r="M25" s="1454" t="s">
        <v>113</v>
      </c>
      <c r="N25" s="100">
        <f>+SU_01002_m+SU_01002_p</f>
        <v>11.981299999999999</v>
      </c>
      <c r="O25" s="93"/>
    </row>
    <row r="26" spans="1:15" x14ac:dyDescent="0.25">
      <c r="A26" s="1454" t="s">
        <v>125</v>
      </c>
      <c r="B26" s="133" t="s">
        <v>5</v>
      </c>
      <c r="C26" s="94"/>
      <c r="D26" s="1454" t="s">
        <v>122</v>
      </c>
      <c r="E26" s="270" t="s">
        <v>2525</v>
      </c>
      <c r="F26" s="94"/>
      <c r="G26" s="94"/>
      <c r="H26" s="94"/>
      <c r="I26" s="94"/>
      <c r="J26" s="94"/>
      <c r="K26" s="94"/>
      <c r="L26" s="94"/>
      <c r="M26" s="1454" t="s">
        <v>124</v>
      </c>
      <c r="N26" s="136">
        <v>1</v>
      </c>
      <c r="O26" s="93"/>
    </row>
    <row r="27" spans="1:15" x14ac:dyDescent="0.25">
      <c r="A27" s="1454" t="s">
        <v>123</v>
      </c>
      <c r="B27" s="270" t="str">
        <f>'SU Assemblies'!B4</f>
        <v>Lower Front A-Arm</v>
      </c>
      <c r="C27" s="94"/>
      <c r="D27" s="1454" t="s">
        <v>119</v>
      </c>
      <c r="E27" s="94"/>
      <c r="F27" s="94"/>
      <c r="G27" s="94"/>
      <c r="H27" s="94"/>
      <c r="I27" s="94"/>
      <c r="J27" s="1455" t="s">
        <v>122</v>
      </c>
      <c r="K27" s="94"/>
      <c r="L27" s="94"/>
      <c r="M27" s="94"/>
      <c r="N27" s="94"/>
      <c r="O27" s="93"/>
    </row>
    <row r="28" spans="1:15" x14ac:dyDescent="0.25">
      <c r="A28" s="1570" t="s">
        <v>114</v>
      </c>
      <c r="B28" s="1569" t="s">
        <v>2484</v>
      </c>
      <c r="C28" s="94"/>
      <c r="D28" s="1454" t="s">
        <v>116</v>
      </c>
      <c r="E28" s="94"/>
      <c r="F28" s="94"/>
      <c r="G28" s="94"/>
      <c r="H28" s="94"/>
      <c r="I28" s="94"/>
      <c r="J28" s="1455" t="s">
        <v>119</v>
      </c>
      <c r="K28" s="94"/>
      <c r="L28" s="94"/>
      <c r="M28" s="1454" t="s">
        <v>118</v>
      </c>
      <c r="N28" s="100">
        <f>N26*N25</f>
        <v>11.981299999999999</v>
      </c>
      <c r="O28" s="93"/>
    </row>
    <row r="29" spans="1:15" x14ac:dyDescent="0.25">
      <c r="A29" s="1454" t="s">
        <v>121</v>
      </c>
      <c r="B29" s="269" t="s">
        <v>2683</v>
      </c>
      <c r="C29" s="94"/>
      <c r="D29" s="94"/>
      <c r="E29" s="94"/>
      <c r="F29" s="94"/>
      <c r="G29" s="94"/>
      <c r="H29" s="94"/>
      <c r="I29" s="94"/>
      <c r="J29" s="1455" t="s">
        <v>116</v>
      </c>
      <c r="K29" s="94"/>
      <c r="L29" s="94"/>
      <c r="M29" s="94"/>
      <c r="N29" s="94"/>
      <c r="O29" s="93"/>
    </row>
    <row r="30" spans="1:15" x14ac:dyDescent="0.25">
      <c r="A30" s="1454" t="s">
        <v>117</v>
      </c>
      <c r="B30" s="133" t="s">
        <v>23</v>
      </c>
      <c r="C30" s="94"/>
      <c r="D30" s="94"/>
      <c r="E30" s="94"/>
      <c r="F30" s="94"/>
      <c r="G30" s="94"/>
      <c r="H30" s="94"/>
      <c r="I30" s="94"/>
      <c r="J30" s="94"/>
      <c r="K30" s="94"/>
      <c r="L30" s="94"/>
      <c r="M30" s="94"/>
      <c r="N30" s="94"/>
      <c r="O30" s="93"/>
    </row>
    <row r="31" spans="1:15" x14ac:dyDescent="0.25">
      <c r="A31" s="1454" t="s">
        <v>115</v>
      </c>
      <c r="B31" s="133" t="s">
        <v>2639</v>
      </c>
      <c r="C31" s="94"/>
      <c r="D31" s="94"/>
      <c r="E31" s="94"/>
      <c r="F31" s="94"/>
      <c r="G31" s="94"/>
      <c r="H31" s="94"/>
      <c r="I31" s="94"/>
      <c r="J31" s="94"/>
      <c r="K31" s="94"/>
      <c r="L31" s="94"/>
      <c r="M31" s="94"/>
      <c r="N31" s="94"/>
      <c r="O31" s="93"/>
    </row>
    <row r="32" spans="1:15" x14ac:dyDescent="0.25">
      <c r="A32" s="266"/>
      <c r="B32" s="265"/>
      <c r="C32" s="265"/>
      <c r="D32" s="265"/>
      <c r="E32" s="265"/>
      <c r="F32" s="94"/>
      <c r="G32" s="94"/>
      <c r="H32" s="94"/>
      <c r="I32" s="94"/>
      <c r="J32" s="94"/>
      <c r="K32" s="94"/>
      <c r="L32" s="94"/>
      <c r="M32" s="94"/>
      <c r="N32" s="94"/>
      <c r="O32" s="93"/>
    </row>
    <row r="33" spans="1:15" x14ac:dyDescent="0.25">
      <c r="A33" s="1453" t="s">
        <v>67</v>
      </c>
      <c r="B33" s="1452" t="s">
        <v>112</v>
      </c>
      <c r="C33" s="1452" t="s">
        <v>66</v>
      </c>
      <c r="D33" s="1452" t="s">
        <v>65</v>
      </c>
      <c r="E33" s="1452" t="s">
        <v>81</v>
      </c>
      <c r="F33" s="1483" t="s">
        <v>80</v>
      </c>
      <c r="G33" s="1483" t="s">
        <v>79</v>
      </c>
      <c r="H33" s="1483" t="s">
        <v>78</v>
      </c>
      <c r="I33" s="1483" t="s">
        <v>111</v>
      </c>
      <c r="J33" s="1483" t="s">
        <v>110</v>
      </c>
      <c r="K33" s="1483" t="s">
        <v>109</v>
      </c>
      <c r="L33" s="1483" t="s">
        <v>108</v>
      </c>
      <c r="M33" s="1483" t="s">
        <v>40</v>
      </c>
      <c r="N33" s="1483" t="s">
        <v>58</v>
      </c>
      <c r="O33" s="93"/>
    </row>
    <row r="34" spans="1:15" ht="30" x14ac:dyDescent="0.25">
      <c r="A34" s="1595">
        <v>10</v>
      </c>
      <c r="B34" s="1598" t="s">
        <v>1134</v>
      </c>
      <c r="C34" s="1595" t="s">
        <v>2638</v>
      </c>
      <c r="D34" s="1597">
        <v>4.2</v>
      </c>
      <c r="E34" s="1596">
        <v>50</v>
      </c>
      <c r="F34" s="1595" t="s">
        <v>68</v>
      </c>
      <c r="G34" s="1595">
        <v>50</v>
      </c>
      <c r="H34" s="1594" t="s">
        <v>68</v>
      </c>
      <c r="I34" s="1491" t="s">
        <v>2682</v>
      </c>
      <c r="J34" s="1593">
        <f>0.05*0.05</f>
        <v>2.5000000000000005E-3</v>
      </c>
      <c r="K34" s="1592">
        <v>0.06</v>
      </c>
      <c r="L34" s="1591">
        <v>2710</v>
      </c>
      <c r="M34" s="1590">
        <v>1</v>
      </c>
      <c r="N34" s="1582">
        <f>IF(J34="",D34*M34,D34*J34*K34*L34*M34)</f>
        <v>1.7073000000000003</v>
      </c>
      <c r="O34" s="143"/>
    </row>
    <row r="35" spans="1:15" x14ac:dyDescent="0.25">
      <c r="A35" s="98"/>
      <c r="B35" s="95"/>
      <c r="C35" s="95"/>
      <c r="D35" s="95"/>
      <c r="E35" s="95"/>
      <c r="F35" s="95"/>
      <c r="G35" s="95"/>
      <c r="H35" s="95"/>
      <c r="I35" s="95"/>
      <c r="J35" s="95"/>
      <c r="K35" s="95"/>
      <c r="L35" s="95"/>
      <c r="M35" s="1485" t="s">
        <v>58</v>
      </c>
      <c r="N35" s="1447">
        <f>SUM(N34:N34)</f>
        <v>1.7073000000000003</v>
      </c>
      <c r="O35" s="93"/>
    </row>
    <row r="36" spans="1:15" x14ac:dyDescent="0.25">
      <c r="A36" s="678"/>
      <c r="B36" s="549"/>
      <c r="C36" s="549"/>
      <c r="D36" s="549"/>
      <c r="E36" s="549"/>
      <c r="F36" s="549"/>
      <c r="G36" s="549"/>
      <c r="H36" s="549"/>
      <c r="I36" s="549"/>
      <c r="J36" s="94"/>
      <c r="K36" s="94"/>
      <c r="L36" s="94"/>
      <c r="M36" s="94"/>
      <c r="N36" s="94"/>
      <c r="O36" s="93"/>
    </row>
    <row r="37" spans="1:15" x14ac:dyDescent="0.25">
      <c r="A37" s="1466" t="s">
        <v>67</v>
      </c>
      <c r="B37" s="1483" t="s">
        <v>106</v>
      </c>
      <c r="C37" s="1483" t="s">
        <v>66</v>
      </c>
      <c r="D37" s="1483" t="s">
        <v>65</v>
      </c>
      <c r="E37" s="1483" t="s">
        <v>64</v>
      </c>
      <c r="F37" s="1483" t="s">
        <v>40</v>
      </c>
      <c r="G37" s="1483" t="s">
        <v>105</v>
      </c>
      <c r="H37" s="1483" t="s">
        <v>104</v>
      </c>
      <c r="I37" s="1483" t="s">
        <v>58</v>
      </c>
      <c r="J37" s="95"/>
      <c r="K37" s="95"/>
      <c r="L37" s="95"/>
      <c r="M37" s="95"/>
      <c r="N37" s="95"/>
      <c r="O37" s="93"/>
    </row>
    <row r="38" spans="1:15" ht="30" x14ac:dyDescent="0.25">
      <c r="A38" s="1586">
        <v>10</v>
      </c>
      <c r="B38" s="1577" t="s">
        <v>516</v>
      </c>
      <c r="C38" s="1586"/>
      <c r="D38" s="1587">
        <v>1.3</v>
      </c>
      <c r="E38" s="1577" t="s">
        <v>64</v>
      </c>
      <c r="F38" s="1586">
        <v>1</v>
      </c>
      <c r="G38" s="1586"/>
      <c r="H38" s="1586"/>
      <c r="I38" s="1584">
        <f t="shared" ref="I38:I48" si="1">IF(H38="",D38*F38,D38*F38*H38)</f>
        <v>1.3</v>
      </c>
      <c r="J38" s="142"/>
      <c r="K38" s="142"/>
      <c r="L38" s="142"/>
      <c r="M38" s="142"/>
      <c r="N38" s="142"/>
      <c r="O38" s="120"/>
    </row>
    <row r="39" spans="1:15" ht="45" x14ac:dyDescent="0.25">
      <c r="A39" s="1579">
        <v>20</v>
      </c>
      <c r="B39" s="1577" t="s">
        <v>514</v>
      </c>
      <c r="C39" s="1581" t="s">
        <v>2636</v>
      </c>
      <c r="D39" s="1580">
        <v>0.04</v>
      </c>
      <c r="E39" s="1579" t="s">
        <v>512</v>
      </c>
      <c r="F39" s="1578">
        <v>106</v>
      </c>
      <c r="G39" s="1577" t="s">
        <v>629</v>
      </c>
      <c r="H39" s="1589">
        <v>1</v>
      </c>
      <c r="I39" s="1582">
        <f t="shared" si="1"/>
        <v>4.24</v>
      </c>
      <c r="J39" s="94"/>
      <c r="K39" s="94"/>
      <c r="L39" s="94"/>
      <c r="M39" s="94"/>
      <c r="N39" s="94"/>
      <c r="O39" s="93"/>
    </row>
    <row r="40" spans="1:15" x14ac:dyDescent="0.25">
      <c r="A40" s="1586">
        <v>30</v>
      </c>
      <c r="B40" s="1577" t="s">
        <v>822</v>
      </c>
      <c r="C40" s="1586"/>
      <c r="D40" s="1587">
        <v>0.65</v>
      </c>
      <c r="E40" s="1577" t="s">
        <v>64</v>
      </c>
      <c r="F40" s="1586">
        <v>1</v>
      </c>
      <c r="G40" s="1586"/>
      <c r="H40" s="1586"/>
      <c r="I40" s="1584">
        <f t="shared" si="1"/>
        <v>0.65</v>
      </c>
      <c r="J40" s="99"/>
      <c r="K40" s="99"/>
      <c r="L40" s="99"/>
      <c r="M40" s="99"/>
      <c r="N40" s="99"/>
      <c r="O40" s="130"/>
    </row>
    <row r="41" spans="1:15" ht="30" x14ac:dyDescent="0.25">
      <c r="A41" s="1579">
        <v>40</v>
      </c>
      <c r="B41" s="1577" t="s">
        <v>514</v>
      </c>
      <c r="C41" s="1581" t="s">
        <v>2635</v>
      </c>
      <c r="D41" s="1580">
        <v>0.04</v>
      </c>
      <c r="E41" s="1579" t="s">
        <v>512</v>
      </c>
      <c r="F41" s="1578">
        <v>2.2999999999999998</v>
      </c>
      <c r="G41" s="1577" t="s">
        <v>629</v>
      </c>
      <c r="H41" s="1589">
        <v>1</v>
      </c>
      <c r="I41" s="1582">
        <f t="shared" si="1"/>
        <v>9.1999999999999998E-2</v>
      </c>
      <c r="J41" s="94"/>
      <c r="K41" s="94"/>
      <c r="L41" s="94"/>
      <c r="M41" s="94"/>
      <c r="N41" s="94"/>
      <c r="O41" s="93"/>
    </row>
    <row r="42" spans="1:15" x14ac:dyDescent="0.25">
      <c r="A42" s="1586">
        <v>50</v>
      </c>
      <c r="B42" s="1577" t="s">
        <v>822</v>
      </c>
      <c r="C42" s="1586"/>
      <c r="D42" s="1587">
        <v>0.65</v>
      </c>
      <c r="E42" s="1577" t="s">
        <v>64</v>
      </c>
      <c r="F42" s="1586">
        <v>1</v>
      </c>
      <c r="G42" s="1586"/>
      <c r="H42" s="1586"/>
      <c r="I42" s="1584">
        <f t="shared" si="1"/>
        <v>0.65</v>
      </c>
      <c r="J42" s="94"/>
      <c r="K42" s="94"/>
      <c r="L42" s="94"/>
      <c r="M42" s="94"/>
      <c r="N42" s="94"/>
      <c r="O42" s="93"/>
    </row>
    <row r="43" spans="1:15" ht="30" x14ac:dyDescent="0.25">
      <c r="A43" s="1579">
        <v>60</v>
      </c>
      <c r="B43" s="1577" t="s">
        <v>514</v>
      </c>
      <c r="C43" s="1581" t="s">
        <v>2634</v>
      </c>
      <c r="D43" s="1580">
        <v>0.04</v>
      </c>
      <c r="E43" s="1579" t="s">
        <v>512</v>
      </c>
      <c r="F43" s="1578">
        <v>2.2999999999999998</v>
      </c>
      <c r="G43" s="1577" t="s">
        <v>629</v>
      </c>
      <c r="H43" s="1589">
        <v>1</v>
      </c>
      <c r="I43" s="1582">
        <f t="shared" si="1"/>
        <v>9.1999999999999998E-2</v>
      </c>
      <c r="J43" s="94"/>
      <c r="K43" s="94"/>
      <c r="L43" s="94"/>
      <c r="M43" s="94"/>
      <c r="N43" s="94"/>
      <c r="O43" s="93"/>
    </row>
    <row r="44" spans="1:15" x14ac:dyDescent="0.25">
      <c r="A44" s="1586">
        <v>70</v>
      </c>
      <c r="B44" s="1577" t="s">
        <v>822</v>
      </c>
      <c r="C44" s="1586"/>
      <c r="D44" s="1587">
        <v>0.65</v>
      </c>
      <c r="E44" s="1577" t="s">
        <v>64</v>
      </c>
      <c r="F44" s="1586">
        <v>1</v>
      </c>
      <c r="G44" s="1586"/>
      <c r="H44" s="1586"/>
      <c r="I44" s="1588">
        <f t="shared" si="1"/>
        <v>0.65</v>
      </c>
      <c r="J44" s="95"/>
      <c r="K44" s="95"/>
      <c r="L44" s="95"/>
      <c r="M44" s="95"/>
      <c r="N44" s="95"/>
      <c r="O44" s="93"/>
    </row>
    <row r="45" spans="1:15" ht="30" x14ac:dyDescent="0.25">
      <c r="A45" s="1579">
        <v>80</v>
      </c>
      <c r="B45" s="1577" t="s">
        <v>514</v>
      </c>
      <c r="C45" s="1581" t="s">
        <v>2633</v>
      </c>
      <c r="D45" s="1580">
        <v>0.04</v>
      </c>
      <c r="E45" s="1579" t="s">
        <v>512</v>
      </c>
      <c r="F45" s="1578">
        <v>4</v>
      </c>
      <c r="G45" s="1577" t="s">
        <v>629</v>
      </c>
      <c r="H45" s="1576">
        <v>1</v>
      </c>
      <c r="I45" s="1582">
        <f t="shared" si="1"/>
        <v>0.16</v>
      </c>
      <c r="J45" s="675"/>
      <c r="K45" s="94"/>
      <c r="L45" s="94"/>
      <c r="M45" s="94"/>
      <c r="N45" s="94"/>
      <c r="O45" s="93"/>
    </row>
    <row r="46" spans="1:15" x14ac:dyDescent="0.25">
      <c r="A46" s="1586">
        <v>90</v>
      </c>
      <c r="B46" s="1577" t="s">
        <v>822</v>
      </c>
      <c r="C46" s="1586"/>
      <c r="D46" s="1587">
        <v>0.65</v>
      </c>
      <c r="E46" s="1577" t="s">
        <v>64</v>
      </c>
      <c r="F46" s="1586">
        <v>1</v>
      </c>
      <c r="G46" s="1586"/>
      <c r="H46" s="1585"/>
      <c r="I46" s="1584">
        <f t="shared" si="1"/>
        <v>0.65</v>
      </c>
      <c r="J46" s="1583"/>
      <c r="K46" s="94"/>
      <c r="L46" s="94"/>
      <c r="M46" s="94"/>
      <c r="N46" s="94"/>
      <c r="O46" s="93"/>
    </row>
    <row r="47" spans="1:15" ht="30" x14ac:dyDescent="0.25">
      <c r="A47" s="1579">
        <v>100</v>
      </c>
      <c r="B47" s="1577" t="s">
        <v>514</v>
      </c>
      <c r="C47" s="1581" t="s">
        <v>2632</v>
      </c>
      <c r="D47" s="1580">
        <v>0.04</v>
      </c>
      <c r="E47" s="1579" t="s">
        <v>512</v>
      </c>
      <c r="F47" s="1578">
        <v>36</v>
      </c>
      <c r="G47" s="1577" t="s">
        <v>629</v>
      </c>
      <c r="H47" s="1576">
        <v>1</v>
      </c>
      <c r="I47" s="1582">
        <f t="shared" si="1"/>
        <v>1.44</v>
      </c>
      <c r="J47" s="1575"/>
      <c r="K47" s="94"/>
      <c r="L47" s="94"/>
      <c r="M47" s="94"/>
      <c r="N47" s="94"/>
      <c r="O47" s="93"/>
    </row>
    <row r="48" spans="1:15" ht="30" x14ac:dyDescent="0.25">
      <c r="A48" s="1586">
        <v>110</v>
      </c>
      <c r="B48" s="1577" t="s">
        <v>2631</v>
      </c>
      <c r="C48" s="1581" t="s">
        <v>2630</v>
      </c>
      <c r="D48" s="1580">
        <v>0.35</v>
      </c>
      <c r="E48" s="1579"/>
      <c r="F48" s="1578">
        <v>1</v>
      </c>
      <c r="G48" s="1577" t="s">
        <v>629</v>
      </c>
      <c r="H48" s="1576">
        <v>1</v>
      </c>
      <c r="I48" s="1511">
        <f t="shared" si="1"/>
        <v>0.35</v>
      </c>
      <c r="J48" s="1575"/>
      <c r="K48" s="94"/>
      <c r="L48" s="94"/>
      <c r="M48" s="94"/>
      <c r="N48" s="94"/>
      <c r="O48" s="93"/>
    </row>
    <row r="49" spans="1:16" x14ac:dyDescent="0.25">
      <c r="A49" s="98"/>
      <c r="B49" s="95"/>
      <c r="C49" s="95"/>
      <c r="D49" s="95"/>
      <c r="E49" s="95"/>
      <c r="F49" s="95"/>
      <c r="G49" s="95"/>
      <c r="H49" s="1448" t="s">
        <v>58</v>
      </c>
      <c r="I49" s="1573">
        <f>SUM(I38:I48)</f>
        <v>10.273999999999999</v>
      </c>
      <c r="J49" s="94"/>
      <c r="K49" s="94"/>
      <c r="L49" s="94"/>
      <c r="M49" s="94"/>
      <c r="N49" s="94"/>
      <c r="O49" s="93"/>
    </row>
    <row r="50" spans="1:16" x14ac:dyDescent="0.25">
      <c r="A50" s="360"/>
      <c r="B50" s="99"/>
      <c r="C50" s="99"/>
      <c r="D50" s="99"/>
      <c r="E50" s="99"/>
      <c r="F50" s="99"/>
      <c r="G50" s="99"/>
      <c r="H50" s="359"/>
      <c r="I50" s="358"/>
      <c r="J50" s="99"/>
      <c r="K50" s="94"/>
      <c r="L50" s="94"/>
      <c r="M50" s="94"/>
      <c r="N50" s="94"/>
      <c r="O50" s="93"/>
    </row>
    <row r="51" spans="1:16" ht="15.75" thickBot="1" x14ac:dyDescent="0.3">
      <c r="A51" s="92"/>
      <c r="B51" s="91"/>
      <c r="C51" s="91"/>
      <c r="D51" s="91"/>
      <c r="E51" s="91"/>
      <c r="F51" s="91"/>
      <c r="G51" s="91"/>
      <c r="H51" s="91"/>
      <c r="I51" s="91"/>
      <c r="J51" s="91"/>
      <c r="K51" s="91"/>
      <c r="L51" s="91"/>
      <c r="M51" s="91"/>
      <c r="N51" s="91"/>
      <c r="O51" s="90"/>
    </row>
    <row r="52" spans="1:16" ht="15.75" thickBot="1" x14ac:dyDescent="0.3">
      <c r="A52" s="107"/>
      <c r="B52" s="94"/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  <c r="O52" s="94"/>
      <c r="P52" s="94"/>
    </row>
    <row r="53" spans="1:16" x14ac:dyDescent="0.25">
      <c r="A53" s="141"/>
      <c r="B53" s="140"/>
      <c r="C53" s="140"/>
      <c r="D53" s="140"/>
      <c r="E53" s="140"/>
      <c r="F53" s="140"/>
      <c r="G53" s="140"/>
      <c r="H53" s="140"/>
      <c r="I53" s="140"/>
      <c r="J53" s="140"/>
      <c r="K53" s="140"/>
      <c r="L53" s="140"/>
      <c r="M53" s="140"/>
      <c r="N53" s="140"/>
      <c r="O53" s="139"/>
    </row>
    <row r="54" spans="1:16" x14ac:dyDescent="0.25">
      <c r="A54" s="1454" t="s">
        <v>57</v>
      </c>
      <c r="B54" s="133" t="s">
        <v>523</v>
      </c>
      <c r="C54" s="94"/>
      <c r="D54" s="94"/>
      <c r="E54" s="94"/>
      <c r="F54" s="94"/>
      <c r="G54" s="94"/>
      <c r="H54" s="94"/>
      <c r="I54" s="94"/>
      <c r="J54" s="1456" t="s">
        <v>51</v>
      </c>
      <c r="K54" s="138">
        <v>81</v>
      </c>
      <c r="L54" s="94"/>
      <c r="M54" s="1454" t="s">
        <v>113</v>
      </c>
      <c r="N54" s="100">
        <f>SU_01003_m+SU_01003_p</f>
        <v>0.46433106400000002</v>
      </c>
      <c r="O54" s="93"/>
    </row>
    <row r="55" spans="1:16" x14ac:dyDescent="0.25">
      <c r="A55" s="1454" t="s">
        <v>125</v>
      </c>
      <c r="B55" s="133" t="s">
        <v>5</v>
      </c>
      <c r="C55" s="94"/>
      <c r="D55" s="1454" t="s">
        <v>122</v>
      </c>
      <c r="E55" s="547"/>
      <c r="F55" s="94"/>
      <c r="G55" s="94"/>
      <c r="H55" s="94"/>
      <c r="I55" s="94"/>
      <c r="J55" s="94"/>
      <c r="K55" s="94"/>
      <c r="L55" s="94"/>
      <c r="M55" s="1454" t="s">
        <v>124</v>
      </c>
      <c r="N55" s="136">
        <v>2</v>
      </c>
      <c r="O55" s="93"/>
    </row>
    <row r="56" spans="1:16" x14ac:dyDescent="0.25">
      <c r="A56" s="1454" t="s">
        <v>123</v>
      </c>
      <c r="B56" s="270" t="s">
        <v>2486</v>
      </c>
      <c r="C56" s="94"/>
      <c r="D56" s="1454" t="s">
        <v>119</v>
      </c>
      <c r="E56" s="94"/>
      <c r="F56" s="94"/>
      <c r="G56" s="94"/>
      <c r="H56" s="94"/>
      <c r="I56" s="94"/>
      <c r="J56" s="1455" t="s">
        <v>122</v>
      </c>
      <c r="K56" s="94"/>
      <c r="L56" s="94"/>
      <c r="M56" s="94"/>
      <c r="N56" s="94"/>
      <c r="O56" s="93"/>
    </row>
    <row r="57" spans="1:16" x14ac:dyDescent="0.25">
      <c r="A57" s="1454" t="s">
        <v>114</v>
      </c>
      <c r="B57" s="135" t="s">
        <v>2462</v>
      </c>
      <c r="C57" s="94"/>
      <c r="D57" s="1454" t="s">
        <v>116</v>
      </c>
      <c r="E57" s="94"/>
      <c r="F57" s="94"/>
      <c r="G57" s="94"/>
      <c r="H57" s="94"/>
      <c r="I57" s="94"/>
      <c r="J57" s="1455" t="s">
        <v>119</v>
      </c>
      <c r="K57" s="94"/>
      <c r="L57" s="94"/>
      <c r="M57" s="1454" t="s">
        <v>118</v>
      </c>
      <c r="N57" s="100">
        <f>N55*N54</f>
        <v>0.92866212800000003</v>
      </c>
      <c r="O57" s="93"/>
    </row>
    <row r="58" spans="1:16" x14ac:dyDescent="0.25">
      <c r="A58" s="1454" t="s">
        <v>121</v>
      </c>
      <c r="B58" s="269" t="s">
        <v>2681</v>
      </c>
      <c r="C58" s="94"/>
      <c r="D58" s="94"/>
      <c r="E58" s="94"/>
      <c r="F58" s="94"/>
      <c r="G58" s="94"/>
      <c r="H58" s="94"/>
      <c r="I58" s="94"/>
      <c r="J58" s="1455" t="s">
        <v>116</v>
      </c>
      <c r="K58" s="94"/>
      <c r="L58" s="94"/>
      <c r="M58" s="94"/>
      <c r="N58" s="94"/>
      <c r="O58" s="93"/>
    </row>
    <row r="59" spans="1:16" x14ac:dyDescent="0.25">
      <c r="A59" s="1454" t="s">
        <v>117</v>
      </c>
      <c r="B59" s="133" t="s">
        <v>23</v>
      </c>
      <c r="C59" s="94"/>
      <c r="D59" s="94"/>
      <c r="E59" s="94"/>
      <c r="F59" s="94"/>
      <c r="G59" s="94"/>
      <c r="H59" s="94"/>
      <c r="I59" s="94"/>
      <c r="J59" s="94"/>
      <c r="K59" s="94"/>
      <c r="L59" s="94"/>
      <c r="M59" s="94"/>
      <c r="N59" s="94"/>
      <c r="O59" s="93"/>
    </row>
    <row r="60" spans="1:16" x14ac:dyDescent="0.25">
      <c r="A60" s="1454" t="s">
        <v>115</v>
      </c>
      <c r="B60" s="133" t="s">
        <v>2628</v>
      </c>
      <c r="C60" s="94"/>
      <c r="D60" s="94"/>
      <c r="E60" s="94"/>
      <c r="F60" s="94"/>
      <c r="G60" s="94"/>
      <c r="H60" s="94"/>
      <c r="I60" s="94"/>
      <c r="J60" s="94"/>
      <c r="K60" s="94"/>
      <c r="L60" s="94"/>
      <c r="M60" s="94"/>
      <c r="N60" s="94"/>
      <c r="O60" s="93"/>
    </row>
    <row r="61" spans="1:16" x14ac:dyDescent="0.25">
      <c r="A61" s="266"/>
      <c r="B61" s="265"/>
      <c r="C61" s="265"/>
      <c r="D61" s="265"/>
      <c r="E61" s="265"/>
      <c r="F61" s="94"/>
      <c r="G61" s="94"/>
      <c r="H61" s="94"/>
      <c r="I61" s="94"/>
      <c r="J61" s="94"/>
      <c r="K61" s="94"/>
      <c r="L61" s="94"/>
      <c r="M61" s="94"/>
      <c r="N61" s="94"/>
      <c r="O61" s="93"/>
    </row>
    <row r="62" spans="1:16" x14ac:dyDescent="0.25">
      <c r="A62" s="1453" t="s">
        <v>67</v>
      </c>
      <c r="B62" s="1452" t="s">
        <v>112</v>
      </c>
      <c r="C62" s="1452" t="s">
        <v>66</v>
      </c>
      <c r="D62" s="1452" t="s">
        <v>65</v>
      </c>
      <c r="E62" s="1452" t="s">
        <v>81</v>
      </c>
      <c r="F62" s="1465" t="s">
        <v>80</v>
      </c>
      <c r="G62" s="1465" t="s">
        <v>79</v>
      </c>
      <c r="H62" s="1465" t="s">
        <v>78</v>
      </c>
      <c r="I62" s="1465" t="s">
        <v>111</v>
      </c>
      <c r="J62" s="1465" t="s">
        <v>110</v>
      </c>
      <c r="K62" s="1465" t="s">
        <v>109</v>
      </c>
      <c r="L62" s="1465" t="s">
        <v>108</v>
      </c>
      <c r="M62" s="1465" t="s">
        <v>40</v>
      </c>
      <c r="N62" s="1465" t="s">
        <v>58</v>
      </c>
      <c r="O62" s="93"/>
    </row>
    <row r="63" spans="1:16" ht="30" x14ac:dyDescent="0.25">
      <c r="A63" s="1557">
        <v>10</v>
      </c>
      <c r="B63" s="1560" t="s">
        <v>1134</v>
      </c>
      <c r="C63" s="1557" t="s">
        <v>2627</v>
      </c>
      <c r="D63" s="1533">
        <v>4.2</v>
      </c>
      <c r="E63" s="1564">
        <v>12</v>
      </c>
      <c r="F63" s="1557" t="s">
        <v>68</v>
      </c>
      <c r="G63" s="1557"/>
      <c r="H63" s="1531"/>
      <c r="I63" s="1473" t="s">
        <v>2680</v>
      </c>
      <c r="J63" s="1563">
        <f>3.14*0.006^2</f>
        <v>1.1304E-4</v>
      </c>
      <c r="K63" s="1528">
        <v>0.05</v>
      </c>
      <c r="L63" s="1559">
        <v>2710</v>
      </c>
      <c r="M63" s="1558">
        <v>1</v>
      </c>
      <c r="N63" s="1511">
        <f>IF(J63="",D63*M63,D63*J63*K63*L63*M63)</f>
        <v>6.4331064000000007E-2</v>
      </c>
      <c r="O63" s="143"/>
    </row>
    <row r="64" spans="1:16" x14ac:dyDescent="0.25">
      <c r="A64" s="98"/>
      <c r="B64" s="95"/>
      <c r="C64" s="95"/>
      <c r="D64" s="95"/>
      <c r="E64" s="95"/>
      <c r="F64" s="95"/>
      <c r="G64" s="95"/>
      <c r="H64" s="95"/>
      <c r="I64" s="95"/>
      <c r="J64" s="95"/>
      <c r="K64" s="95"/>
      <c r="L64" s="95"/>
      <c r="M64" s="1467" t="s">
        <v>58</v>
      </c>
      <c r="N64" s="1447">
        <f>SUM(N63:N63)</f>
        <v>6.4331064000000007E-2</v>
      </c>
      <c r="O64" s="93"/>
    </row>
    <row r="65" spans="1:15" x14ac:dyDescent="0.25">
      <c r="A65" s="107"/>
      <c r="B65" s="94"/>
      <c r="C65" s="94"/>
      <c r="D65" s="94"/>
      <c r="E65" s="94"/>
      <c r="F65" s="94"/>
      <c r="G65" s="94"/>
      <c r="H65" s="94"/>
      <c r="I65" s="94"/>
      <c r="J65" s="94"/>
      <c r="K65" s="94"/>
      <c r="L65" s="94"/>
      <c r="M65" s="94"/>
      <c r="N65" s="94"/>
      <c r="O65" s="93"/>
    </row>
    <row r="66" spans="1:15" x14ac:dyDescent="0.25">
      <c r="A66" s="1466" t="s">
        <v>67</v>
      </c>
      <c r="B66" s="1465" t="s">
        <v>106</v>
      </c>
      <c r="C66" s="1465" t="s">
        <v>66</v>
      </c>
      <c r="D66" s="1465" t="s">
        <v>65</v>
      </c>
      <c r="E66" s="1465" t="s">
        <v>64</v>
      </c>
      <c r="F66" s="1465" t="s">
        <v>40</v>
      </c>
      <c r="G66" s="1465" t="s">
        <v>105</v>
      </c>
      <c r="H66" s="1465" t="s">
        <v>104</v>
      </c>
      <c r="I66" s="1465" t="s">
        <v>58</v>
      </c>
      <c r="J66" s="95"/>
      <c r="K66" s="95"/>
      <c r="L66" s="95"/>
      <c r="M66" s="95"/>
      <c r="N66" s="95"/>
      <c r="O66" s="93"/>
    </row>
    <row r="67" spans="1:15" x14ac:dyDescent="0.25">
      <c r="A67" s="1458">
        <v>10</v>
      </c>
      <c r="B67" s="1461" t="s">
        <v>2625</v>
      </c>
      <c r="C67" s="1463"/>
      <c r="D67" s="1459">
        <v>0.4</v>
      </c>
      <c r="E67" s="1458" t="s">
        <v>101</v>
      </c>
      <c r="F67" s="1458">
        <v>1</v>
      </c>
      <c r="G67" s="1458"/>
      <c r="H67" s="1458"/>
      <c r="I67" s="1505">
        <f>IF(H67="",D67*F67,D67*F67*H67)</f>
        <v>0.4</v>
      </c>
      <c r="J67" s="142"/>
      <c r="K67" s="142"/>
      <c r="L67" s="142"/>
      <c r="M67" s="142"/>
      <c r="N67" s="142"/>
      <c r="O67" s="120"/>
    </row>
    <row r="68" spans="1:15" x14ac:dyDescent="0.25">
      <c r="A68" s="98"/>
      <c r="B68" s="95"/>
      <c r="C68" s="95"/>
      <c r="D68" s="95"/>
      <c r="E68" s="95"/>
      <c r="F68" s="95"/>
      <c r="G68" s="95"/>
      <c r="H68" s="1448" t="s">
        <v>58</v>
      </c>
      <c r="I68" s="1447">
        <f>SUM(I67:I67)</f>
        <v>0.4</v>
      </c>
      <c r="J68" s="95"/>
      <c r="K68" s="95"/>
      <c r="L68" s="95"/>
      <c r="M68" s="95"/>
      <c r="N68" s="95"/>
      <c r="O68" s="93"/>
    </row>
    <row r="69" spans="1:15" ht="15.75" thickBot="1" x14ac:dyDescent="0.3">
      <c r="A69" s="92"/>
      <c r="B69" s="91"/>
      <c r="C69" s="91"/>
      <c r="D69" s="91"/>
      <c r="E69" s="91"/>
      <c r="F69" s="91"/>
      <c r="G69" s="91"/>
      <c r="H69" s="544"/>
      <c r="I69" s="544"/>
      <c r="J69" s="91"/>
      <c r="K69" s="91"/>
      <c r="L69" s="91"/>
      <c r="M69" s="91"/>
      <c r="N69" s="91"/>
      <c r="O69" s="90"/>
    </row>
    <row r="70" spans="1:15" ht="15.75" thickBot="1" x14ac:dyDescent="0.3">
      <c r="A70" s="94"/>
      <c r="B70" s="94"/>
      <c r="C70" s="94"/>
      <c r="D70" s="94"/>
      <c r="E70" s="94"/>
      <c r="F70" s="94"/>
      <c r="G70" s="94"/>
      <c r="H70" s="675"/>
      <c r="I70" s="675"/>
      <c r="J70" s="94"/>
      <c r="K70" s="94"/>
      <c r="L70" s="94"/>
      <c r="M70" s="94"/>
      <c r="N70" s="94"/>
      <c r="O70" s="94"/>
    </row>
    <row r="71" spans="1:15" x14ac:dyDescent="0.25">
      <c r="A71" s="141"/>
      <c r="B71" s="140"/>
      <c r="C71" s="140"/>
      <c r="D71" s="140"/>
      <c r="E71" s="140"/>
      <c r="F71" s="140"/>
      <c r="G71" s="140"/>
      <c r="H71" s="140"/>
      <c r="I71" s="140"/>
      <c r="J71" s="272"/>
      <c r="K71" s="140"/>
      <c r="L71" s="140"/>
      <c r="M71" s="140"/>
      <c r="N71" s="140"/>
      <c r="O71" s="139"/>
    </row>
    <row r="72" spans="1:15" x14ac:dyDescent="0.25">
      <c r="A72" s="1454" t="s">
        <v>57</v>
      </c>
      <c r="B72" s="133" t="s">
        <v>523</v>
      </c>
      <c r="C72" s="94"/>
      <c r="D72" s="94"/>
      <c r="E72" s="94"/>
      <c r="F72" s="94"/>
      <c r="G72" s="94"/>
      <c r="H72" s="94"/>
      <c r="I72" s="94"/>
      <c r="J72" s="1456" t="s">
        <v>51</v>
      </c>
      <c r="K72" s="138">
        <v>81</v>
      </c>
      <c r="L72" s="94"/>
      <c r="M72" s="1454" t="s">
        <v>113</v>
      </c>
      <c r="N72" s="100">
        <f>SU_01004_m+SU_01004_p</f>
        <v>12.904405983885434</v>
      </c>
      <c r="O72" s="93"/>
    </row>
    <row r="73" spans="1:15" x14ac:dyDescent="0.25">
      <c r="A73" s="1454" t="s">
        <v>125</v>
      </c>
      <c r="B73" s="133" t="s">
        <v>5</v>
      </c>
      <c r="C73" s="94"/>
      <c r="D73" s="1454" t="s">
        <v>122</v>
      </c>
      <c r="E73" s="94"/>
      <c r="F73" s="94"/>
      <c r="G73" s="94"/>
      <c r="H73" s="94"/>
      <c r="I73" s="94"/>
      <c r="J73" s="94"/>
      <c r="K73" s="94"/>
      <c r="L73" s="94"/>
      <c r="M73" s="1454" t="s">
        <v>124</v>
      </c>
      <c r="N73" s="136">
        <v>1</v>
      </c>
      <c r="O73" s="93"/>
    </row>
    <row r="74" spans="1:15" x14ac:dyDescent="0.25">
      <c r="A74" s="1454" t="s">
        <v>123</v>
      </c>
      <c r="B74" s="270" t="s">
        <v>2486</v>
      </c>
      <c r="C74" s="94"/>
      <c r="D74" s="1454" t="s">
        <v>119</v>
      </c>
      <c r="E74" s="94"/>
      <c r="F74" s="94"/>
      <c r="G74" s="94"/>
      <c r="H74" s="94"/>
      <c r="I74" s="94"/>
      <c r="J74" s="1455" t="s">
        <v>122</v>
      </c>
      <c r="K74" s="94"/>
      <c r="L74" s="94"/>
      <c r="M74" s="94"/>
      <c r="N74" s="94"/>
      <c r="O74" s="93"/>
    </row>
    <row r="75" spans="1:15" x14ac:dyDescent="0.25">
      <c r="A75" s="1454" t="s">
        <v>114</v>
      </c>
      <c r="B75" s="135" t="s">
        <v>2477</v>
      </c>
      <c r="C75" s="94"/>
      <c r="D75" s="1454" t="s">
        <v>116</v>
      </c>
      <c r="E75" s="94"/>
      <c r="F75" s="94"/>
      <c r="G75" s="94"/>
      <c r="H75" s="94"/>
      <c r="I75" s="94"/>
      <c r="J75" s="1455" t="s">
        <v>119</v>
      </c>
      <c r="K75" s="94"/>
      <c r="L75" s="94"/>
      <c r="M75" s="1454" t="s">
        <v>118</v>
      </c>
      <c r="N75" s="100">
        <f>N73*N72</f>
        <v>12.904405983885434</v>
      </c>
      <c r="O75" s="93"/>
    </row>
    <row r="76" spans="1:15" x14ac:dyDescent="0.25">
      <c r="A76" s="1454" t="s">
        <v>121</v>
      </c>
      <c r="B76" s="269" t="s">
        <v>2679</v>
      </c>
      <c r="C76" s="94"/>
      <c r="D76" s="94"/>
      <c r="E76" s="94"/>
      <c r="F76" s="94"/>
      <c r="G76" s="94"/>
      <c r="H76" s="94"/>
      <c r="I76" s="94"/>
      <c r="J76" s="1455" t="s">
        <v>116</v>
      </c>
      <c r="K76" s="94"/>
      <c r="L76" s="94"/>
      <c r="M76" s="94"/>
      <c r="N76" s="94"/>
      <c r="O76" s="93"/>
    </row>
    <row r="77" spans="1:15" x14ac:dyDescent="0.25">
      <c r="A77" s="1454" t="s">
        <v>117</v>
      </c>
      <c r="B77" s="133" t="s">
        <v>23</v>
      </c>
      <c r="C77" s="94"/>
      <c r="D77" s="94"/>
      <c r="E77" s="94"/>
      <c r="F77" s="94"/>
      <c r="G77" s="94"/>
      <c r="H77" s="94"/>
      <c r="I77" s="94"/>
      <c r="J77" s="94"/>
      <c r="K77" s="94"/>
      <c r="L77" s="94"/>
      <c r="M77" s="94"/>
      <c r="N77" s="94"/>
      <c r="O77" s="93"/>
    </row>
    <row r="78" spans="1:15" x14ac:dyDescent="0.25">
      <c r="A78" s="1454" t="s">
        <v>115</v>
      </c>
      <c r="B78" s="133"/>
      <c r="C78" s="94"/>
      <c r="D78" s="94"/>
      <c r="E78" s="94"/>
      <c r="F78" s="94"/>
      <c r="G78" s="94"/>
      <c r="H78" s="94"/>
      <c r="I78" s="94"/>
      <c r="J78" s="94"/>
      <c r="K78" s="94"/>
      <c r="L78" s="94"/>
      <c r="M78" s="94"/>
      <c r="N78" s="94"/>
      <c r="O78" s="93"/>
    </row>
    <row r="79" spans="1:15" x14ac:dyDescent="0.25">
      <c r="A79" s="266"/>
      <c r="B79" s="265"/>
      <c r="C79" s="265"/>
      <c r="D79" s="265"/>
      <c r="E79" s="265"/>
      <c r="F79" s="94"/>
      <c r="G79" s="94"/>
      <c r="H79" s="94"/>
      <c r="I79" s="94"/>
      <c r="J79" s="94"/>
      <c r="K79" s="94"/>
      <c r="L79" s="94"/>
      <c r="M79" s="94"/>
      <c r="N79" s="94"/>
      <c r="O79" s="93"/>
    </row>
    <row r="80" spans="1:15" x14ac:dyDescent="0.25">
      <c r="A80" s="1453" t="s">
        <v>67</v>
      </c>
      <c r="B80" s="1452" t="s">
        <v>112</v>
      </c>
      <c r="C80" s="1452" t="s">
        <v>66</v>
      </c>
      <c r="D80" s="1452" t="s">
        <v>65</v>
      </c>
      <c r="E80" s="1452" t="s">
        <v>81</v>
      </c>
      <c r="F80" s="1465" t="s">
        <v>80</v>
      </c>
      <c r="G80" s="1465" t="s">
        <v>79</v>
      </c>
      <c r="H80" s="1465" t="s">
        <v>78</v>
      </c>
      <c r="I80" s="1465" t="s">
        <v>111</v>
      </c>
      <c r="J80" s="1465" t="s">
        <v>110</v>
      </c>
      <c r="K80" s="1465" t="s">
        <v>109</v>
      </c>
      <c r="L80" s="1465" t="s">
        <v>108</v>
      </c>
      <c r="M80" s="1465" t="s">
        <v>40</v>
      </c>
      <c r="N80" s="1465" t="s">
        <v>58</v>
      </c>
      <c r="O80" s="93"/>
    </row>
    <row r="81" spans="1:15" ht="30" x14ac:dyDescent="0.25">
      <c r="A81" s="1458">
        <v>10</v>
      </c>
      <c r="B81" s="1475" t="s">
        <v>1000</v>
      </c>
      <c r="C81" s="1508" t="s">
        <v>1240</v>
      </c>
      <c r="D81" s="1507">
        <v>200</v>
      </c>
      <c r="E81" s="1458">
        <v>16</v>
      </c>
      <c r="F81" s="1458" t="s">
        <v>68</v>
      </c>
      <c r="G81" s="1458">
        <v>2</v>
      </c>
      <c r="H81" s="1470" t="s">
        <v>68</v>
      </c>
      <c r="I81" s="1473" t="s">
        <v>2678</v>
      </c>
      <c r="J81" s="1472">
        <f>(1/4)*PI()*((E81*0.001)^2-(E81*0.001-2*G81*0.001)^2)</f>
        <v>8.7964594300514196E-5</v>
      </c>
      <c r="K81" s="1471">
        <v>0.32600000000000001</v>
      </c>
      <c r="L81" s="1516">
        <v>2000</v>
      </c>
      <c r="M81" s="1469">
        <v>1</v>
      </c>
      <c r="N81" s="1505">
        <f>IF(J81="",D81*M81,D81*J81*K81*L81*M81)</f>
        <v>11.470583096787053</v>
      </c>
      <c r="O81" s="143"/>
    </row>
    <row r="82" spans="1:15" x14ac:dyDescent="0.25">
      <c r="A82" s="98"/>
      <c r="B82" s="95"/>
      <c r="C82" s="95"/>
      <c r="D82" s="95"/>
      <c r="E82" s="95"/>
      <c r="F82" s="95"/>
      <c r="G82" s="95"/>
      <c r="H82" s="95"/>
      <c r="I82" s="95"/>
      <c r="J82" s="95"/>
      <c r="K82" s="95"/>
      <c r="L82" s="95"/>
      <c r="M82" s="1467" t="s">
        <v>58</v>
      </c>
      <c r="N82" s="1447">
        <f>SUM(N81:N81)</f>
        <v>11.470583096787053</v>
      </c>
      <c r="O82" s="93"/>
    </row>
    <row r="83" spans="1:15" x14ac:dyDescent="0.25">
      <c r="A83" s="107"/>
      <c r="B83" s="94"/>
      <c r="C83" s="94"/>
      <c r="D83" s="94"/>
      <c r="E83" s="94"/>
      <c r="F83" s="94"/>
      <c r="G83" s="94"/>
      <c r="H83" s="94"/>
      <c r="I83" s="94"/>
      <c r="J83" s="94"/>
      <c r="K83" s="94"/>
      <c r="L83" s="94"/>
      <c r="M83" s="94"/>
      <c r="N83" s="94"/>
      <c r="O83" s="93"/>
    </row>
    <row r="84" spans="1:15" x14ac:dyDescent="0.25">
      <c r="A84" s="1466" t="s">
        <v>67</v>
      </c>
      <c r="B84" s="1465" t="s">
        <v>106</v>
      </c>
      <c r="C84" s="1465" t="s">
        <v>66</v>
      </c>
      <c r="D84" s="1465" t="s">
        <v>65</v>
      </c>
      <c r="E84" s="1465" t="s">
        <v>64</v>
      </c>
      <c r="F84" s="1465" t="s">
        <v>40</v>
      </c>
      <c r="G84" s="1465" t="s">
        <v>105</v>
      </c>
      <c r="H84" s="1465" t="s">
        <v>104</v>
      </c>
      <c r="I84" s="1465" t="s">
        <v>58</v>
      </c>
      <c r="J84" s="95"/>
      <c r="K84" s="95"/>
      <c r="L84" s="95"/>
      <c r="M84" s="95"/>
      <c r="N84" s="95"/>
      <c r="O84" s="93"/>
    </row>
    <row r="85" spans="1:15" ht="30" x14ac:dyDescent="0.25">
      <c r="A85" s="1544">
        <v>10</v>
      </c>
      <c r="B85" s="1461" t="s">
        <v>1280</v>
      </c>
      <c r="C85" s="1546" t="s">
        <v>1279</v>
      </c>
      <c r="D85" s="1507">
        <v>25</v>
      </c>
      <c r="E85" s="1461" t="s">
        <v>794</v>
      </c>
      <c r="F85" s="1574">
        <f>J81*K81*L81</f>
        <v>5.7352915483935257E-2</v>
      </c>
      <c r="G85" s="1544"/>
      <c r="H85" s="1544"/>
      <c r="I85" s="1511">
        <f>IF(H85="",D85*F85,D85*F85*H85)</f>
        <v>1.4338228870983813</v>
      </c>
      <c r="J85" s="142"/>
      <c r="K85" s="142"/>
      <c r="L85" s="142"/>
      <c r="M85" s="142"/>
      <c r="N85" s="142"/>
      <c r="O85" s="120"/>
    </row>
    <row r="86" spans="1:15" x14ac:dyDescent="0.25">
      <c r="A86" s="98"/>
      <c r="B86" s="95"/>
      <c r="C86" s="95"/>
      <c r="D86" s="95"/>
      <c r="E86" s="95"/>
      <c r="F86" s="95"/>
      <c r="G86" s="95"/>
      <c r="H86" s="1448" t="s">
        <v>58</v>
      </c>
      <c r="I86" s="1447">
        <f>SUM(I85:I85)</f>
        <v>1.4338228870983813</v>
      </c>
      <c r="J86" s="95"/>
      <c r="K86" s="95"/>
      <c r="L86" s="95"/>
      <c r="M86" s="95"/>
      <c r="N86" s="95"/>
      <c r="O86" s="93"/>
    </row>
    <row r="87" spans="1:15" x14ac:dyDescent="0.25">
      <c r="A87" s="107"/>
      <c r="B87" s="94"/>
      <c r="C87" s="94"/>
      <c r="D87" s="94"/>
      <c r="E87" s="94"/>
      <c r="F87" s="94"/>
      <c r="G87" s="94"/>
      <c r="H87" s="94"/>
      <c r="I87" s="99"/>
      <c r="J87" s="94"/>
      <c r="K87" s="94"/>
      <c r="L87" s="94"/>
      <c r="M87" s="94"/>
      <c r="N87" s="94"/>
      <c r="O87" s="93"/>
    </row>
    <row r="88" spans="1:15" x14ac:dyDescent="0.25">
      <c r="A88" s="107"/>
      <c r="B88" s="94"/>
      <c r="C88" s="94"/>
      <c r="D88" s="94"/>
      <c r="E88" s="94"/>
      <c r="F88" s="94"/>
      <c r="G88" s="94"/>
      <c r="H88" s="94"/>
      <c r="I88" s="99"/>
      <c r="J88" s="94"/>
      <c r="K88" s="94"/>
      <c r="L88" s="94"/>
      <c r="M88" s="94"/>
      <c r="N88" s="94"/>
      <c r="O88" s="93"/>
    </row>
    <row r="89" spans="1:15" x14ac:dyDescent="0.25">
      <c r="A89" s="107"/>
      <c r="B89" s="94"/>
      <c r="C89" s="94"/>
      <c r="D89" s="94"/>
      <c r="E89" s="94"/>
      <c r="F89" s="94"/>
      <c r="G89" s="94"/>
      <c r="H89" s="94"/>
      <c r="I89" s="99"/>
      <c r="J89" s="94"/>
      <c r="K89" s="94"/>
      <c r="L89" s="94"/>
      <c r="M89" s="94"/>
      <c r="N89" s="94"/>
      <c r="O89" s="93"/>
    </row>
    <row r="90" spans="1:15" ht="15.75" thickBot="1" x14ac:dyDescent="0.3">
      <c r="A90" s="92"/>
      <c r="B90" s="91"/>
      <c r="C90" s="91"/>
      <c r="D90" s="91"/>
      <c r="E90" s="91"/>
      <c r="F90" s="91"/>
      <c r="G90" s="91"/>
      <c r="H90" s="91"/>
      <c r="I90" s="91"/>
      <c r="J90" s="91"/>
      <c r="K90" s="91"/>
      <c r="L90" s="91"/>
      <c r="M90" s="91"/>
      <c r="N90" s="91"/>
      <c r="O90" s="90"/>
    </row>
    <row r="91" spans="1:15" ht="15.75" thickBot="1" x14ac:dyDescent="0.3"/>
    <row r="92" spans="1:15" x14ac:dyDescent="0.25">
      <c r="A92" s="141"/>
      <c r="B92" s="140"/>
      <c r="C92" s="140"/>
      <c r="D92" s="140"/>
      <c r="E92" s="140"/>
      <c r="F92" s="140"/>
      <c r="G92" s="140"/>
      <c r="H92" s="140"/>
      <c r="I92" s="140"/>
      <c r="J92" s="272"/>
      <c r="K92" s="140"/>
      <c r="L92" s="140"/>
      <c r="M92" s="140"/>
      <c r="N92" s="140"/>
      <c r="O92" s="139"/>
    </row>
    <row r="93" spans="1:15" x14ac:dyDescent="0.25">
      <c r="A93" s="1454" t="s">
        <v>57</v>
      </c>
      <c r="B93" s="133" t="s">
        <v>523</v>
      </c>
      <c r="C93" s="94"/>
      <c r="D93" s="94"/>
      <c r="E93" s="94"/>
      <c r="F93" s="94"/>
      <c r="G93" s="94"/>
      <c r="H93" s="94"/>
      <c r="I93" s="94"/>
      <c r="J93" s="1456" t="s">
        <v>51</v>
      </c>
      <c r="K93" s="138">
        <v>81</v>
      </c>
      <c r="L93" s="94"/>
      <c r="M93" s="1454" t="s">
        <v>113</v>
      </c>
      <c r="N93" s="100">
        <f>SU_01005_m+SU_01005_p</f>
        <v>13.300246658237745</v>
      </c>
      <c r="O93" s="93"/>
    </row>
    <row r="94" spans="1:15" x14ac:dyDescent="0.25">
      <c r="A94" s="1454" t="s">
        <v>125</v>
      </c>
      <c r="B94" s="133" t="s">
        <v>5</v>
      </c>
      <c r="C94" s="94"/>
      <c r="D94" s="1454" t="s">
        <v>122</v>
      </c>
      <c r="E94" s="94"/>
      <c r="F94" s="94"/>
      <c r="G94" s="94"/>
      <c r="H94" s="94"/>
      <c r="I94" s="94"/>
      <c r="J94" s="94"/>
      <c r="K94" s="94"/>
      <c r="L94" s="94"/>
      <c r="M94" s="1454" t="s">
        <v>124</v>
      </c>
      <c r="N94" s="136">
        <v>1</v>
      </c>
      <c r="O94" s="93"/>
    </row>
    <row r="95" spans="1:15" x14ac:dyDescent="0.25">
      <c r="A95" s="1454" t="s">
        <v>123</v>
      </c>
      <c r="B95" s="270" t="s">
        <v>2486</v>
      </c>
      <c r="C95" s="94"/>
      <c r="D95" s="1454" t="s">
        <v>119</v>
      </c>
      <c r="E95" s="94"/>
      <c r="F95" s="94"/>
      <c r="G95" s="94"/>
      <c r="H95" s="94"/>
      <c r="I95" s="94"/>
      <c r="J95" s="1455" t="s">
        <v>122</v>
      </c>
      <c r="K95" s="94"/>
      <c r="L95" s="94"/>
      <c r="M95" s="94"/>
      <c r="N95" s="94"/>
      <c r="O95" s="93"/>
    </row>
    <row r="96" spans="1:15" x14ac:dyDescent="0.25">
      <c r="A96" s="1454" t="s">
        <v>114</v>
      </c>
      <c r="B96" s="135" t="s">
        <v>2476</v>
      </c>
      <c r="C96" s="94"/>
      <c r="D96" s="1454" t="s">
        <v>116</v>
      </c>
      <c r="E96" s="94"/>
      <c r="F96" s="94"/>
      <c r="G96" s="94"/>
      <c r="H96" s="94"/>
      <c r="I96" s="94"/>
      <c r="J96" s="1455" t="s">
        <v>119</v>
      </c>
      <c r="K96" s="94"/>
      <c r="L96" s="94"/>
      <c r="M96" s="1454" t="s">
        <v>118</v>
      </c>
      <c r="N96" s="100">
        <f>N94*N93</f>
        <v>13.300246658237745</v>
      </c>
      <c r="O96" s="93"/>
    </row>
    <row r="97" spans="1:16" x14ac:dyDescent="0.25">
      <c r="A97" s="1454" t="s">
        <v>121</v>
      </c>
      <c r="B97" s="269" t="s">
        <v>2677</v>
      </c>
      <c r="C97" s="94"/>
      <c r="D97" s="94"/>
      <c r="E97" s="94"/>
      <c r="F97" s="94"/>
      <c r="G97" s="94"/>
      <c r="H97" s="94"/>
      <c r="I97" s="94"/>
      <c r="J97" s="1455" t="s">
        <v>116</v>
      </c>
      <c r="K97" s="94"/>
      <c r="L97" s="94"/>
      <c r="M97" s="94"/>
      <c r="N97" s="94"/>
      <c r="O97" s="93"/>
    </row>
    <row r="98" spans="1:16" x14ac:dyDescent="0.25">
      <c r="A98" s="1454" t="s">
        <v>117</v>
      </c>
      <c r="B98" s="133" t="s">
        <v>23</v>
      </c>
      <c r="C98" s="94"/>
      <c r="D98" s="94"/>
      <c r="E98" s="94"/>
      <c r="F98" s="94"/>
      <c r="G98" s="94"/>
      <c r="H98" s="94"/>
      <c r="I98" s="94"/>
      <c r="J98" s="94"/>
      <c r="K98" s="94"/>
      <c r="L98" s="94"/>
      <c r="M98" s="94"/>
      <c r="N98" s="94"/>
      <c r="O98" s="93"/>
    </row>
    <row r="99" spans="1:16" x14ac:dyDescent="0.25">
      <c r="A99" s="1454" t="s">
        <v>115</v>
      </c>
      <c r="B99" s="133"/>
      <c r="C99" s="94"/>
      <c r="D99" s="94"/>
      <c r="E99" s="94"/>
      <c r="F99" s="94"/>
      <c r="G99" s="94"/>
      <c r="H99" s="94"/>
      <c r="I99" s="94"/>
      <c r="J99" s="94"/>
      <c r="K99" s="94"/>
      <c r="L99" s="94"/>
      <c r="M99" s="94"/>
      <c r="N99" s="94"/>
      <c r="O99" s="93"/>
    </row>
    <row r="100" spans="1:16" x14ac:dyDescent="0.25">
      <c r="A100" s="266"/>
      <c r="B100" s="265"/>
      <c r="C100" s="265"/>
      <c r="D100" s="265"/>
      <c r="E100" s="265"/>
      <c r="F100" s="94"/>
      <c r="G100" s="94"/>
      <c r="H100" s="94"/>
      <c r="I100" s="94"/>
      <c r="J100" s="94"/>
      <c r="K100" s="94"/>
      <c r="L100" s="94"/>
      <c r="M100" s="94"/>
      <c r="N100" s="94"/>
      <c r="O100" s="93"/>
    </row>
    <row r="101" spans="1:16" x14ac:dyDescent="0.25">
      <c r="A101" s="1453" t="s">
        <v>67</v>
      </c>
      <c r="B101" s="1452" t="s">
        <v>112</v>
      </c>
      <c r="C101" s="1452" t="s">
        <v>66</v>
      </c>
      <c r="D101" s="1452" t="s">
        <v>65</v>
      </c>
      <c r="E101" s="1452" t="s">
        <v>81</v>
      </c>
      <c r="F101" s="1465" t="s">
        <v>80</v>
      </c>
      <c r="G101" s="1465" t="s">
        <v>79</v>
      </c>
      <c r="H101" s="1465" t="s">
        <v>78</v>
      </c>
      <c r="I101" s="1465" t="s">
        <v>111</v>
      </c>
      <c r="J101" s="1465" t="s">
        <v>110</v>
      </c>
      <c r="K101" s="1465" t="s">
        <v>109</v>
      </c>
      <c r="L101" s="1465" t="s">
        <v>108</v>
      </c>
      <c r="M101" s="1465" t="s">
        <v>40</v>
      </c>
      <c r="N101" s="1465" t="s">
        <v>58</v>
      </c>
      <c r="O101" s="93"/>
    </row>
    <row r="102" spans="1:16" ht="30" x14ac:dyDescent="0.25">
      <c r="A102" s="1458">
        <v>10</v>
      </c>
      <c r="B102" s="1475" t="s">
        <v>1000</v>
      </c>
      <c r="C102" s="1508" t="s">
        <v>1240</v>
      </c>
      <c r="D102" s="1507">
        <v>200</v>
      </c>
      <c r="E102" s="1458">
        <v>16</v>
      </c>
      <c r="F102" s="1458" t="s">
        <v>68</v>
      </c>
      <c r="G102" s="1458">
        <v>2</v>
      </c>
      <c r="H102" s="1470" t="s">
        <v>68</v>
      </c>
      <c r="I102" s="1473" t="s">
        <v>2676</v>
      </c>
      <c r="J102" s="1472">
        <f>(1/4)*PI()*((E102*0.001)^2-(E102*0.001-2*G102*0.001)^2)</f>
        <v>8.7964594300514196E-5</v>
      </c>
      <c r="K102" s="1471">
        <v>0.33600000000000002</v>
      </c>
      <c r="L102" s="1516">
        <v>2000</v>
      </c>
      <c r="M102" s="1469">
        <v>1</v>
      </c>
      <c r="N102" s="1505">
        <f>IF(J102="",D102*M102,D102*J102*K102*L102*M102)</f>
        <v>11.822441473989107</v>
      </c>
      <c r="O102" s="143"/>
    </row>
    <row r="103" spans="1:16" x14ac:dyDescent="0.25">
      <c r="A103" s="98"/>
      <c r="B103" s="95"/>
      <c r="C103" s="95"/>
      <c r="D103" s="95"/>
      <c r="E103" s="95"/>
      <c r="F103" s="95"/>
      <c r="G103" s="95"/>
      <c r="H103" s="95"/>
      <c r="I103" s="95"/>
      <c r="J103" s="95"/>
      <c r="K103" s="95"/>
      <c r="L103" s="95"/>
      <c r="M103" s="1467" t="s">
        <v>58</v>
      </c>
      <c r="N103" s="1447">
        <f>SUM(N102:N102)</f>
        <v>11.822441473989107</v>
      </c>
      <c r="O103" s="93"/>
    </row>
    <row r="104" spans="1:16" x14ac:dyDescent="0.25">
      <c r="A104" s="107"/>
      <c r="B104" s="94"/>
      <c r="C104" s="94"/>
      <c r="D104" s="94"/>
      <c r="E104" s="94"/>
      <c r="F104" s="94"/>
      <c r="G104" s="94"/>
      <c r="H104" s="94"/>
      <c r="I104" s="94"/>
      <c r="J104" s="94"/>
      <c r="K104" s="94"/>
      <c r="L104" s="94"/>
      <c r="M104" s="94"/>
      <c r="N104" s="94"/>
      <c r="O104" s="93"/>
    </row>
    <row r="105" spans="1:16" x14ac:dyDescent="0.25">
      <c r="A105" s="1466" t="s">
        <v>67</v>
      </c>
      <c r="B105" s="1465" t="s">
        <v>106</v>
      </c>
      <c r="C105" s="1465" t="s">
        <v>66</v>
      </c>
      <c r="D105" s="1465" t="s">
        <v>65</v>
      </c>
      <c r="E105" s="1465" t="s">
        <v>64</v>
      </c>
      <c r="F105" s="1465" t="s">
        <v>40</v>
      </c>
      <c r="G105" s="1465" t="s">
        <v>105</v>
      </c>
      <c r="H105" s="1465" t="s">
        <v>104</v>
      </c>
      <c r="I105" s="1465" t="s">
        <v>58</v>
      </c>
      <c r="J105" s="95"/>
      <c r="K105" s="95"/>
      <c r="L105" s="95"/>
      <c r="M105" s="95"/>
      <c r="N105" s="95"/>
      <c r="O105" s="93"/>
    </row>
    <row r="106" spans="1:16" ht="30" x14ac:dyDescent="0.25">
      <c r="A106" s="1544">
        <v>10</v>
      </c>
      <c r="B106" s="1461" t="s">
        <v>1280</v>
      </c>
      <c r="C106" s="1546" t="s">
        <v>1279</v>
      </c>
      <c r="D106" s="1507">
        <v>25</v>
      </c>
      <c r="E106" s="1461" t="s">
        <v>794</v>
      </c>
      <c r="F106" s="1544">
        <f>J102*K102*L102</f>
        <v>5.9112207369945539E-2</v>
      </c>
      <c r="G106" s="1544"/>
      <c r="H106" s="1544"/>
      <c r="I106" s="1511">
        <f>IF(H106="",D106*F106,D106*F106*H106)</f>
        <v>1.4778051842486384</v>
      </c>
      <c r="J106" s="142"/>
      <c r="K106" s="142"/>
      <c r="L106" s="142"/>
      <c r="M106" s="142"/>
      <c r="N106" s="142"/>
      <c r="O106" s="120"/>
    </row>
    <row r="107" spans="1:16" x14ac:dyDescent="0.25">
      <c r="A107" s="98"/>
      <c r="B107" s="95"/>
      <c r="C107" s="95"/>
      <c r="D107" s="95"/>
      <c r="E107" s="95"/>
      <c r="F107" s="95"/>
      <c r="G107" s="95"/>
      <c r="H107" s="1448" t="s">
        <v>58</v>
      </c>
      <c r="I107" s="1447">
        <f>SUM(I106:I106)</f>
        <v>1.4778051842486384</v>
      </c>
      <c r="J107" s="95"/>
      <c r="K107" s="95"/>
      <c r="L107" s="95"/>
      <c r="M107" s="95"/>
      <c r="N107" s="95"/>
      <c r="O107" s="93"/>
    </row>
    <row r="108" spans="1:16" x14ac:dyDescent="0.25">
      <c r="A108" s="107"/>
      <c r="B108" s="94"/>
      <c r="C108" s="94"/>
      <c r="D108" s="94"/>
      <c r="E108" s="94"/>
      <c r="F108" s="94"/>
      <c r="G108" s="94"/>
      <c r="H108" s="94"/>
      <c r="I108" s="99"/>
      <c r="J108" s="94"/>
      <c r="K108" s="94"/>
      <c r="L108" s="94"/>
      <c r="M108" s="94"/>
      <c r="N108" s="94"/>
      <c r="O108" s="93"/>
    </row>
    <row r="109" spans="1:16" x14ac:dyDescent="0.25">
      <c r="A109" s="107"/>
      <c r="B109" s="94"/>
      <c r="C109" s="94"/>
      <c r="D109" s="94"/>
      <c r="E109" s="94"/>
      <c r="F109" s="94"/>
      <c r="G109" s="94"/>
      <c r="H109" s="94"/>
      <c r="I109" s="99"/>
      <c r="J109" s="94"/>
      <c r="K109" s="94"/>
      <c r="L109" s="94"/>
      <c r="M109" s="94"/>
      <c r="N109" s="94"/>
      <c r="O109" s="93"/>
    </row>
    <row r="110" spans="1:16" x14ac:dyDescent="0.25">
      <c r="A110" s="107"/>
      <c r="B110" s="94"/>
      <c r="C110" s="94"/>
      <c r="D110" s="94"/>
      <c r="E110" s="94"/>
      <c r="F110" s="94"/>
      <c r="G110" s="94"/>
      <c r="H110" s="94"/>
      <c r="I110" s="99"/>
      <c r="J110" s="94"/>
      <c r="K110" s="94"/>
      <c r="L110" s="94"/>
      <c r="M110" s="94"/>
      <c r="N110" s="94"/>
      <c r="O110" s="93"/>
    </row>
    <row r="111" spans="1:16" ht="15.75" thickBot="1" x14ac:dyDescent="0.3">
      <c r="A111" s="92"/>
      <c r="B111" s="91"/>
      <c r="C111" s="91"/>
      <c r="D111" s="91"/>
      <c r="E111" s="91"/>
      <c r="F111" s="91"/>
      <c r="G111" s="91"/>
      <c r="H111" s="91"/>
      <c r="I111" s="91"/>
      <c r="J111" s="91"/>
      <c r="K111" s="91"/>
      <c r="L111" s="91"/>
      <c r="M111" s="91"/>
      <c r="N111" s="91"/>
      <c r="O111" s="90"/>
    </row>
    <row r="112" spans="1:16" ht="15.75" thickBot="1" x14ac:dyDescent="0.3">
      <c r="A112" s="107"/>
      <c r="B112" s="94"/>
      <c r="C112" s="94"/>
      <c r="D112" s="94"/>
      <c r="E112" s="94"/>
      <c r="F112" s="94"/>
      <c r="G112" s="94"/>
      <c r="H112" s="94"/>
      <c r="I112" s="94"/>
      <c r="J112" s="94"/>
      <c r="K112" s="94"/>
      <c r="L112" s="94"/>
      <c r="M112" s="94"/>
      <c r="N112" s="94"/>
      <c r="O112" s="94"/>
      <c r="P112" s="94"/>
    </row>
    <row r="113" spans="1:15" x14ac:dyDescent="0.25">
      <c r="A113" s="141"/>
      <c r="B113" s="140"/>
      <c r="C113" s="140"/>
      <c r="D113" s="140"/>
      <c r="E113" s="140"/>
      <c r="F113" s="140"/>
      <c r="G113" s="140"/>
      <c r="H113" s="140"/>
      <c r="I113" s="140"/>
      <c r="J113" s="272"/>
      <c r="K113" s="140"/>
      <c r="L113" s="140"/>
      <c r="M113" s="140"/>
      <c r="N113" s="140"/>
      <c r="O113" s="139"/>
    </row>
    <row r="114" spans="1:15" x14ac:dyDescent="0.25">
      <c r="A114" s="1454" t="s">
        <v>57</v>
      </c>
      <c r="B114" s="133" t="s">
        <v>523</v>
      </c>
      <c r="C114" s="94"/>
      <c r="D114" s="94"/>
      <c r="E114" s="94"/>
      <c r="F114" s="94"/>
      <c r="G114" s="94"/>
      <c r="H114" s="94"/>
      <c r="I114" s="94"/>
      <c r="J114" s="1456" t="s">
        <v>51</v>
      </c>
      <c r="K114" s="138">
        <v>81</v>
      </c>
      <c r="L114" s="94"/>
      <c r="M114" s="1454" t="s">
        <v>113</v>
      </c>
      <c r="N114" s="100">
        <f>SU_01006_m+SU_01006_p</f>
        <v>1.6884895769514321</v>
      </c>
      <c r="O114" s="93"/>
    </row>
    <row r="115" spans="1:15" x14ac:dyDescent="0.25">
      <c r="A115" s="1454" t="s">
        <v>125</v>
      </c>
      <c r="B115" s="133" t="s">
        <v>5</v>
      </c>
      <c r="C115" s="94"/>
      <c r="D115" s="1454" t="s">
        <v>122</v>
      </c>
      <c r="E115" s="94"/>
      <c r="F115" s="94"/>
      <c r="G115" s="94"/>
      <c r="H115" s="94"/>
      <c r="I115" s="94"/>
      <c r="J115" s="94"/>
      <c r="K115" s="94"/>
      <c r="L115" s="94"/>
      <c r="M115" s="1454" t="s">
        <v>124</v>
      </c>
      <c r="N115" s="136">
        <v>6</v>
      </c>
      <c r="O115" s="93"/>
    </row>
    <row r="116" spans="1:15" x14ac:dyDescent="0.25">
      <c r="A116" s="1454" t="s">
        <v>123</v>
      </c>
      <c r="B116" s="270" t="s">
        <v>2486</v>
      </c>
      <c r="C116" s="94"/>
      <c r="D116" s="1454" t="s">
        <v>119</v>
      </c>
      <c r="E116" s="94"/>
      <c r="F116" s="94"/>
      <c r="G116" s="94"/>
      <c r="H116" s="94"/>
      <c r="I116" s="94"/>
      <c r="J116" s="1455" t="s">
        <v>122</v>
      </c>
      <c r="K116" s="94"/>
      <c r="L116" s="94"/>
      <c r="M116" s="94"/>
      <c r="N116" s="94"/>
      <c r="O116" s="93"/>
    </row>
    <row r="117" spans="1:15" x14ac:dyDescent="0.25">
      <c r="A117" s="1454" t="s">
        <v>114</v>
      </c>
      <c r="B117" s="135" t="s">
        <v>1104</v>
      </c>
      <c r="C117" s="94"/>
      <c r="D117" s="1454" t="s">
        <v>116</v>
      </c>
      <c r="E117" s="94"/>
      <c r="F117" s="94"/>
      <c r="G117" s="94"/>
      <c r="H117" s="94"/>
      <c r="I117" s="94"/>
      <c r="J117" s="1455" t="s">
        <v>119</v>
      </c>
      <c r="K117" s="94"/>
      <c r="L117" s="94"/>
      <c r="M117" s="1454" t="s">
        <v>118</v>
      </c>
      <c r="N117" s="100">
        <f>N115*N114</f>
        <v>10.130937461708593</v>
      </c>
      <c r="O117" s="93"/>
    </row>
    <row r="118" spans="1:15" x14ac:dyDescent="0.25">
      <c r="A118" s="1454" t="s">
        <v>121</v>
      </c>
      <c r="B118" s="269" t="s">
        <v>2675</v>
      </c>
      <c r="C118" s="94"/>
      <c r="D118" s="94"/>
      <c r="E118" s="94"/>
      <c r="F118" s="94"/>
      <c r="G118" s="94"/>
      <c r="H118" s="94"/>
      <c r="I118" s="94"/>
      <c r="J118" s="1455" t="s">
        <v>116</v>
      </c>
      <c r="K118" s="94"/>
      <c r="L118" s="94"/>
      <c r="M118" s="94"/>
      <c r="N118" s="94"/>
      <c r="O118" s="93"/>
    </row>
    <row r="119" spans="1:15" x14ac:dyDescent="0.25">
      <c r="A119" s="1454" t="s">
        <v>117</v>
      </c>
      <c r="B119" s="133" t="s">
        <v>23</v>
      </c>
      <c r="C119" s="94"/>
      <c r="D119" s="94"/>
      <c r="E119" s="94"/>
      <c r="F119" s="94"/>
      <c r="G119" s="94"/>
      <c r="H119" s="94"/>
      <c r="I119" s="94"/>
      <c r="J119" s="94"/>
      <c r="K119" s="94"/>
      <c r="L119" s="94"/>
      <c r="M119" s="94"/>
      <c r="N119" s="94"/>
      <c r="O119" s="93"/>
    </row>
    <row r="120" spans="1:15" x14ac:dyDescent="0.25">
      <c r="A120" s="1454" t="s">
        <v>115</v>
      </c>
      <c r="B120" s="133"/>
      <c r="C120" s="94"/>
      <c r="D120" s="94"/>
      <c r="E120" s="94"/>
      <c r="F120" s="94"/>
      <c r="G120" s="94"/>
      <c r="H120" s="94"/>
      <c r="I120" s="94"/>
      <c r="J120" s="94"/>
      <c r="K120" s="94"/>
      <c r="L120" s="94"/>
      <c r="M120" s="94"/>
      <c r="N120" s="94"/>
      <c r="O120" s="93"/>
    </row>
    <row r="121" spans="1:15" x14ac:dyDescent="0.25">
      <c r="A121" s="266"/>
      <c r="B121" s="265"/>
      <c r="C121" s="265"/>
      <c r="D121" s="265"/>
      <c r="E121" s="265"/>
      <c r="F121" s="94"/>
      <c r="G121" s="94"/>
      <c r="H121" s="94"/>
      <c r="I121" s="94"/>
      <c r="J121" s="94"/>
      <c r="K121" s="94"/>
      <c r="L121" s="94"/>
      <c r="M121" s="94"/>
      <c r="N121" s="94"/>
      <c r="O121" s="93"/>
    </row>
    <row r="122" spans="1:15" x14ac:dyDescent="0.25">
      <c r="A122" s="1453" t="s">
        <v>67</v>
      </c>
      <c r="B122" s="1452" t="s">
        <v>112</v>
      </c>
      <c r="C122" s="1452" t="s">
        <v>66</v>
      </c>
      <c r="D122" s="1452" t="s">
        <v>65</v>
      </c>
      <c r="E122" s="1452" t="s">
        <v>81</v>
      </c>
      <c r="F122" s="1465" t="s">
        <v>80</v>
      </c>
      <c r="G122" s="1465" t="s">
        <v>79</v>
      </c>
      <c r="H122" s="1465" t="s">
        <v>78</v>
      </c>
      <c r="I122" s="1465" t="s">
        <v>111</v>
      </c>
      <c r="J122" s="1465" t="s">
        <v>110</v>
      </c>
      <c r="K122" s="1465" t="s">
        <v>109</v>
      </c>
      <c r="L122" s="1465" t="s">
        <v>108</v>
      </c>
      <c r="M122" s="1465" t="s">
        <v>40</v>
      </c>
      <c r="N122" s="1465" t="s">
        <v>58</v>
      </c>
      <c r="O122" s="93"/>
    </row>
    <row r="123" spans="1:15" ht="30" x14ac:dyDescent="0.25">
      <c r="A123" s="1458">
        <v>10</v>
      </c>
      <c r="B123" s="1460" t="s">
        <v>729</v>
      </c>
      <c r="C123" s="1508"/>
      <c r="D123" s="1459">
        <v>2.25</v>
      </c>
      <c r="E123" s="1458">
        <v>14</v>
      </c>
      <c r="F123" s="1458" t="s">
        <v>68</v>
      </c>
      <c r="G123" s="1458"/>
      <c r="H123" s="1470"/>
      <c r="I123" s="1473" t="s">
        <v>2620</v>
      </c>
      <c r="J123" s="1472">
        <f>PI()*0.007*0.007</f>
        <v>1.5393804002589986E-4</v>
      </c>
      <c r="K123" s="1471">
        <f>0.004</f>
        <v>4.0000000000000001E-3</v>
      </c>
      <c r="L123" s="1470">
        <v>7860</v>
      </c>
      <c r="M123" s="1469">
        <v>1</v>
      </c>
      <c r="N123" s="1505">
        <f>IF(J123="",D123*M123,D123*J123*K123*L123*M123)</f>
        <v>1.0889576951432157E-2</v>
      </c>
      <c r="O123" s="143"/>
    </row>
    <row r="124" spans="1:15" x14ac:dyDescent="0.25">
      <c r="A124" s="98"/>
      <c r="B124" s="95"/>
      <c r="C124" s="95"/>
      <c r="D124" s="95"/>
      <c r="E124" s="95"/>
      <c r="F124" s="95"/>
      <c r="G124" s="95"/>
      <c r="H124" s="95"/>
      <c r="I124" s="95"/>
      <c r="J124" s="95"/>
      <c r="K124" s="95"/>
      <c r="L124" s="95"/>
      <c r="M124" s="1467" t="s">
        <v>58</v>
      </c>
      <c r="N124" s="1447">
        <f>SUM(N123:N123)</f>
        <v>1.0889576951432157E-2</v>
      </c>
      <c r="O124" s="93"/>
    </row>
    <row r="125" spans="1:15" x14ac:dyDescent="0.25">
      <c r="A125" s="107"/>
      <c r="B125" s="94"/>
      <c r="C125" s="94"/>
      <c r="D125" s="94"/>
      <c r="E125" s="94"/>
      <c r="F125" s="94"/>
      <c r="G125" s="94"/>
      <c r="H125" s="94"/>
      <c r="I125" s="94"/>
      <c r="J125" s="94"/>
      <c r="K125" s="94"/>
      <c r="L125" s="94"/>
      <c r="M125" s="94"/>
      <c r="N125" s="94"/>
      <c r="O125" s="93"/>
    </row>
    <row r="126" spans="1:15" x14ac:dyDescent="0.25">
      <c r="A126" s="1466" t="s">
        <v>67</v>
      </c>
      <c r="B126" s="1465" t="s">
        <v>106</v>
      </c>
      <c r="C126" s="1465" t="s">
        <v>66</v>
      </c>
      <c r="D126" s="1465" t="s">
        <v>65</v>
      </c>
      <c r="E126" s="1465" t="s">
        <v>64</v>
      </c>
      <c r="F126" s="1465" t="s">
        <v>40</v>
      </c>
      <c r="G126" s="1465" t="s">
        <v>105</v>
      </c>
      <c r="H126" s="1465" t="s">
        <v>104</v>
      </c>
      <c r="I126" s="1465" t="s">
        <v>58</v>
      </c>
      <c r="J126" s="95"/>
      <c r="K126" s="95"/>
      <c r="L126" s="95"/>
      <c r="M126" s="95"/>
      <c r="N126" s="95"/>
      <c r="O126" s="93"/>
    </row>
    <row r="127" spans="1:15" ht="30" x14ac:dyDescent="0.25">
      <c r="A127" s="1544">
        <v>10</v>
      </c>
      <c r="B127" s="1461" t="s">
        <v>516</v>
      </c>
      <c r="C127" s="1546" t="s">
        <v>528</v>
      </c>
      <c r="D127" s="1507">
        <v>1.3</v>
      </c>
      <c r="E127" s="1461" t="s">
        <v>64</v>
      </c>
      <c r="F127" s="1544">
        <v>1</v>
      </c>
      <c r="G127" s="1544"/>
      <c r="H127" s="1544"/>
      <c r="I127" s="1511">
        <f>IF(H127="",D127*F127,D127*F127*H127)</f>
        <v>1.3</v>
      </c>
      <c r="J127" s="142"/>
      <c r="K127" s="142"/>
      <c r="L127" s="142"/>
      <c r="M127" s="142"/>
      <c r="N127" s="142"/>
      <c r="O127" s="120"/>
    </row>
    <row r="128" spans="1:15" x14ac:dyDescent="0.25">
      <c r="A128" s="1541">
        <v>20</v>
      </c>
      <c r="B128" s="1541" t="s">
        <v>514</v>
      </c>
      <c r="C128" s="1541" t="s">
        <v>1263</v>
      </c>
      <c r="D128" s="1542">
        <v>0.04</v>
      </c>
      <c r="E128" s="1541" t="s">
        <v>512</v>
      </c>
      <c r="F128" s="1541">
        <v>0.23</v>
      </c>
      <c r="G128" s="1541" t="s">
        <v>2557</v>
      </c>
      <c r="H128" s="1541">
        <v>3</v>
      </c>
      <c r="I128" s="1511">
        <f>IF(H128="",D128*F128,D128*F128*H128)</f>
        <v>2.76E-2</v>
      </c>
      <c r="J128" s="94"/>
      <c r="K128" s="94"/>
      <c r="L128" s="94"/>
      <c r="M128" s="94"/>
      <c r="N128" s="94"/>
      <c r="O128" s="93"/>
    </row>
    <row r="129" spans="1:15" x14ac:dyDescent="0.25">
      <c r="A129" s="1543">
        <v>30</v>
      </c>
      <c r="B129" s="1543" t="s">
        <v>2177</v>
      </c>
      <c r="C129" s="1543" t="s">
        <v>1252</v>
      </c>
      <c r="D129" s="1562">
        <v>0.35</v>
      </c>
      <c r="E129" s="1543" t="s">
        <v>294</v>
      </c>
      <c r="F129" s="1543">
        <v>1</v>
      </c>
      <c r="G129" s="1543"/>
      <c r="H129" s="1543"/>
      <c r="I129" s="1562">
        <f>D129*F129</f>
        <v>0.35</v>
      </c>
      <c r="J129" s="99"/>
      <c r="K129" s="99"/>
      <c r="L129" s="99"/>
      <c r="M129" s="99"/>
      <c r="N129" s="99"/>
      <c r="O129" s="130"/>
    </row>
    <row r="130" spans="1:15" x14ac:dyDescent="0.25">
      <c r="A130" s="98"/>
      <c r="B130" s="95"/>
      <c r="C130" s="95"/>
      <c r="D130" s="95"/>
      <c r="E130" s="95"/>
      <c r="F130" s="95"/>
      <c r="G130" s="95"/>
      <c r="H130" s="1448" t="s">
        <v>58</v>
      </c>
      <c r="I130" s="1447">
        <f>SUM(I127:I129)</f>
        <v>1.6776</v>
      </c>
      <c r="J130" s="95"/>
      <c r="K130" s="95"/>
      <c r="L130" s="95"/>
      <c r="M130" s="95"/>
      <c r="N130" s="95"/>
      <c r="O130" s="93"/>
    </row>
    <row r="131" spans="1:15" x14ac:dyDescent="0.25">
      <c r="A131" s="107"/>
      <c r="B131" s="94"/>
      <c r="C131" s="94"/>
      <c r="D131" s="94"/>
      <c r="E131" s="94"/>
      <c r="F131" s="94"/>
      <c r="G131" s="94"/>
      <c r="H131" s="94"/>
      <c r="I131" s="99"/>
      <c r="J131" s="94"/>
      <c r="K131" s="94"/>
      <c r="L131" s="94"/>
      <c r="M131" s="94"/>
      <c r="N131" s="94"/>
      <c r="O131" s="93"/>
    </row>
    <row r="132" spans="1:15" ht="15.75" thickBot="1" x14ac:dyDescent="0.3">
      <c r="A132" s="92"/>
      <c r="B132" s="91"/>
      <c r="C132" s="91"/>
      <c r="D132" s="91"/>
      <c r="E132" s="91"/>
      <c r="F132" s="91"/>
      <c r="G132" s="91"/>
      <c r="H132" s="91"/>
      <c r="I132" s="91"/>
      <c r="J132" s="91"/>
      <c r="K132" s="91"/>
      <c r="L132" s="91"/>
      <c r="M132" s="91"/>
      <c r="N132" s="91"/>
      <c r="O132" s="90"/>
    </row>
    <row r="133" spans="1:15" ht="15.75" thickBot="1" x14ac:dyDescent="0.3"/>
    <row r="134" spans="1:15" x14ac:dyDescent="0.25">
      <c r="A134" s="141"/>
      <c r="B134" s="140"/>
      <c r="C134" s="140"/>
      <c r="D134" s="140"/>
      <c r="E134" s="140"/>
      <c r="F134" s="140"/>
      <c r="G134" s="140"/>
      <c r="H134" s="140"/>
      <c r="I134" s="140"/>
      <c r="J134" s="272"/>
      <c r="K134" s="140"/>
      <c r="L134" s="140"/>
      <c r="M134" s="140"/>
      <c r="N134" s="140"/>
      <c r="O134" s="139"/>
    </row>
    <row r="135" spans="1:15" x14ac:dyDescent="0.25">
      <c r="A135" s="1454" t="s">
        <v>57</v>
      </c>
      <c r="B135" s="133" t="s">
        <v>523</v>
      </c>
      <c r="C135" s="94"/>
      <c r="D135" s="94"/>
      <c r="E135" s="94"/>
      <c r="F135" s="94"/>
      <c r="G135" s="94"/>
      <c r="H135" s="94"/>
      <c r="I135" s="94"/>
      <c r="J135" s="1456" t="s">
        <v>51</v>
      </c>
      <c r="K135" s="138">
        <v>81</v>
      </c>
      <c r="L135" s="94"/>
      <c r="M135" s="1454" t="s">
        <v>113</v>
      </c>
      <c r="N135" s="100">
        <f>SU_01007_m+SU_01007_p</f>
        <v>6.3450718749999995</v>
      </c>
      <c r="O135" s="93"/>
    </row>
    <row r="136" spans="1:15" x14ac:dyDescent="0.25">
      <c r="A136" s="1454" t="s">
        <v>125</v>
      </c>
      <c r="B136" s="133" t="s">
        <v>5</v>
      </c>
      <c r="C136" s="94"/>
      <c r="D136" s="1454" t="s">
        <v>122</v>
      </c>
      <c r="E136" s="270" t="s">
        <v>2525</v>
      </c>
      <c r="F136" s="94"/>
      <c r="G136" s="94"/>
      <c r="H136" s="94"/>
      <c r="I136" s="94"/>
      <c r="J136" s="94"/>
      <c r="K136" s="94"/>
      <c r="L136" s="94"/>
      <c r="M136" s="1454" t="s">
        <v>124</v>
      </c>
      <c r="N136" s="136">
        <v>1</v>
      </c>
      <c r="O136" s="93"/>
    </row>
    <row r="137" spans="1:15" x14ac:dyDescent="0.25">
      <c r="A137" s="1454" t="s">
        <v>123</v>
      </c>
      <c r="B137" s="270" t="s">
        <v>2486</v>
      </c>
      <c r="C137" s="94"/>
      <c r="D137" s="1454" t="s">
        <v>119</v>
      </c>
      <c r="E137" s="94"/>
      <c r="F137" s="94"/>
      <c r="G137" s="94"/>
      <c r="H137" s="94"/>
      <c r="I137" s="94"/>
      <c r="J137" s="1455" t="s">
        <v>122</v>
      </c>
      <c r="K137" s="94"/>
      <c r="L137" s="94"/>
      <c r="M137" s="94"/>
      <c r="N137" s="94"/>
      <c r="O137" s="93"/>
    </row>
    <row r="138" spans="1:15" x14ac:dyDescent="0.25">
      <c r="A138" s="1454" t="s">
        <v>114</v>
      </c>
      <c r="B138" s="135" t="s">
        <v>2483</v>
      </c>
      <c r="C138" s="94"/>
      <c r="D138" s="1454" t="s">
        <v>116</v>
      </c>
      <c r="E138" s="94"/>
      <c r="F138" s="94"/>
      <c r="G138" s="94"/>
      <c r="H138" s="94"/>
      <c r="I138" s="94"/>
      <c r="J138" s="1455" t="s">
        <v>119</v>
      </c>
      <c r="K138" s="94"/>
      <c r="L138" s="94"/>
      <c r="M138" s="1454" t="s">
        <v>118</v>
      </c>
      <c r="N138" s="100">
        <f>N136*N135</f>
        <v>6.3450718749999995</v>
      </c>
      <c r="O138" s="93"/>
    </row>
    <row r="139" spans="1:15" x14ac:dyDescent="0.25">
      <c r="A139" s="1454" t="s">
        <v>121</v>
      </c>
      <c r="B139" s="269" t="s">
        <v>2674</v>
      </c>
      <c r="C139" s="94"/>
      <c r="D139" s="94"/>
      <c r="E139" s="94"/>
      <c r="F139" s="94"/>
      <c r="G139" s="94"/>
      <c r="H139" s="94"/>
      <c r="I139" s="94"/>
      <c r="J139" s="1455" t="s">
        <v>116</v>
      </c>
      <c r="K139" s="94"/>
      <c r="L139" s="94"/>
      <c r="M139" s="94"/>
      <c r="N139" s="94"/>
      <c r="O139" s="93"/>
    </row>
    <row r="140" spans="1:15" x14ac:dyDescent="0.25">
      <c r="A140" s="1454" t="s">
        <v>117</v>
      </c>
      <c r="B140" s="133" t="s">
        <v>23</v>
      </c>
      <c r="C140" s="94"/>
      <c r="D140" s="94"/>
      <c r="E140" s="94"/>
      <c r="F140" s="94"/>
      <c r="G140" s="94"/>
      <c r="H140" s="94"/>
      <c r="I140" s="94"/>
      <c r="J140" s="94"/>
      <c r="K140" s="94"/>
      <c r="L140" s="94"/>
      <c r="M140" s="94"/>
      <c r="N140" s="94"/>
      <c r="O140" s="93"/>
    </row>
    <row r="141" spans="1:15" x14ac:dyDescent="0.25">
      <c r="A141" s="1454" t="s">
        <v>115</v>
      </c>
      <c r="B141" s="133" t="s">
        <v>2590</v>
      </c>
      <c r="C141" s="94"/>
      <c r="D141" s="94"/>
      <c r="E141" s="94"/>
      <c r="F141" s="94"/>
      <c r="G141" s="94"/>
      <c r="H141" s="94"/>
      <c r="I141" s="94"/>
      <c r="J141" s="94"/>
      <c r="K141" s="94"/>
      <c r="L141" s="94"/>
      <c r="M141" s="94"/>
      <c r="N141" s="94"/>
      <c r="O141" s="93"/>
    </row>
    <row r="142" spans="1:15" x14ac:dyDescent="0.25">
      <c r="A142" s="266"/>
      <c r="B142" s="265"/>
      <c r="C142" s="265"/>
      <c r="D142" s="265"/>
      <c r="E142" s="265"/>
      <c r="F142" s="94"/>
      <c r="G142" s="94"/>
      <c r="H142" s="94"/>
      <c r="I142" s="94"/>
      <c r="J142" s="94"/>
      <c r="K142" s="94"/>
      <c r="L142" s="94"/>
      <c r="M142" s="94"/>
      <c r="N142" s="94"/>
      <c r="O142" s="93"/>
    </row>
    <row r="143" spans="1:15" x14ac:dyDescent="0.25">
      <c r="A143" s="1453" t="s">
        <v>67</v>
      </c>
      <c r="B143" s="1452" t="s">
        <v>112</v>
      </c>
      <c r="C143" s="1452" t="s">
        <v>66</v>
      </c>
      <c r="D143" s="1452" t="s">
        <v>65</v>
      </c>
      <c r="E143" s="1452" t="s">
        <v>81</v>
      </c>
      <c r="F143" s="1465" t="s">
        <v>80</v>
      </c>
      <c r="G143" s="1465" t="s">
        <v>79</v>
      </c>
      <c r="H143" s="1465" t="s">
        <v>78</v>
      </c>
      <c r="I143" s="1465" t="s">
        <v>111</v>
      </c>
      <c r="J143" s="1465" t="s">
        <v>110</v>
      </c>
      <c r="K143" s="1465" t="s">
        <v>109</v>
      </c>
      <c r="L143" s="1465" t="s">
        <v>108</v>
      </c>
      <c r="M143" s="1465" t="s">
        <v>40</v>
      </c>
      <c r="N143" s="1465" t="s">
        <v>58</v>
      </c>
      <c r="O143" s="93"/>
    </row>
    <row r="144" spans="1:15" ht="30" x14ac:dyDescent="0.25">
      <c r="A144" s="1458">
        <v>10</v>
      </c>
      <c r="B144" s="1475" t="s">
        <v>519</v>
      </c>
      <c r="C144" s="1508" t="s">
        <v>2561</v>
      </c>
      <c r="D144" s="1507">
        <v>2.25</v>
      </c>
      <c r="E144" s="1458">
        <v>25</v>
      </c>
      <c r="F144" s="1458" t="s">
        <v>68</v>
      </c>
      <c r="G144" s="1458">
        <v>25</v>
      </c>
      <c r="H144" s="1470" t="s">
        <v>68</v>
      </c>
      <c r="I144" s="1473" t="s">
        <v>2611</v>
      </c>
      <c r="J144" s="1472">
        <f>0.025*0.025</f>
        <v>6.2500000000000012E-4</v>
      </c>
      <c r="K144" s="1471">
        <v>3.9E-2</v>
      </c>
      <c r="L144" s="1470">
        <v>7860</v>
      </c>
      <c r="M144" s="1469">
        <v>1</v>
      </c>
      <c r="N144" s="1505">
        <f>IF(J144="",D144*M144,D144*J144*K144*L144*M144)</f>
        <v>0.4310718750000001</v>
      </c>
      <c r="O144" s="143"/>
    </row>
    <row r="145" spans="1:15" x14ac:dyDescent="0.25">
      <c r="A145" s="98"/>
      <c r="B145" s="95"/>
      <c r="C145" s="95"/>
      <c r="D145" s="95"/>
      <c r="E145" s="95"/>
      <c r="F145" s="95"/>
      <c r="G145" s="95"/>
      <c r="H145" s="95"/>
      <c r="I145" s="95"/>
      <c r="J145" s="95"/>
      <c r="K145" s="95"/>
      <c r="L145" s="95"/>
      <c r="M145" s="1467" t="s">
        <v>58</v>
      </c>
      <c r="N145" s="1447">
        <f>SUM(N144:N144)</f>
        <v>0.4310718750000001</v>
      </c>
      <c r="O145" s="93"/>
    </row>
    <row r="146" spans="1:15" x14ac:dyDescent="0.25">
      <c r="A146" s="107"/>
      <c r="B146" s="94"/>
      <c r="C146" s="94"/>
      <c r="D146" s="94"/>
      <c r="E146" s="94"/>
      <c r="F146" s="94"/>
      <c r="G146" s="94"/>
      <c r="H146" s="94"/>
      <c r="I146" s="94"/>
      <c r="J146" s="94"/>
      <c r="K146" s="94"/>
      <c r="L146" s="94"/>
      <c r="M146" s="94"/>
      <c r="N146" s="94"/>
      <c r="O146" s="93"/>
    </row>
    <row r="147" spans="1:15" x14ac:dyDescent="0.25">
      <c r="A147" s="1466" t="s">
        <v>67</v>
      </c>
      <c r="B147" s="1465" t="s">
        <v>106</v>
      </c>
      <c r="C147" s="1465" t="s">
        <v>66</v>
      </c>
      <c r="D147" s="1465" t="s">
        <v>65</v>
      </c>
      <c r="E147" s="1465" t="s">
        <v>64</v>
      </c>
      <c r="F147" s="1465" t="s">
        <v>40</v>
      </c>
      <c r="G147" s="1465" t="s">
        <v>105</v>
      </c>
      <c r="H147" s="1465" t="s">
        <v>104</v>
      </c>
      <c r="I147" s="1465" t="s">
        <v>58</v>
      </c>
      <c r="J147" s="95"/>
      <c r="K147" s="95"/>
      <c r="L147" s="95"/>
      <c r="M147" s="95"/>
      <c r="N147" s="95"/>
      <c r="O147" s="93"/>
    </row>
    <row r="148" spans="1:15" ht="30" x14ac:dyDescent="0.25">
      <c r="A148" s="1544">
        <v>10</v>
      </c>
      <c r="B148" s="1461" t="s">
        <v>516</v>
      </c>
      <c r="C148" s="1546" t="s">
        <v>528</v>
      </c>
      <c r="D148" s="1507">
        <v>1.3</v>
      </c>
      <c r="E148" s="1548" t="s">
        <v>64</v>
      </c>
      <c r="F148" s="1544">
        <v>1</v>
      </c>
      <c r="G148" s="1544"/>
      <c r="H148" s="1544"/>
      <c r="I148" s="1511">
        <f t="shared" ref="I148:I154" si="2">IF(H148="",D148*F148,D148*F148*H148)</f>
        <v>1.3</v>
      </c>
      <c r="J148" s="95"/>
      <c r="K148" s="95"/>
      <c r="L148" s="95"/>
      <c r="M148" s="95"/>
      <c r="N148" s="95"/>
      <c r="O148" s="93"/>
    </row>
    <row r="149" spans="1:15" x14ac:dyDescent="0.25">
      <c r="A149" s="1541">
        <v>20</v>
      </c>
      <c r="B149" s="1541" t="s">
        <v>514</v>
      </c>
      <c r="C149" s="1541" t="s">
        <v>1263</v>
      </c>
      <c r="D149" s="1542">
        <v>0.04</v>
      </c>
      <c r="E149" s="1541" t="s">
        <v>512</v>
      </c>
      <c r="F149" s="1541">
        <v>14.2</v>
      </c>
      <c r="G149" s="1541" t="s">
        <v>2557</v>
      </c>
      <c r="H149" s="1541">
        <v>3</v>
      </c>
      <c r="I149" s="1511">
        <f t="shared" si="2"/>
        <v>1.7039999999999997</v>
      </c>
      <c r="J149" s="142"/>
      <c r="K149" s="142"/>
      <c r="L149" s="142"/>
      <c r="M149" s="142"/>
      <c r="N149" s="142"/>
      <c r="O149" s="120"/>
    </row>
    <row r="150" spans="1:15" x14ac:dyDescent="0.25">
      <c r="A150" s="1543">
        <v>30</v>
      </c>
      <c r="B150" s="1543" t="s">
        <v>2177</v>
      </c>
      <c r="C150" s="1543" t="s">
        <v>1252</v>
      </c>
      <c r="D150" s="1562">
        <v>0.35</v>
      </c>
      <c r="E150" s="1543" t="s">
        <v>294</v>
      </c>
      <c r="F150" s="1543">
        <v>1</v>
      </c>
      <c r="G150" s="1543"/>
      <c r="H150" s="1543"/>
      <c r="I150" s="1511">
        <f t="shared" si="2"/>
        <v>0.35</v>
      </c>
      <c r="J150" s="94"/>
      <c r="K150" s="94"/>
      <c r="L150" s="94"/>
      <c r="M150" s="94"/>
      <c r="N150" s="94"/>
      <c r="O150" s="93"/>
    </row>
    <row r="151" spans="1:15" x14ac:dyDescent="0.25">
      <c r="A151" s="1541">
        <v>40</v>
      </c>
      <c r="B151" s="1541" t="s">
        <v>2536</v>
      </c>
      <c r="C151" s="1541"/>
      <c r="D151" s="1542">
        <v>0.65</v>
      </c>
      <c r="E151" s="1541" t="s">
        <v>64</v>
      </c>
      <c r="F151" s="1541">
        <v>1</v>
      </c>
      <c r="G151" s="1541"/>
      <c r="H151" s="1541"/>
      <c r="I151" s="1511">
        <f t="shared" si="2"/>
        <v>0.65</v>
      </c>
      <c r="J151" s="99"/>
      <c r="K151" s="99"/>
      <c r="L151" s="99"/>
      <c r="M151" s="99"/>
      <c r="N151" s="99"/>
      <c r="O151" s="130"/>
    </row>
    <row r="152" spans="1:15" x14ac:dyDescent="0.25">
      <c r="A152" s="1541">
        <v>50</v>
      </c>
      <c r="B152" s="1541" t="s">
        <v>514</v>
      </c>
      <c r="C152" s="1541" t="s">
        <v>2559</v>
      </c>
      <c r="D152" s="1542">
        <v>0.04</v>
      </c>
      <c r="E152" s="1541" t="s">
        <v>512</v>
      </c>
      <c r="F152" s="1541">
        <v>9.3000000000000007</v>
      </c>
      <c r="G152" s="1541" t="s">
        <v>2557</v>
      </c>
      <c r="H152" s="1541">
        <v>3</v>
      </c>
      <c r="I152" s="1511">
        <f t="shared" si="2"/>
        <v>1.1160000000000001</v>
      </c>
      <c r="J152" s="94"/>
      <c r="K152" s="94"/>
      <c r="L152" s="94"/>
      <c r="M152" s="94"/>
      <c r="N152" s="94"/>
      <c r="O152" s="93"/>
    </row>
    <row r="153" spans="1:15" x14ac:dyDescent="0.25">
      <c r="A153" s="1541">
        <v>60</v>
      </c>
      <c r="B153" s="1541" t="s">
        <v>2536</v>
      </c>
      <c r="C153" s="1541"/>
      <c r="D153" s="1542">
        <v>0.65</v>
      </c>
      <c r="E153" s="1541" t="s">
        <v>64</v>
      </c>
      <c r="F153" s="1541">
        <v>1</v>
      </c>
      <c r="G153" s="1541"/>
      <c r="H153" s="1541"/>
      <c r="I153" s="1511">
        <f t="shared" si="2"/>
        <v>0.65</v>
      </c>
      <c r="J153" s="94"/>
      <c r="K153" s="94"/>
      <c r="L153" s="94"/>
      <c r="M153" s="94"/>
      <c r="N153" s="94"/>
      <c r="O153" s="93"/>
    </row>
    <row r="154" spans="1:15" x14ac:dyDescent="0.25">
      <c r="A154" s="1541">
        <v>70</v>
      </c>
      <c r="B154" s="1541" t="s">
        <v>514</v>
      </c>
      <c r="C154" s="1541" t="s">
        <v>2616</v>
      </c>
      <c r="D154" s="1542">
        <v>0.04</v>
      </c>
      <c r="E154" s="1541" t="s">
        <v>512</v>
      </c>
      <c r="F154" s="1541">
        <v>1.2</v>
      </c>
      <c r="G154" s="1541" t="s">
        <v>2557</v>
      </c>
      <c r="H154" s="1541">
        <v>3</v>
      </c>
      <c r="I154" s="1511">
        <f t="shared" si="2"/>
        <v>0.14400000000000002</v>
      </c>
      <c r="J154" s="94"/>
      <c r="K154" s="94"/>
      <c r="L154" s="94"/>
      <c r="M154" s="94"/>
      <c r="N154" s="94"/>
      <c r="O154" s="93"/>
    </row>
    <row r="155" spans="1:15" x14ac:dyDescent="0.25">
      <c r="A155" s="98"/>
      <c r="B155" s="95"/>
      <c r="C155" s="95"/>
      <c r="D155" s="95"/>
      <c r="E155" s="95"/>
      <c r="F155" s="95"/>
      <c r="G155" s="95"/>
      <c r="H155" s="1448" t="s">
        <v>58</v>
      </c>
      <c r="I155" s="1447">
        <f>SUM(I148:I154)</f>
        <v>5.9139999999999997</v>
      </c>
      <c r="J155" s="95"/>
      <c r="K155" s="95"/>
      <c r="L155" s="95"/>
      <c r="M155" s="95"/>
      <c r="N155" s="95"/>
      <c r="O155" s="93"/>
    </row>
    <row r="156" spans="1:15" ht="15.75" thickBot="1" x14ac:dyDescent="0.3">
      <c r="A156" s="92"/>
      <c r="B156" s="91"/>
      <c r="C156" s="91"/>
      <c r="D156" s="91"/>
      <c r="E156" s="91"/>
      <c r="F156" s="91"/>
      <c r="G156" s="91"/>
      <c r="H156" s="91"/>
      <c r="I156" s="91"/>
      <c r="J156" s="91"/>
      <c r="K156" s="91"/>
      <c r="L156" s="91"/>
      <c r="M156" s="91"/>
      <c r="N156" s="91"/>
      <c r="O156" s="90"/>
    </row>
    <row r="157" spans="1:15" ht="15.75" thickBot="1" x14ac:dyDescent="0.3"/>
    <row r="158" spans="1:15" x14ac:dyDescent="0.25">
      <c r="A158" s="141"/>
      <c r="B158" s="140"/>
      <c r="C158" s="140"/>
      <c r="D158" s="140"/>
      <c r="E158" s="140"/>
      <c r="F158" s="140"/>
      <c r="G158" s="140"/>
      <c r="H158" s="140"/>
      <c r="I158" s="140"/>
      <c r="J158" s="272"/>
      <c r="K158" s="140"/>
      <c r="L158" s="140"/>
      <c r="M158" s="140"/>
      <c r="N158" s="140"/>
      <c r="O158" s="139"/>
    </row>
    <row r="159" spans="1:15" x14ac:dyDescent="0.25">
      <c r="A159" s="1454" t="s">
        <v>57</v>
      </c>
      <c r="B159" s="133" t="s">
        <v>523</v>
      </c>
      <c r="C159" s="94"/>
      <c r="D159" s="94"/>
      <c r="E159" s="94"/>
      <c r="F159" s="94"/>
      <c r="G159" s="94"/>
      <c r="H159" s="94"/>
      <c r="I159" s="94"/>
      <c r="J159" s="1456" t="s">
        <v>51</v>
      </c>
      <c r="K159" s="138">
        <v>81</v>
      </c>
      <c r="L159" s="94"/>
      <c r="M159" s="1454" t="s">
        <v>113</v>
      </c>
      <c r="N159" s="100">
        <f>SU_01008_m+SU_01008_p</f>
        <v>6.56201875</v>
      </c>
      <c r="O159" s="93"/>
    </row>
    <row r="160" spans="1:15" x14ac:dyDescent="0.25">
      <c r="A160" s="1454" t="s">
        <v>125</v>
      </c>
      <c r="B160" s="133" t="s">
        <v>5</v>
      </c>
      <c r="C160" s="94"/>
      <c r="D160" s="1454" t="s">
        <v>122</v>
      </c>
      <c r="E160" s="270" t="s">
        <v>2525</v>
      </c>
      <c r="F160" s="94"/>
      <c r="G160" s="94"/>
      <c r="H160" s="94"/>
      <c r="I160" s="94"/>
      <c r="J160" s="94"/>
      <c r="K160" s="94"/>
      <c r="L160" s="94"/>
      <c r="M160" s="1454" t="s">
        <v>124</v>
      </c>
      <c r="N160" s="136">
        <v>1</v>
      </c>
      <c r="O160" s="93"/>
    </row>
    <row r="161" spans="1:15" x14ac:dyDescent="0.25">
      <c r="A161" s="1454" t="s">
        <v>123</v>
      </c>
      <c r="B161" s="270" t="s">
        <v>2486</v>
      </c>
      <c r="C161" s="94"/>
      <c r="D161" s="1454" t="s">
        <v>119</v>
      </c>
      <c r="E161" s="94"/>
      <c r="F161" s="94"/>
      <c r="G161" s="94"/>
      <c r="H161" s="94"/>
      <c r="I161" s="94"/>
      <c r="J161" s="1455" t="s">
        <v>122</v>
      </c>
      <c r="K161" s="94"/>
      <c r="L161" s="94"/>
      <c r="M161" s="94"/>
      <c r="N161" s="94"/>
      <c r="O161" s="93"/>
    </row>
    <row r="162" spans="1:15" x14ac:dyDescent="0.25">
      <c r="A162" s="1454" t="s">
        <v>114</v>
      </c>
      <c r="B162" s="135" t="s">
        <v>2482</v>
      </c>
      <c r="C162" s="94"/>
      <c r="D162" s="1454" t="s">
        <v>116</v>
      </c>
      <c r="E162" s="94"/>
      <c r="F162" s="94"/>
      <c r="G162" s="94"/>
      <c r="H162" s="94"/>
      <c r="I162" s="94"/>
      <c r="J162" s="1455" t="s">
        <v>119</v>
      </c>
      <c r="K162" s="94"/>
      <c r="L162" s="94"/>
      <c r="M162" s="1454" t="s">
        <v>118</v>
      </c>
      <c r="N162" s="100">
        <f>N160*N159</f>
        <v>6.56201875</v>
      </c>
      <c r="O162" s="93"/>
    </row>
    <row r="163" spans="1:15" x14ac:dyDescent="0.25">
      <c r="A163" s="1454" t="s">
        <v>121</v>
      </c>
      <c r="B163" s="269" t="s">
        <v>2673</v>
      </c>
      <c r="C163" s="94"/>
      <c r="D163" s="94"/>
      <c r="E163" s="94"/>
      <c r="F163" s="94"/>
      <c r="G163" s="94"/>
      <c r="H163" s="94"/>
      <c r="I163" s="94"/>
      <c r="J163" s="1455" t="s">
        <v>116</v>
      </c>
      <c r="K163" s="94"/>
      <c r="L163" s="94"/>
      <c r="M163" s="94"/>
      <c r="N163" s="94"/>
      <c r="O163" s="93"/>
    </row>
    <row r="164" spans="1:15" x14ac:dyDescent="0.25">
      <c r="A164" s="1454" t="s">
        <v>117</v>
      </c>
      <c r="B164" s="133" t="s">
        <v>23</v>
      </c>
      <c r="C164" s="94"/>
      <c r="D164" s="94"/>
      <c r="E164" s="94"/>
      <c r="F164" s="94"/>
      <c r="G164" s="94"/>
      <c r="H164" s="94"/>
      <c r="I164" s="94"/>
      <c r="J164" s="94"/>
      <c r="K164" s="94"/>
      <c r="L164" s="94"/>
      <c r="M164" s="94"/>
      <c r="N164" s="94"/>
      <c r="O164" s="93"/>
    </row>
    <row r="165" spans="1:15" x14ac:dyDescent="0.25">
      <c r="A165" s="1454" t="s">
        <v>115</v>
      </c>
      <c r="B165" s="194" t="s">
        <v>2590</v>
      </c>
      <c r="C165" s="94"/>
      <c r="D165" s="94"/>
      <c r="E165" s="94"/>
      <c r="F165" s="94"/>
      <c r="G165" s="94"/>
      <c r="H165" s="94"/>
      <c r="I165" s="94"/>
      <c r="J165" s="94"/>
      <c r="K165" s="94"/>
      <c r="L165" s="94"/>
      <c r="M165" s="94"/>
      <c r="N165" s="94"/>
      <c r="O165" s="93"/>
    </row>
    <row r="166" spans="1:15" x14ac:dyDescent="0.25">
      <c r="A166" s="266"/>
      <c r="B166" s="265"/>
      <c r="C166" s="265"/>
      <c r="D166" s="265"/>
      <c r="E166" s="265"/>
      <c r="F166" s="94"/>
      <c r="G166" s="94"/>
      <c r="H166" s="94"/>
      <c r="I166" s="94"/>
      <c r="J166" s="94"/>
      <c r="K166" s="94"/>
      <c r="L166" s="94"/>
      <c r="M166" s="94"/>
      <c r="N166" s="94"/>
      <c r="O166" s="93"/>
    </row>
    <row r="167" spans="1:15" x14ac:dyDescent="0.25">
      <c r="A167" s="1453" t="s">
        <v>67</v>
      </c>
      <c r="B167" s="1452" t="s">
        <v>112</v>
      </c>
      <c r="C167" s="1452" t="s">
        <v>66</v>
      </c>
      <c r="D167" s="1452" t="s">
        <v>65</v>
      </c>
      <c r="E167" s="1452" t="s">
        <v>81</v>
      </c>
      <c r="F167" s="1465" t="s">
        <v>80</v>
      </c>
      <c r="G167" s="1465" t="s">
        <v>79</v>
      </c>
      <c r="H167" s="1465" t="s">
        <v>78</v>
      </c>
      <c r="I167" s="1465" t="s">
        <v>111</v>
      </c>
      <c r="J167" s="1465" t="s">
        <v>110</v>
      </c>
      <c r="K167" s="1465" t="s">
        <v>109</v>
      </c>
      <c r="L167" s="1465" t="s">
        <v>108</v>
      </c>
      <c r="M167" s="1465" t="s">
        <v>40</v>
      </c>
      <c r="N167" s="1465" t="s">
        <v>58</v>
      </c>
      <c r="O167" s="93"/>
    </row>
    <row r="168" spans="1:15" ht="30" x14ac:dyDescent="0.25">
      <c r="A168" s="1458">
        <v>10</v>
      </c>
      <c r="B168" s="1475" t="s">
        <v>519</v>
      </c>
      <c r="C168" s="1508" t="s">
        <v>2561</v>
      </c>
      <c r="D168" s="1507">
        <v>2.25</v>
      </c>
      <c r="E168" s="1458">
        <v>25</v>
      </c>
      <c r="F168" s="1458" t="s">
        <v>68</v>
      </c>
      <c r="G168" s="1458">
        <v>25</v>
      </c>
      <c r="H168" s="1470" t="s">
        <v>68</v>
      </c>
      <c r="I168" s="1473" t="s">
        <v>2611</v>
      </c>
      <c r="J168" s="1472">
        <f>0.025*0.025</f>
        <v>6.2500000000000012E-4</v>
      </c>
      <c r="K168" s="1471">
        <v>3.7999999999999999E-2</v>
      </c>
      <c r="L168" s="1516">
        <v>7860</v>
      </c>
      <c r="M168" s="1469">
        <v>1</v>
      </c>
      <c r="N168" s="1505">
        <f>IF(J168="",D168*M168,D168*J168*K168*L168*M168)</f>
        <v>0.42001875000000011</v>
      </c>
      <c r="O168" s="143"/>
    </row>
    <row r="169" spans="1:15" x14ac:dyDescent="0.25">
      <c r="A169" s="98"/>
      <c r="B169" s="95"/>
      <c r="C169" s="95"/>
      <c r="D169" s="95"/>
      <c r="E169" s="95"/>
      <c r="F169" s="95"/>
      <c r="G169" s="95"/>
      <c r="H169" s="95"/>
      <c r="I169" s="95"/>
      <c r="J169" s="95"/>
      <c r="K169" s="95"/>
      <c r="L169" s="95"/>
      <c r="M169" s="1467" t="s">
        <v>58</v>
      </c>
      <c r="N169" s="1447">
        <f>SUM(N168:N168)</f>
        <v>0.42001875000000011</v>
      </c>
      <c r="O169" s="93"/>
    </row>
    <row r="170" spans="1:15" x14ac:dyDescent="0.25">
      <c r="A170" s="107"/>
      <c r="B170" s="94"/>
      <c r="C170" s="94"/>
      <c r="D170" s="94"/>
      <c r="E170" s="94"/>
      <c r="F170" s="94"/>
      <c r="G170" s="94"/>
      <c r="H170" s="94"/>
      <c r="I170" s="94"/>
      <c r="J170" s="94"/>
      <c r="K170" s="94"/>
      <c r="L170" s="94"/>
      <c r="M170" s="94"/>
      <c r="N170" s="94"/>
      <c r="O170" s="93"/>
    </row>
    <row r="171" spans="1:15" x14ac:dyDescent="0.25">
      <c r="A171" s="1466" t="s">
        <v>67</v>
      </c>
      <c r="B171" s="1465" t="s">
        <v>106</v>
      </c>
      <c r="C171" s="1465" t="s">
        <v>66</v>
      </c>
      <c r="D171" s="1465" t="s">
        <v>65</v>
      </c>
      <c r="E171" s="1465" t="s">
        <v>64</v>
      </c>
      <c r="F171" s="1465" t="s">
        <v>40</v>
      </c>
      <c r="G171" s="1465" t="s">
        <v>105</v>
      </c>
      <c r="H171" s="1465" t="s">
        <v>104</v>
      </c>
      <c r="I171" s="1465" t="s">
        <v>58</v>
      </c>
      <c r="J171" s="95"/>
      <c r="K171" s="95"/>
      <c r="L171" s="95"/>
      <c r="M171" s="95"/>
      <c r="N171" s="95"/>
      <c r="O171" s="93"/>
    </row>
    <row r="172" spans="1:15" ht="30" x14ac:dyDescent="0.25">
      <c r="A172" s="1544">
        <v>10</v>
      </c>
      <c r="B172" s="1461" t="s">
        <v>516</v>
      </c>
      <c r="C172" s="1547" t="s">
        <v>528</v>
      </c>
      <c r="D172" s="1507">
        <v>1.3</v>
      </c>
      <c r="E172" s="1461" t="s">
        <v>64</v>
      </c>
      <c r="F172" s="1545">
        <v>1</v>
      </c>
      <c r="G172" s="1544"/>
      <c r="H172" s="1544"/>
      <c r="I172" s="1511">
        <f t="shared" ref="I172:I178" si="3">IF(H172="",D172*F172,D172*F172*H172)</f>
        <v>1.3</v>
      </c>
      <c r="J172" s="95"/>
      <c r="K172" s="95"/>
      <c r="L172" s="95"/>
      <c r="M172" s="95"/>
      <c r="N172" s="95"/>
      <c r="O172" s="93"/>
    </row>
    <row r="173" spans="1:15" x14ac:dyDescent="0.25">
      <c r="A173" s="1541">
        <v>20</v>
      </c>
      <c r="B173" s="1541" t="s">
        <v>514</v>
      </c>
      <c r="C173" s="1541" t="s">
        <v>1263</v>
      </c>
      <c r="D173" s="1542">
        <v>0.04</v>
      </c>
      <c r="E173" s="1541" t="s">
        <v>512</v>
      </c>
      <c r="F173" s="1541">
        <v>13.1</v>
      </c>
      <c r="G173" s="1541" t="s">
        <v>2557</v>
      </c>
      <c r="H173" s="1541">
        <v>3</v>
      </c>
      <c r="I173" s="1511">
        <f t="shared" si="3"/>
        <v>1.5720000000000001</v>
      </c>
      <c r="J173" s="142"/>
      <c r="K173" s="142"/>
      <c r="L173" s="142"/>
      <c r="M173" s="142"/>
      <c r="N173" s="142"/>
      <c r="O173" s="120"/>
    </row>
    <row r="174" spans="1:15" x14ac:dyDescent="0.25">
      <c r="A174" s="1543">
        <v>30</v>
      </c>
      <c r="B174" s="1543" t="s">
        <v>2177</v>
      </c>
      <c r="C174" s="1543" t="s">
        <v>1252</v>
      </c>
      <c r="D174" s="1562">
        <v>0.35</v>
      </c>
      <c r="E174" s="1543" t="s">
        <v>294</v>
      </c>
      <c r="F174" s="1543">
        <v>1</v>
      </c>
      <c r="G174" s="1543"/>
      <c r="H174" s="1543"/>
      <c r="I174" s="1511">
        <f t="shared" si="3"/>
        <v>0.35</v>
      </c>
      <c r="J174" s="94"/>
      <c r="K174" s="94"/>
      <c r="L174" s="94"/>
      <c r="M174" s="94"/>
      <c r="N174" s="94"/>
      <c r="O174" s="93"/>
    </row>
    <row r="175" spans="1:15" x14ac:dyDescent="0.25">
      <c r="A175" s="1541">
        <v>40</v>
      </c>
      <c r="B175" s="1541" t="s">
        <v>2536</v>
      </c>
      <c r="C175" s="1541"/>
      <c r="D175" s="1542">
        <v>0.65</v>
      </c>
      <c r="E175" s="1541" t="s">
        <v>64</v>
      </c>
      <c r="F175" s="1541">
        <v>1</v>
      </c>
      <c r="G175" s="1541"/>
      <c r="H175" s="1541"/>
      <c r="I175" s="1511">
        <f t="shared" si="3"/>
        <v>0.65</v>
      </c>
      <c r="J175" s="99"/>
      <c r="K175" s="99"/>
      <c r="L175" s="99"/>
      <c r="M175" s="99"/>
      <c r="N175" s="99"/>
      <c r="O175" s="130"/>
    </row>
    <row r="176" spans="1:15" x14ac:dyDescent="0.25">
      <c r="A176" s="1541">
        <v>50</v>
      </c>
      <c r="B176" s="1541" t="s">
        <v>514</v>
      </c>
      <c r="C176" s="1541" t="s">
        <v>2559</v>
      </c>
      <c r="D176" s="1542">
        <v>0.04</v>
      </c>
      <c r="E176" s="1541" t="s">
        <v>512</v>
      </c>
      <c r="F176" s="1541">
        <v>12.1</v>
      </c>
      <c r="G176" s="1541" t="s">
        <v>2557</v>
      </c>
      <c r="H176" s="1541">
        <v>3</v>
      </c>
      <c r="I176" s="1511">
        <f t="shared" si="3"/>
        <v>1.452</v>
      </c>
      <c r="J176" s="94"/>
      <c r="K176" s="94"/>
      <c r="L176" s="94"/>
      <c r="M176" s="94"/>
      <c r="N176" s="94"/>
      <c r="O176" s="93"/>
    </row>
    <row r="177" spans="1:16" x14ac:dyDescent="0.25">
      <c r="A177" s="1541">
        <v>60</v>
      </c>
      <c r="B177" s="1541" t="s">
        <v>2536</v>
      </c>
      <c r="C177" s="1541"/>
      <c r="D177" s="1542">
        <v>0.65</v>
      </c>
      <c r="E177" s="1541" t="s">
        <v>64</v>
      </c>
      <c r="F177" s="1541">
        <v>1</v>
      </c>
      <c r="G177" s="1541"/>
      <c r="H177" s="1541"/>
      <c r="I177" s="1511">
        <f t="shared" si="3"/>
        <v>0.65</v>
      </c>
      <c r="J177" s="94"/>
      <c r="K177" s="94"/>
      <c r="L177" s="94"/>
      <c r="M177" s="94"/>
      <c r="N177" s="94"/>
      <c r="O177" s="93"/>
    </row>
    <row r="178" spans="1:16" x14ac:dyDescent="0.25">
      <c r="A178" s="1541">
        <v>70</v>
      </c>
      <c r="B178" s="1541" t="s">
        <v>514</v>
      </c>
      <c r="C178" s="1541" t="s">
        <v>2558</v>
      </c>
      <c r="D178" s="1542">
        <v>0.04</v>
      </c>
      <c r="E178" s="1541" t="s">
        <v>512</v>
      </c>
      <c r="F178" s="1541">
        <v>1.4</v>
      </c>
      <c r="G178" s="1541" t="s">
        <v>2557</v>
      </c>
      <c r="H178" s="1541">
        <v>3</v>
      </c>
      <c r="I178" s="1511">
        <f t="shared" si="3"/>
        <v>0.16799999999999998</v>
      </c>
      <c r="J178" s="94"/>
      <c r="K178" s="94"/>
      <c r="L178" s="94"/>
      <c r="M178" s="94"/>
      <c r="N178" s="94"/>
      <c r="O178" s="93"/>
    </row>
    <row r="179" spans="1:16" x14ac:dyDescent="0.25">
      <c r="A179" s="98"/>
      <c r="B179" s="95"/>
      <c r="C179" s="95"/>
      <c r="D179" s="95"/>
      <c r="E179" s="95"/>
      <c r="F179" s="95"/>
      <c r="G179" s="95"/>
      <c r="H179" s="1448" t="s">
        <v>58</v>
      </c>
      <c r="I179" s="1447">
        <f>SUM(I172:I178)</f>
        <v>6.1420000000000003</v>
      </c>
      <c r="J179" s="95"/>
      <c r="K179" s="95"/>
      <c r="L179" s="95"/>
      <c r="M179" s="95"/>
      <c r="N179" s="95"/>
      <c r="O179" s="93"/>
    </row>
    <row r="180" spans="1:16" x14ac:dyDescent="0.25">
      <c r="A180" s="107"/>
      <c r="B180" s="94"/>
      <c r="C180" s="94"/>
      <c r="D180" s="94"/>
      <c r="E180" s="94"/>
      <c r="F180" s="94"/>
      <c r="G180" s="94"/>
      <c r="H180" s="94"/>
      <c r="I180" s="99"/>
      <c r="J180" s="94"/>
      <c r="K180" s="94"/>
      <c r="L180" s="94"/>
      <c r="M180" s="94"/>
      <c r="N180" s="94"/>
      <c r="O180" s="93"/>
    </row>
    <row r="181" spans="1:16" ht="15.75" thickBot="1" x14ac:dyDescent="0.3">
      <c r="A181" s="92"/>
      <c r="B181" s="91"/>
      <c r="C181" s="91"/>
      <c r="D181" s="91"/>
      <c r="E181" s="91"/>
      <c r="F181" s="91"/>
      <c r="G181" s="91"/>
      <c r="H181" s="91"/>
      <c r="I181" s="91"/>
      <c r="J181" s="91"/>
      <c r="K181" s="91"/>
      <c r="L181" s="91"/>
      <c r="M181" s="91"/>
      <c r="N181" s="91"/>
      <c r="O181" s="90"/>
    </row>
    <row r="182" spans="1:16" ht="15.75" thickBot="1" x14ac:dyDescent="0.3">
      <c r="A182" s="107"/>
      <c r="B182" s="94"/>
      <c r="C182" s="94"/>
      <c r="D182" s="94"/>
      <c r="E182" s="94"/>
      <c r="F182" s="94"/>
      <c r="G182" s="94"/>
      <c r="H182" s="94"/>
      <c r="I182" s="94"/>
      <c r="J182" s="94"/>
      <c r="K182" s="94"/>
      <c r="L182" s="94"/>
      <c r="M182" s="94"/>
      <c r="N182" s="94"/>
      <c r="O182" s="94"/>
      <c r="P182" s="94"/>
    </row>
    <row r="183" spans="1:16" x14ac:dyDescent="0.25">
      <c r="A183" s="141"/>
      <c r="B183" s="140"/>
      <c r="C183" s="140"/>
      <c r="D183" s="140"/>
      <c r="E183" s="140"/>
      <c r="F183" s="140"/>
      <c r="G183" s="140"/>
      <c r="H183" s="140"/>
      <c r="I183" s="140"/>
      <c r="J183" s="140"/>
      <c r="K183" s="140"/>
      <c r="L183" s="140"/>
      <c r="M183" s="140"/>
      <c r="N183" s="140"/>
      <c r="O183" s="139"/>
    </row>
    <row r="184" spans="1:16" x14ac:dyDescent="0.25">
      <c r="A184" s="1454" t="s">
        <v>57</v>
      </c>
      <c r="B184" s="133" t="s">
        <v>523</v>
      </c>
      <c r="C184" s="94"/>
      <c r="D184" s="94"/>
      <c r="E184" s="94"/>
      <c r="F184" s="94"/>
      <c r="G184" s="94"/>
      <c r="H184" s="94"/>
      <c r="I184" s="94"/>
      <c r="J184" s="1456" t="s">
        <v>51</v>
      </c>
      <c r="K184" s="138">
        <v>81</v>
      </c>
      <c r="L184" s="94"/>
      <c r="M184" s="1454" t="s">
        <v>113</v>
      </c>
      <c r="N184" s="100">
        <f>SU_02001_m+SU_02001_p</f>
        <v>3.8036110707199997</v>
      </c>
      <c r="O184" s="93"/>
    </row>
    <row r="185" spans="1:16" x14ac:dyDescent="0.25">
      <c r="A185" s="1454" t="s">
        <v>125</v>
      </c>
      <c r="B185" s="133" t="s">
        <v>5</v>
      </c>
      <c r="C185" s="94"/>
      <c r="D185" s="1454" t="s">
        <v>122</v>
      </c>
      <c r="E185" s="547" t="s">
        <v>522</v>
      </c>
      <c r="F185" s="94"/>
      <c r="G185" s="94"/>
      <c r="H185" s="94"/>
      <c r="I185" s="94"/>
      <c r="J185" s="94"/>
      <c r="K185" s="94"/>
      <c r="L185" s="94"/>
      <c r="M185" s="1454" t="s">
        <v>124</v>
      </c>
      <c r="N185" s="136">
        <v>2</v>
      </c>
      <c r="O185" s="93"/>
    </row>
    <row r="186" spans="1:16" x14ac:dyDescent="0.25">
      <c r="A186" s="1454" t="s">
        <v>123</v>
      </c>
      <c r="B186" s="270" t="s">
        <v>2480</v>
      </c>
      <c r="C186" s="94"/>
      <c r="D186" s="1454" t="s">
        <v>119</v>
      </c>
      <c r="E186" s="94"/>
      <c r="F186" s="94"/>
      <c r="G186" s="94"/>
      <c r="H186" s="94"/>
      <c r="I186" s="94"/>
      <c r="J186" s="1455" t="s">
        <v>122</v>
      </c>
      <c r="K186" s="94"/>
      <c r="L186" s="94"/>
      <c r="M186" s="94"/>
      <c r="N186" s="94"/>
      <c r="O186" s="93"/>
    </row>
    <row r="187" spans="1:16" x14ac:dyDescent="0.25">
      <c r="A187" s="1454" t="s">
        <v>114</v>
      </c>
      <c r="B187" s="135" t="s">
        <v>2464</v>
      </c>
      <c r="C187" s="94"/>
      <c r="D187" s="1454" t="s">
        <v>116</v>
      </c>
      <c r="E187" s="94"/>
      <c r="F187" s="94"/>
      <c r="G187" s="94"/>
      <c r="H187" s="94"/>
      <c r="I187" s="94"/>
      <c r="J187" s="1455" t="s">
        <v>119</v>
      </c>
      <c r="K187" s="94"/>
      <c r="L187" s="94"/>
      <c r="M187" s="1454" t="s">
        <v>118</v>
      </c>
      <c r="N187" s="100">
        <f>N185*N184</f>
        <v>7.6072221414399994</v>
      </c>
      <c r="O187" s="93"/>
    </row>
    <row r="188" spans="1:16" x14ac:dyDescent="0.25">
      <c r="A188" s="1454" t="s">
        <v>121</v>
      </c>
      <c r="B188" s="269" t="s">
        <v>2672</v>
      </c>
      <c r="C188" s="94"/>
      <c r="D188" s="94"/>
      <c r="E188" s="94"/>
      <c r="F188" s="94"/>
      <c r="G188" s="94"/>
      <c r="H188" s="94"/>
      <c r="I188" s="94"/>
      <c r="J188" s="1455" t="s">
        <v>116</v>
      </c>
      <c r="K188" s="94"/>
      <c r="L188" s="94"/>
      <c r="M188" s="94"/>
      <c r="N188" s="94"/>
      <c r="O188" s="93"/>
    </row>
    <row r="189" spans="1:16" x14ac:dyDescent="0.25">
      <c r="A189" s="1454" t="s">
        <v>117</v>
      </c>
      <c r="B189" s="133" t="s">
        <v>23</v>
      </c>
      <c r="C189" s="94"/>
      <c r="D189" s="94"/>
      <c r="E189" s="94"/>
      <c r="F189" s="94"/>
      <c r="G189" s="94"/>
      <c r="H189" s="94"/>
      <c r="I189" s="94"/>
      <c r="J189" s="94"/>
      <c r="K189" s="94"/>
      <c r="L189" s="94"/>
      <c r="M189" s="94"/>
      <c r="N189" s="94"/>
      <c r="O189" s="93"/>
    </row>
    <row r="190" spans="1:16" x14ac:dyDescent="0.25">
      <c r="A190" s="1454" t="s">
        <v>115</v>
      </c>
      <c r="B190" s="133"/>
      <c r="C190" s="94"/>
      <c r="D190" s="94"/>
      <c r="E190" s="94"/>
      <c r="F190" s="94"/>
      <c r="G190" s="94"/>
      <c r="H190" s="94"/>
      <c r="I190" s="94"/>
      <c r="J190" s="94"/>
      <c r="K190" s="94"/>
      <c r="L190" s="94"/>
      <c r="M190" s="94"/>
      <c r="N190" s="94"/>
      <c r="O190" s="93"/>
    </row>
    <row r="191" spans="1:16" x14ac:dyDescent="0.25">
      <c r="A191" s="266"/>
      <c r="B191" s="265"/>
      <c r="C191" s="265"/>
      <c r="D191" s="265"/>
      <c r="E191" s="265"/>
      <c r="F191" s="94"/>
      <c r="G191" s="94"/>
      <c r="H191" s="94"/>
      <c r="I191" s="94"/>
      <c r="J191" s="94"/>
      <c r="K191" s="94"/>
      <c r="L191" s="94"/>
      <c r="M191" s="94"/>
      <c r="N191" s="94"/>
      <c r="O191" s="93"/>
    </row>
    <row r="192" spans="1:16" x14ac:dyDescent="0.25">
      <c r="A192" s="1453" t="s">
        <v>67</v>
      </c>
      <c r="B192" s="1452" t="s">
        <v>112</v>
      </c>
      <c r="C192" s="1452" t="s">
        <v>66</v>
      </c>
      <c r="D192" s="1452" t="s">
        <v>65</v>
      </c>
      <c r="E192" s="1452" t="s">
        <v>81</v>
      </c>
      <c r="F192" s="1465" t="s">
        <v>80</v>
      </c>
      <c r="G192" s="1465" t="s">
        <v>79</v>
      </c>
      <c r="H192" s="1465" t="s">
        <v>78</v>
      </c>
      <c r="I192" s="1465" t="s">
        <v>111</v>
      </c>
      <c r="J192" s="1465" t="s">
        <v>110</v>
      </c>
      <c r="K192" s="1465" t="s">
        <v>109</v>
      </c>
      <c r="L192" s="1465" t="s">
        <v>108</v>
      </c>
      <c r="M192" s="1465" t="s">
        <v>40</v>
      </c>
      <c r="N192" s="1465" t="s">
        <v>58</v>
      </c>
      <c r="O192" s="93"/>
    </row>
    <row r="193" spans="1:15" ht="30" x14ac:dyDescent="0.25">
      <c r="A193" s="1557">
        <v>10</v>
      </c>
      <c r="B193" s="1560" t="s">
        <v>1134</v>
      </c>
      <c r="C193" s="1557" t="s">
        <v>2638</v>
      </c>
      <c r="D193" s="1533">
        <v>4.2</v>
      </c>
      <c r="E193" s="1564">
        <v>26</v>
      </c>
      <c r="F193" s="1557" t="s">
        <v>68</v>
      </c>
      <c r="G193" s="1557"/>
      <c r="H193" s="1531"/>
      <c r="I193" s="1473" t="s">
        <v>2671</v>
      </c>
      <c r="J193" s="1563">
        <f>0.013^2*3.14</f>
        <v>5.3065999999999996E-4</v>
      </c>
      <c r="K193" s="1528">
        <v>5.8000000000000003E-2</v>
      </c>
      <c r="L193" s="1559">
        <v>2720</v>
      </c>
      <c r="M193" s="1558">
        <v>1</v>
      </c>
      <c r="N193" s="1511">
        <f>IF(J193="",D193*M193,D193*J193*K193*L193*M193)</f>
        <v>0.35161107071999997</v>
      </c>
      <c r="O193" s="143"/>
    </row>
    <row r="194" spans="1:15" x14ac:dyDescent="0.25">
      <c r="A194" s="98"/>
      <c r="B194" s="95"/>
      <c r="C194" s="95"/>
      <c r="D194" s="95"/>
      <c r="E194" s="95"/>
      <c r="F194" s="95"/>
      <c r="G194" s="95"/>
      <c r="H194" s="95"/>
      <c r="I194" s="95"/>
      <c r="J194" s="95"/>
      <c r="K194" s="95"/>
      <c r="L194" s="95"/>
      <c r="M194" s="1467" t="s">
        <v>58</v>
      </c>
      <c r="N194" s="1447">
        <f>SUM(N193:N193)</f>
        <v>0.35161107071999997</v>
      </c>
      <c r="O194" s="93"/>
    </row>
    <row r="195" spans="1:15" x14ac:dyDescent="0.25">
      <c r="A195" s="107"/>
      <c r="B195" s="94"/>
      <c r="C195" s="94"/>
      <c r="D195" s="94"/>
      <c r="E195" s="94"/>
      <c r="F195" s="94"/>
      <c r="G195" s="94"/>
      <c r="H195" s="94"/>
      <c r="I195" s="94"/>
      <c r="J195" s="94"/>
      <c r="K195" s="94"/>
      <c r="L195" s="94"/>
      <c r="M195" s="94"/>
      <c r="N195" s="94"/>
      <c r="O195" s="93"/>
    </row>
    <row r="196" spans="1:15" x14ac:dyDescent="0.25">
      <c r="A196" s="1466" t="s">
        <v>67</v>
      </c>
      <c r="B196" s="1465" t="s">
        <v>106</v>
      </c>
      <c r="C196" s="1465" t="s">
        <v>66</v>
      </c>
      <c r="D196" s="1465" t="s">
        <v>65</v>
      </c>
      <c r="E196" s="1465" t="s">
        <v>64</v>
      </c>
      <c r="F196" s="1465" t="s">
        <v>40</v>
      </c>
      <c r="G196" s="1465" t="s">
        <v>105</v>
      </c>
      <c r="H196" s="1465" t="s">
        <v>104</v>
      </c>
      <c r="I196" s="1465" t="s">
        <v>58</v>
      </c>
      <c r="J196" s="95"/>
      <c r="K196" s="95"/>
      <c r="L196" s="95"/>
      <c r="M196" s="95"/>
      <c r="N196" s="95"/>
      <c r="O196" s="93"/>
    </row>
    <row r="197" spans="1:15" ht="30" x14ac:dyDescent="0.25">
      <c r="A197" s="1546">
        <v>10</v>
      </c>
      <c r="B197" s="1461" t="s">
        <v>516</v>
      </c>
      <c r="C197" s="1546"/>
      <c r="D197" s="1567">
        <v>1.3</v>
      </c>
      <c r="E197" s="1461" t="s">
        <v>64</v>
      </c>
      <c r="F197" s="1546">
        <v>1</v>
      </c>
      <c r="G197" s="1547"/>
      <c r="H197" s="1546"/>
      <c r="I197" s="1566">
        <f t="shared" ref="I197:I202" si="4">IF(H197="",D197*F197,D197*F197*H197)</f>
        <v>1.3</v>
      </c>
      <c r="J197" s="142"/>
      <c r="K197" s="142"/>
      <c r="L197" s="142"/>
      <c r="M197" s="142"/>
      <c r="N197" s="142"/>
      <c r="O197" s="120"/>
    </row>
    <row r="198" spans="1:15" ht="30" x14ac:dyDescent="0.25">
      <c r="A198" s="1458">
        <v>20</v>
      </c>
      <c r="B198" s="1461" t="s">
        <v>514</v>
      </c>
      <c r="C198" s="1460" t="s">
        <v>2643</v>
      </c>
      <c r="D198" s="1507">
        <v>0.04</v>
      </c>
      <c r="E198" s="1458" t="s">
        <v>512</v>
      </c>
      <c r="F198" s="1474">
        <v>17</v>
      </c>
      <c r="G198" s="1461" t="s">
        <v>629</v>
      </c>
      <c r="H198" s="1544">
        <v>1</v>
      </c>
      <c r="I198" s="1511">
        <f t="shared" si="4"/>
        <v>0.68</v>
      </c>
      <c r="J198" s="94"/>
      <c r="K198" s="94"/>
      <c r="L198" s="94"/>
      <c r="M198" s="94"/>
      <c r="N198" s="94"/>
      <c r="O198" s="93"/>
    </row>
    <row r="199" spans="1:15" x14ac:dyDescent="0.25">
      <c r="A199" s="1546">
        <v>30</v>
      </c>
      <c r="B199" s="1461" t="s">
        <v>822</v>
      </c>
      <c r="C199" s="1546"/>
      <c r="D199" s="1567">
        <v>0.65</v>
      </c>
      <c r="E199" s="1461" t="s">
        <v>64</v>
      </c>
      <c r="F199" s="1546">
        <v>1</v>
      </c>
      <c r="G199" s="1547"/>
      <c r="H199" s="1546"/>
      <c r="I199" s="1566">
        <f t="shared" si="4"/>
        <v>0.65</v>
      </c>
      <c r="J199" s="99"/>
      <c r="K199" s="99"/>
      <c r="L199" s="99"/>
      <c r="M199" s="99"/>
      <c r="N199" s="99"/>
      <c r="O199" s="130"/>
    </row>
    <row r="200" spans="1:15" ht="30" x14ac:dyDescent="0.25">
      <c r="A200" s="1458">
        <v>40</v>
      </c>
      <c r="B200" s="1461" t="s">
        <v>514</v>
      </c>
      <c r="C200" s="1460" t="s">
        <v>2642</v>
      </c>
      <c r="D200" s="1507">
        <v>0.04</v>
      </c>
      <c r="E200" s="1458" t="s">
        <v>512</v>
      </c>
      <c r="F200" s="1474">
        <v>2</v>
      </c>
      <c r="G200" s="1461" t="s">
        <v>629</v>
      </c>
      <c r="H200" s="1544">
        <v>1</v>
      </c>
      <c r="I200" s="1511">
        <f t="shared" si="4"/>
        <v>0.08</v>
      </c>
      <c r="J200" s="94"/>
      <c r="K200" s="94"/>
      <c r="L200" s="94"/>
      <c r="M200" s="94"/>
      <c r="N200" s="94"/>
      <c r="O200" s="93"/>
    </row>
    <row r="201" spans="1:15" x14ac:dyDescent="0.25">
      <c r="A201" s="1546">
        <v>50</v>
      </c>
      <c r="B201" s="1461" t="s">
        <v>822</v>
      </c>
      <c r="C201" s="1546"/>
      <c r="D201" s="1567">
        <v>0.65</v>
      </c>
      <c r="E201" s="1461" t="s">
        <v>64</v>
      </c>
      <c r="F201" s="1546">
        <v>1</v>
      </c>
      <c r="G201" s="1547"/>
      <c r="H201" s="1546"/>
      <c r="I201" s="1566">
        <f t="shared" si="4"/>
        <v>0.65</v>
      </c>
      <c r="J201" s="94"/>
      <c r="K201" s="94"/>
      <c r="L201" s="94"/>
      <c r="M201" s="94"/>
      <c r="N201" s="94"/>
      <c r="O201" s="93"/>
    </row>
    <row r="202" spans="1:15" ht="30" x14ac:dyDescent="0.25">
      <c r="A202" s="1458">
        <v>60</v>
      </c>
      <c r="B202" s="1461" t="s">
        <v>514</v>
      </c>
      <c r="C202" s="1460" t="s">
        <v>2641</v>
      </c>
      <c r="D202" s="1507">
        <v>0.04</v>
      </c>
      <c r="E202" s="1458" t="s">
        <v>512</v>
      </c>
      <c r="F202" s="1474">
        <v>2.2999999999999998</v>
      </c>
      <c r="G202" s="1461" t="s">
        <v>629</v>
      </c>
      <c r="H202" s="1544">
        <v>1</v>
      </c>
      <c r="I202" s="1511">
        <f t="shared" si="4"/>
        <v>9.1999999999999998E-2</v>
      </c>
      <c r="J202" s="94"/>
      <c r="K202" s="94"/>
      <c r="L202" s="94"/>
      <c r="M202" s="94"/>
      <c r="N202" s="94"/>
      <c r="O202" s="93"/>
    </row>
    <row r="203" spans="1:15" x14ac:dyDescent="0.25">
      <c r="A203" s="98"/>
      <c r="B203" s="95"/>
      <c r="C203" s="95"/>
      <c r="D203" s="95"/>
      <c r="E203" s="95"/>
      <c r="F203" s="95"/>
      <c r="G203" s="95"/>
      <c r="H203" s="1448" t="s">
        <v>58</v>
      </c>
      <c r="I203" s="1447">
        <f>SUM(I197:I202)</f>
        <v>3.452</v>
      </c>
      <c r="J203" s="95"/>
      <c r="K203" s="95"/>
      <c r="L203" s="95"/>
      <c r="M203" s="95"/>
      <c r="N203" s="95"/>
      <c r="O203" s="93"/>
    </row>
    <row r="204" spans="1:15" ht="15.75" thickBot="1" x14ac:dyDescent="0.3">
      <c r="A204" s="92"/>
      <c r="B204" s="91"/>
      <c r="C204" s="91"/>
      <c r="D204" s="91"/>
      <c r="E204" s="91"/>
      <c r="F204" s="91"/>
      <c r="G204" s="91"/>
      <c r="H204" s="544"/>
      <c r="I204" s="544"/>
      <c r="J204" s="91"/>
      <c r="K204" s="91"/>
      <c r="L204" s="91"/>
      <c r="M204" s="91"/>
      <c r="N204" s="91"/>
      <c r="O204" s="90"/>
    </row>
    <row r="205" spans="1:15" ht="15.75" thickBot="1" x14ac:dyDescent="0.3"/>
    <row r="206" spans="1:15" x14ac:dyDescent="0.25">
      <c r="A206" s="141"/>
      <c r="B206" s="140"/>
      <c r="C206" s="140"/>
      <c r="D206" s="140"/>
      <c r="E206" s="140"/>
      <c r="F206" s="140"/>
      <c r="G206" s="140"/>
      <c r="H206" s="140"/>
      <c r="I206" s="140"/>
      <c r="J206" s="140"/>
      <c r="K206" s="140"/>
      <c r="L206" s="140"/>
      <c r="M206" s="140"/>
      <c r="N206" s="140"/>
      <c r="O206" s="139"/>
    </row>
    <row r="207" spans="1:15" x14ac:dyDescent="0.25">
      <c r="A207" s="1454" t="s">
        <v>57</v>
      </c>
      <c r="B207" s="133" t="s">
        <v>523</v>
      </c>
      <c r="C207" s="94"/>
      <c r="D207" s="94"/>
      <c r="E207" s="94"/>
      <c r="F207" s="94"/>
      <c r="G207" s="94"/>
      <c r="H207" s="94"/>
      <c r="I207" s="94"/>
      <c r="J207" s="1456" t="s">
        <v>51</v>
      </c>
      <c r="K207" s="138">
        <v>81</v>
      </c>
      <c r="L207" s="94"/>
      <c r="M207" s="1454" t="s">
        <v>113</v>
      </c>
      <c r="N207" s="100">
        <f>+SU_02002_m+SU_02002_p</f>
        <v>6.9247104000000004</v>
      </c>
      <c r="O207" s="93"/>
    </row>
    <row r="208" spans="1:15" x14ac:dyDescent="0.25">
      <c r="A208" s="1454" t="s">
        <v>125</v>
      </c>
      <c r="B208" s="133" t="s">
        <v>5</v>
      </c>
      <c r="C208" s="94"/>
      <c r="D208" s="1454" t="s">
        <v>122</v>
      </c>
      <c r="E208" s="270" t="s">
        <v>2525</v>
      </c>
      <c r="F208" s="94"/>
      <c r="G208" s="94"/>
      <c r="H208" s="94"/>
      <c r="I208" s="94"/>
      <c r="J208" s="94"/>
      <c r="K208" s="94"/>
      <c r="L208" s="94"/>
      <c r="M208" s="1454" t="s">
        <v>124</v>
      </c>
      <c r="N208" s="136">
        <v>1</v>
      </c>
      <c r="O208" s="93"/>
    </row>
    <row r="209" spans="1:15" x14ac:dyDescent="0.25">
      <c r="A209" s="1454" t="s">
        <v>123</v>
      </c>
      <c r="B209" s="270" t="s">
        <v>2480</v>
      </c>
      <c r="C209" s="94"/>
      <c r="D209" s="1454" t="s">
        <v>119</v>
      </c>
      <c r="E209" s="94"/>
      <c r="F209" s="94"/>
      <c r="G209" s="94"/>
      <c r="H209" s="94"/>
      <c r="I209" s="94"/>
      <c r="J209" s="1455" t="s">
        <v>122</v>
      </c>
      <c r="K209" s="94"/>
      <c r="L209" s="94"/>
      <c r="M209" s="94"/>
      <c r="N209" s="94"/>
      <c r="O209" s="93"/>
    </row>
    <row r="210" spans="1:15" x14ac:dyDescent="0.25">
      <c r="A210" s="1570" t="s">
        <v>114</v>
      </c>
      <c r="B210" s="1569" t="s">
        <v>2478</v>
      </c>
      <c r="C210" s="94"/>
      <c r="D210" s="1454" t="s">
        <v>116</v>
      </c>
      <c r="E210" s="94"/>
      <c r="F210" s="94"/>
      <c r="G210" s="94"/>
      <c r="H210" s="94"/>
      <c r="I210" s="94"/>
      <c r="J210" s="1455" t="s">
        <v>119</v>
      </c>
      <c r="K210" s="94"/>
      <c r="L210" s="94"/>
      <c r="M210" s="1454" t="s">
        <v>118</v>
      </c>
      <c r="N210" s="100">
        <f>N208*N207</f>
        <v>6.9247104000000004</v>
      </c>
      <c r="O210" s="93"/>
    </row>
    <row r="211" spans="1:15" x14ac:dyDescent="0.25">
      <c r="A211" s="1454" t="s">
        <v>121</v>
      </c>
      <c r="B211" s="269" t="s">
        <v>2670</v>
      </c>
      <c r="C211" s="94"/>
      <c r="D211" s="94"/>
      <c r="E211" s="94"/>
      <c r="F211" s="94"/>
      <c r="G211" s="94"/>
      <c r="H211" s="94"/>
      <c r="I211" s="94"/>
      <c r="J211" s="1455" t="s">
        <v>116</v>
      </c>
      <c r="K211" s="94"/>
      <c r="L211" s="94"/>
      <c r="M211" s="94"/>
      <c r="N211" s="94"/>
      <c r="O211" s="93"/>
    </row>
    <row r="212" spans="1:15" x14ac:dyDescent="0.25">
      <c r="A212" s="1454" t="s">
        <v>117</v>
      </c>
      <c r="B212" s="133" t="s">
        <v>23</v>
      </c>
      <c r="C212" s="94"/>
      <c r="D212" s="94"/>
      <c r="E212" s="94"/>
      <c r="F212" s="94"/>
      <c r="G212" s="94"/>
      <c r="H212" s="94"/>
      <c r="I212" s="94"/>
      <c r="J212" s="94"/>
      <c r="K212" s="94"/>
      <c r="L212" s="94"/>
      <c r="M212" s="94"/>
      <c r="N212" s="94"/>
      <c r="O212" s="93"/>
    </row>
    <row r="213" spans="1:15" x14ac:dyDescent="0.25">
      <c r="A213" s="1454" t="s">
        <v>115</v>
      </c>
      <c r="B213" s="133" t="s">
        <v>2639</v>
      </c>
      <c r="C213" s="94"/>
      <c r="D213" s="94"/>
      <c r="E213" s="94"/>
      <c r="F213" s="94"/>
      <c r="G213" s="94"/>
      <c r="H213" s="94"/>
      <c r="I213" s="94"/>
      <c r="J213" s="94"/>
      <c r="K213" s="94"/>
      <c r="L213" s="94"/>
      <c r="M213" s="94"/>
      <c r="N213" s="94"/>
      <c r="O213" s="93"/>
    </row>
    <row r="214" spans="1:15" x14ac:dyDescent="0.25">
      <c r="A214" s="266"/>
      <c r="B214" s="265"/>
      <c r="C214" s="265"/>
      <c r="D214" s="265"/>
      <c r="E214" s="265"/>
      <c r="F214" s="94"/>
      <c r="G214" s="94"/>
      <c r="H214" s="94"/>
      <c r="I214" s="94"/>
      <c r="J214" s="94"/>
      <c r="K214" s="94"/>
      <c r="L214" s="94"/>
      <c r="M214" s="94"/>
      <c r="N214" s="94"/>
      <c r="O214" s="93"/>
    </row>
    <row r="215" spans="1:15" x14ac:dyDescent="0.25">
      <c r="A215" s="1453" t="s">
        <v>67</v>
      </c>
      <c r="B215" s="1452" t="s">
        <v>112</v>
      </c>
      <c r="C215" s="1452" t="s">
        <v>66</v>
      </c>
      <c r="D215" s="1452" t="s">
        <v>65</v>
      </c>
      <c r="E215" s="1452" t="s">
        <v>81</v>
      </c>
      <c r="F215" s="1465" t="s">
        <v>80</v>
      </c>
      <c r="G215" s="1465" t="s">
        <v>79</v>
      </c>
      <c r="H215" s="1465" t="s">
        <v>78</v>
      </c>
      <c r="I215" s="1465" t="s">
        <v>111</v>
      </c>
      <c r="J215" s="1465" t="s">
        <v>110</v>
      </c>
      <c r="K215" s="1465" t="s">
        <v>109</v>
      </c>
      <c r="L215" s="1465" t="s">
        <v>108</v>
      </c>
      <c r="M215" s="1465" t="s">
        <v>40</v>
      </c>
      <c r="N215" s="1465" t="s">
        <v>58</v>
      </c>
      <c r="O215" s="93"/>
    </row>
    <row r="216" spans="1:15" ht="30" x14ac:dyDescent="0.25">
      <c r="A216" s="1557">
        <v>10</v>
      </c>
      <c r="B216" s="1560" t="s">
        <v>1134</v>
      </c>
      <c r="C216" s="1557" t="s">
        <v>2638</v>
      </c>
      <c r="D216" s="1533">
        <v>4.2</v>
      </c>
      <c r="E216" s="1564">
        <v>52</v>
      </c>
      <c r="F216" s="1557" t="s">
        <v>68</v>
      </c>
      <c r="G216" s="1557">
        <v>16</v>
      </c>
      <c r="H216" s="1531" t="s">
        <v>68</v>
      </c>
      <c r="I216" s="1473" t="s">
        <v>2669</v>
      </c>
      <c r="J216" s="1563">
        <f>0.052*0.06</f>
        <v>3.1199999999999999E-3</v>
      </c>
      <c r="K216" s="1528">
        <v>0.06</v>
      </c>
      <c r="L216" s="1559">
        <v>2710</v>
      </c>
      <c r="M216" s="1558">
        <v>1</v>
      </c>
      <c r="N216" s="1511">
        <f>IF(J216="",D216*M216,D216*J216*K216*L216*M216)</f>
        <v>2.1307103999999999</v>
      </c>
      <c r="O216" s="143"/>
    </row>
    <row r="217" spans="1:15" x14ac:dyDescent="0.25">
      <c r="A217" s="98"/>
      <c r="B217" s="95"/>
      <c r="C217" s="95"/>
      <c r="D217" s="95"/>
      <c r="E217" s="95"/>
      <c r="F217" s="95"/>
      <c r="G217" s="95"/>
      <c r="H217" s="95"/>
      <c r="I217" s="95"/>
      <c r="J217" s="95"/>
      <c r="K217" s="95"/>
      <c r="L217" s="95"/>
      <c r="M217" s="1467" t="s">
        <v>58</v>
      </c>
      <c r="N217" s="1447">
        <f>SUM(N216:N216)</f>
        <v>2.1307103999999999</v>
      </c>
      <c r="O217" s="93"/>
    </row>
    <row r="218" spans="1:15" x14ac:dyDescent="0.25">
      <c r="A218" s="678"/>
      <c r="B218" s="549"/>
      <c r="C218" s="549"/>
      <c r="D218" s="549"/>
      <c r="E218" s="549"/>
      <c r="F218" s="549"/>
      <c r="G218" s="549"/>
      <c r="H218" s="549"/>
      <c r="I218" s="549"/>
      <c r="J218" s="94"/>
      <c r="K218" s="94"/>
      <c r="L218" s="94"/>
      <c r="M218" s="94"/>
      <c r="N218" s="94"/>
      <c r="O218" s="93"/>
    </row>
    <row r="219" spans="1:15" x14ac:dyDescent="0.25">
      <c r="A219" s="1466" t="s">
        <v>67</v>
      </c>
      <c r="B219" s="1465" t="s">
        <v>106</v>
      </c>
      <c r="C219" s="1465" t="s">
        <v>66</v>
      </c>
      <c r="D219" s="1465" t="s">
        <v>65</v>
      </c>
      <c r="E219" s="1465" t="s">
        <v>64</v>
      </c>
      <c r="F219" s="1465" t="s">
        <v>40</v>
      </c>
      <c r="G219" s="1465" t="s">
        <v>105</v>
      </c>
      <c r="H219" s="1465" t="s">
        <v>104</v>
      </c>
      <c r="I219" s="1465" t="s">
        <v>58</v>
      </c>
      <c r="J219" s="95"/>
      <c r="K219" s="95"/>
      <c r="L219" s="95"/>
      <c r="M219" s="95"/>
      <c r="N219" s="95"/>
      <c r="O219" s="93"/>
    </row>
    <row r="220" spans="1:15" ht="30" x14ac:dyDescent="0.25">
      <c r="A220" s="1546">
        <v>10</v>
      </c>
      <c r="B220" s="1461" t="s">
        <v>516</v>
      </c>
      <c r="C220" s="1547"/>
      <c r="D220" s="1567">
        <v>1.3</v>
      </c>
      <c r="E220" s="1461" t="s">
        <v>64</v>
      </c>
      <c r="F220" s="1547">
        <v>1</v>
      </c>
      <c r="G220" s="1547"/>
      <c r="H220" s="1547"/>
      <c r="I220" s="1566">
        <f t="shared" ref="I220:I227" si="5">IF(H220="",D220*F220,D220*F220*H220)</f>
        <v>1.3</v>
      </c>
      <c r="J220" s="142"/>
      <c r="K220" s="142"/>
      <c r="L220" s="142"/>
      <c r="M220" s="142"/>
      <c r="N220" s="142"/>
      <c r="O220" s="120"/>
    </row>
    <row r="221" spans="1:15" ht="30" x14ac:dyDescent="0.25">
      <c r="A221" s="1458">
        <v>20</v>
      </c>
      <c r="B221" s="1461" t="s">
        <v>514</v>
      </c>
      <c r="C221" s="1460" t="s">
        <v>2654</v>
      </c>
      <c r="D221" s="1507">
        <v>0.04</v>
      </c>
      <c r="E221" s="1458" t="s">
        <v>512</v>
      </c>
      <c r="F221" s="1474">
        <v>28</v>
      </c>
      <c r="G221" s="1461" t="s">
        <v>629</v>
      </c>
      <c r="H221" s="1545">
        <v>1</v>
      </c>
      <c r="I221" s="1511">
        <f t="shared" si="5"/>
        <v>1.1200000000000001</v>
      </c>
      <c r="J221" s="94"/>
      <c r="K221" s="94"/>
      <c r="L221" s="94"/>
      <c r="M221" s="94"/>
      <c r="N221" s="94"/>
      <c r="O221" s="93"/>
    </row>
    <row r="222" spans="1:15" x14ac:dyDescent="0.25">
      <c r="A222" s="1546">
        <v>30</v>
      </c>
      <c r="B222" s="1461" t="s">
        <v>822</v>
      </c>
      <c r="C222" s="1547"/>
      <c r="D222" s="1567">
        <v>0.65</v>
      </c>
      <c r="E222" s="1461" t="s">
        <v>64</v>
      </c>
      <c r="F222" s="1547">
        <v>1</v>
      </c>
      <c r="G222" s="1547"/>
      <c r="H222" s="1547"/>
      <c r="I222" s="1566">
        <f t="shared" si="5"/>
        <v>0.65</v>
      </c>
      <c r="J222" s="99"/>
      <c r="K222" s="99"/>
      <c r="L222" s="99"/>
      <c r="M222" s="99"/>
      <c r="N222" s="99"/>
      <c r="O222" s="130"/>
    </row>
    <row r="223" spans="1:15" ht="30" x14ac:dyDescent="0.25">
      <c r="A223" s="1458">
        <v>40</v>
      </c>
      <c r="B223" s="1461" t="s">
        <v>514</v>
      </c>
      <c r="C223" s="1460" t="s">
        <v>2635</v>
      </c>
      <c r="D223" s="1507">
        <v>0.04</v>
      </c>
      <c r="E223" s="1458" t="s">
        <v>512</v>
      </c>
      <c r="F223" s="1474">
        <v>2.2999999999999998</v>
      </c>
      <c r="G223" s="1461" t="s">
        <v>629</v>
      </c>
      <c r="H223" s="1545">
        <v>1</v>
      </c>
      <c r="I223" s="1511">
        <f t="shared" si="5"/>
        <v>9.1999999999999998E-2</v>
      </c>
      <c r="J223" s="94"/>
      <c r="K223" s="94"/>
      <c r="L223" s="94"/>
      <c r="M223" s="94"/>
      <c r="N223" s="94"/>
      <c r="O223" s="93"/>
    </row>
    <row r="224" spans="1:15" x14ac:dyDescent="0.25">
      <c r="A224" s="1546">
        <v>50</v>
      </c>
      <c r="B224" s="1461" t="s">
        <v>822</v>
      </c>
      <c r="C224" s="1547"/>
      <c r="D224" s="1567">
        <v>0.65</v>
      </c>
      <c r="E224" s="1461" t="s">
        <v>64</v>
      </c>
      <c r="F224" s="1547">
        <v>1</v>
      </c>
      <c r="G224" s="1547"/>
      <c r="H224" s="1547"/>
      <c r="I224" s="1566">
        <f t="shared" si="5"/>
        <v>0.65</v>
      </c>
      <c r="J224" s="94"/>
      <c r="K224" s="94"/>
      <c r="L224" s="94"/>
      <c r="M224" s="94"/>
      <c r="N224" s="94"/>
      <c r="O224" s="93"/>
    </row>
    <row r="225" spans="1:16" ht="30" x14ac:dyDescent="0.25">
      <c r="A225" s="1458">
        <v>60</v>
      </c>
      <c r="B225" s="1461" t="s">
        <v>514</v>
      </c>
      <c r="C225" s="1460" t="s">
        <v>2634</v>
      </c>
      <c r="D225" s="1507">
        <v>0.04</v>
      </c>
      <c r="E225" s="1458" t="s">
        <v>512</v>
      </c>
      <c r="F225" s="1474">
        <v>2.2999999999999998</v>
      </c>
      <c r="G225" s="1461" t="s">
        <v>629</v>
      </c>
      <c r="H225" s="1545">
        <v>1</v>
      </c>
      <c r="I225" s="1511">
        <f t="shared" si="5"/>
        <v>9.1999999999999998E-2</v>
      </c>
      <c r="J225" s="94"/>
      <c r="K225" s="94"/>
      <c r="L225" s="94"/>
      <c r="M225" s="94"/>
      <c r="N225" s="94"/>
      <c r="O225" s="93"/>
    </row>
    <row r="226" spans="1:16" x14ac:dyDescent="0.25">
      <c r="A226" s="1546">
        <v>70</v>
      </c>
      <c r="B226" s="1461" t="s">
        <v>822</v>
      </c>
      <c r="C226" s="1547"/>
      <c r="D226" s="1567">
        <v>0.65</v>
      </c>
      <c r="E226" s="1461" t="s">
        <v>64</v>
      </c>
      <c r="F226" s="1547">
        <v>1</v>
      </c>
      <c r="G226" s="1547"/>
      <c r="H226" s="1547"/>
      <c r="I226" s="1566">
        <f t="shared" si="5"/>
        <v>0.65</v>
      </c>
      <c r="J226" s="95"/>
      <c r="K226" s="95"/>
      <c r="L226" s="95"/>
      <c r="M226" s="95"/>
      <c r="N226" s="95"/>
      <c r="O226" s="93"/>
    </row>
    <row r="227" spans="1:16" ht="30" x14ac:dyDescent="0.25">
      <c r="A227" s="1458">
        <v>80</v>
      </c>
      <c r="B227" s="1461" t="s">
        <v>514</v>
      </c>
      <c r="C227" s="1460" t="s">
        <v>2653</v>
      </c>
      <c r="D227" s="1507">
        <v>0.04</v>
      </c>
      <c r="E227" s="1458" t="s">
        <v>512</v>
      </c>
      <c r="F227" s="1474">
        <v>6</v>
      </c>
      <c r="G227" s="1461" t="s">
        <v>629</v>
      </c>
      <c r="H227" s="1545">
        <v>1</v>
      </c>
      <c r="I227" s="1511">
        <f t="shared" si="5"/>
        <v>0.24</v>
      </c>
      <c r="J227" s="675"/>
      <c r="K227" s="94"/>
      <c r="L227" s="94"/>
      <c r="M227" s="94"/>
      <c r="N227" s="94"/>
      <c r="O227" s="93"/>
    </row>
    <row r="228" spans="1:16" x14ac:dyDescent="0.25">
      <c r="A228" s="98"/>
      <c r="B228" s="95"/>
      <c r="C228" s="95"/>
      <c r="D228" s="95"/>
      <c r="E228" s="95"/>
      <c r="F228" s="95"/>
      <c r="G228" s="95"/>
      <c r="H228" s="1448" t="s">
        <v>58</v>
      </c>
      <c r="I228" s="1573">
        <f>SUM(I220:I227)</f>
        <v>4.7940000000000005</v>
      </c>
      <c r="J228" s="94"/>
      <c r="K228" s="94"/>
      <c r="L228" s="94"/>
      <c r="M228" s="94"/>
      <c r="N228" s="94"/>
      <c r="O228" s="93"/>
    </row>
    <row r="229" spans="1:16" x14ac:dyDescent="0.25">
      <c r="A229" s="360"/>
      <c r="B229" s="99"/>
      <c r="C229" s="99"/>
      <c r="D229" s="99"/>
      <c r="E229" s="99"/>
      <c r="F229" s="99"/>
      <c r="G229" s="99"/>
      <c r="H229" s="359"/>
      <c r="I229" s="358"/>
      <c r="J229" s="99"/>
      <c r="K229" s="94"/>
      <c r="L229" s="94"/>
      <c r="M229" s="94"/>
      <c r="N229" s="94"/>
      <c r="O229" s="93"/>
    </row>
    <row r="230" spans="1:16" ht="15.75" thickBot="1" x14ac:dyDescent="0.3">
      <c r="A230" s="92"/>
      <c r="B230" s="91"/>
      <c r="C230" s="91"/>
      <c r="D230" s="91"/>
      <c r="E230" s="91"/>
      <c r="F230" s="91"/>
      <c r="G230" s="91"/>
      <c r="H230" s="91"/>
      <c r="I230" s="91"/>
      <c r="J230" s="91"/>
      <c r="K230" s="91"/>
      <c r="L230" s="91"/>
      <c r="M230" s="91"/>
      <c r="N230" s="91"/>
      <c r="O230" s="90"/>
    </row>
    <row r="231" spans="1:16" ht="15.75" thickBot="1" x14ac:dyDescent="0.3">
      <c r="A231" s="107"/>
      <c r="B231" s="94"/>
      <c r="C231" s="94"/>
      <c r="D231" s="94"/>
      <c r="E231" s="94"/>
      <c r="F231" s="94"/>
      <c r="G231" s="94"/>
      <c r="H231" s="94"/>
      <c r="I231" s="94"/>
      <c r="J231" s="94"/>
      <c r="K231" s="94"/>
      <c r="L231" s="94"/>
      <c r="M231" s="94"/>
      <c r="N231" s="94"/>
      <c r="O231" s="94"/>
      <c r="P231" s="94"/>
    </row>
    <row r="232" spans="1:16" x14ac:dyDescent="0.25">
      <c r="A232" s="141"/>
      <c r="B232" s="140"/>
      <c r="C232" s="140"/>
      <c r="D232" s="140"/>
      <c r="E232" s="140"/>
      <c r="F232" s="140"/>
      <c r="G232" s="140"/>
      <c r="H232" s="140"/>
      <c r="I232" s="140"/>
      <c r="J232" s="140"/>
      <c r="K232" s="140"/>
      <c r="L232" s="140"/>
      <c r="M232" s="140"/>
      <c r="N232" s="140"/>
      <c r="O232" s="139"/>
    </row>
    <row r="233" spans="1:16" x14ac:dyDescent="0.25">
      <c r="A233" s="1454" t="s">
        <v>57</v>
      </c>
      <c r="B233" s="133" t="s">
        <v>523</v>
      </c>
      <c r="C233" s="94"/>
      <c r="D233" s="94"/>
      <c r="E233" s="94"/>
      <c r="F233" s="94"/>
      <c r="G233" s="94"/>
      <c r="H233" s="94"/>
      <c r="I233" s="94"/>
      <c r="J233" s="1456" t="s">
        <v>51</v>
      </c>
      <c r="K233" s="138">
        <v>81</v>
      </c>
      <c r="L233" s="94"/>
      <c r="M233" s="1454" t="s">
        <v>113</v>
      </c>
      <c r="N233" s="100">
        <f>SU_02003_m+SU_02003_p</f>
        <v>0.46433106400000002</v>
      </c>
      <c r="O233" s="93"/>
    </row>
    <row r="234" spans="1:16" x14ac:dyDescent="0.25">
      <c r="A234" s="1454" t="s">
        <v>125</v>
      </c>
      <c r="B234" s="133" t="s">
        <v>5</v>
      </c>
      <c r="C234" s="94"/>
      <c r="D234" s="1454" t="s">
        <v>122</v>
      </c>
      <c r="E234" s="547"/>
      <c r="F234" s="94"/>
      <c r="G234" s="94"/>
      <c r="H234" s="94"/>
      <c r="I234" s="94"/>
      <c r="J234" s="94"/>
      <c r="K234" s="94"/>
      <c r="L234" s="94"/>
      <c r="M234" s="1454" t="s">
        <v>124</v>
      </c>
      <c r="N234" s="136">
        <v>2</v>
      </c>
      <c r="O234" s="93"/>
    </row>
    <row r="235" spans="1:16" x14ac:dyDescent="0.25">
      <c r="A235" s="1454" t="s">
        <v>123</v>
      </c>
      <c r="B235" s="270" t="s">
        <v>2480</v>
      </c>
      <c r="C235" s="94"/>
      <c r="D235" s="1454" t="s">
        <v>119</v>
      </c>
      <c r="E235" s="94"/>
      <c r="F235" s="94"/>
      <c r="G235" s="94"/>
      <c r="H235" s="94"/>
      <c r="I235" s="94"/>
      <c r="J235" s="1455" t="s">
        <v>122</v>
      </c>
      <c r="K235" s="94"/>
      <c r="L235" s="94"/>
      <c r="M235" s="94"/>
      <c r="N235" s="94"/>
      <c r="O235" s="93"/>
    </row>
    <row r="236" spans="1:16" x14ac:dyDescent="0.25">
      <c r="A236" s="1454" t="s">
        <v>114</v>
      </c>
      <c r="B236" s="135" t="s">
        <v>2462</v>
      </c>
      <c r="C236" s="94"/>
      <c r="D236" s="1454" t="s">
        <v>116</v>
      </c>
      <c r="E236" s="94"/>
      <c r="F236" s="94"/>
      <c r="G236" s="94"/>
      <c r="H236" s="94"/>
      <c r="I236" s="94"/>
      <c r="J236" s="1455" t="s">
        <v>119</v>
      </c>
      <c r="K236" s="94"/>
      <c r="L236" s="94"/>
      <c r="M236" s="1454" t="s">
        <v>118</v>
      </c>
      <c r="N236" s="100">
        <f>N234*N233</f>
        <v>0.92866212800000003</v>
      </c>
      <c r="O236" s="93"/>
    </row>
    <row r="237" spans="1:16" x14ac:dyDescent="0.25">
      <c r="A237" s="1454" t="s">
        <v>121</v>
      </c>
      <c r="B237" s="269" t="s">
        <v>2668</v>
      </c>
      <c r="C237" s="94"/>
      <c r="D237" s="94"/>
      <c r="E237" s="94"/>
      <c r="F237" s="94"/>
      <c r="G237" s="94"/>
      <c r="H237" s="94"/>
      <c r="I237" s="94"/>
      <c r="J237" s="1455" t="s">
        <v>116</v>
      </c>
      <c r="K237" s="94"/>
      <c r="L237" s="94"/>
      <c r="M237" s="94"/>
      <c r="N237" s="94"/>
      <c r="O237" s="93"/>
    </row>
    <row r="238" spans="1:16" x14ac:dyDescent="0.25">
      <c r="A238" s="1454" t="s">
        <v>117</v>
      </c>
      <c r="B238" s="133" t="s">
        <v>23</v>
      </c>
      <c r="C238" s="94"/>
      <c r="D238" s="94"/>
      <c r="E238" s="94"/>
      <c r="F238" s="94"/>
      <c r="G238" s="94"/>
      <c r="H238" s="94"/>
      <c r="I238" s="94"/>
      <c r="J238" s="94"/>
      <c r="K238" s="94"/>
      <c r="L238" s="94"/>
      <c r="M238" s="94"/>
      <c r="N238" s="94"/>
      <c r="O238" s="93"/>
    </row>
    <row r="239" spans="1:16" x14ac:dyDescent="0.25">
      <c r="A239" s="1454" t="s">
        <v>115</v>
      </c>
      <c r="B239" s="133" t="s">
        <v>2628</v>
      </c>
      <c r="C239" s="94"/>
      <c r="D239" s="94"/>
      <c r="E239" s="94"/>
      <c r="F239" s="94"/>
      <c r="G239" s="94"/>
      <c r="H239" s="94"/>
      <c r="I239" s="94"/>
      <c r="J239" s="94"/>
      <c r="K239" s="94"/>
      <c r="L239" s="94"/>
      <c r="M239" s="94"/>
      <c r="N239" s="94"/>
      <c r="O239" s="93"/>
    </row>
    <row r="240" spans="1:16" x14ac:dyDescent="0.25">
      <c r="A240" s="266"/>
      <c r="B240" s="265"/>
      <c r="C240" s="265"/>
      <c r="D240" s="265"/>
      <c r="E240" s="265"/>
      <c r="F240" s="94"/>
      <c r="G240" s="94"/>
      <c r="H240" s="94"/>
      <c r="I240" s="94"/>
      <c r="J240" s="94"/>
      <c r="K240" s="94"/>
      <c r="L240" s="94"/>
      <c r="M240" s="94"/>
      <c r="N240" s="94"/>
      <c r="O240" s="93"/>
    </row>
    <row r="241" spans="1:16" x14ac:dyDescent="0.25">
      <c r="A241" s="1453" t="s">
        <v>67</v>
      </c>
      <c r="B241" s="1452" t="s">
        <v>112</v>
      </c>
      <c r="C241" s="1452" t="s">
        <v>66</v>
      </c>
      <c r="D241" s="1452" t="s">
        <v>65</v>
      </c>
      <c r="E241" s="1452" t="s">
        <v>81</v>
      </c>
      <c r="F241" s="1465" t="s">
        <v>80</v>
      </c>
      <c r="G241" s="1465" t="s">
        <v>79</v>
      </c>
      <c r="H241" s="1465" t="s">
        <v>78</v>
      </c>
      <c r="I241" s="1465" t="s">
        <v>111</v>
      </c>
      <c r="J241" s="1465" t="s">
        <v>110</v>
      </c>
      <c r="K241" s="1465" t="s">
        <v>109</v>
      </c>
      <c r="L241" s="1465" t="s">
        <v>108</v>
      </c>
      <c r="M241" s="1465" t="s">
        <v>40</v>
      </c>
      <c r="N241" s="1465" t="s">
        <v>58</v>
      </c>
      <c r="O241" s="93"/>
    </row>
    <row r="242" spans="1:16" ht="30" x14ac:dyDescent="0.25">
      <c r="A242" s="1557">
        <v>10</v>
      </c>
      <c r="B242" s="1560" t="s">
        <v>1134</v>
      </c>
      <c r="C242" s="1557" t="s">
        <v>2627</v>
      </c>
      <c r="D242" s="1533">
        <v>4.2</v>
      </c>
      <c r="E242" s="1564">
        <v>12</v>
      </c>
      <c r="F242" s="1557" t="s">
        <v>68</v>
      </c>
      <c r="G242" s="1557"/>
      <c r="H242" s="1531"/>
      <c r="I242" s="1473" t="s">
        <v>2651</v>
      </c>
      <c r="J242" s="1563">
        <f>3.14*0.006^2</f>
        <v>1.1304E-4</v>
      </c>
      <c r="K242" s="1528">
        <v>0.05</v>
      </c>
      <c r="L242" s="1559">
        <v>2710</v>
      </c>
      <c r="M242" s="1558">
        <v>1</v>
      </c>
      <c r="N242" s="1511">
        <f>IF(J242="",D242*M242,D242*J242*K242*L242*M242)</f>
        <v>6.4331064000000007E-2</v>
      </c>
      <c r="O242" s="143"/>
    </row>
    <row r="243" spans="1:16" x14ac:dyDescent="0.25">
      <c r="A243" s="98"/>
      <c r="B243" s="95"/>
      <c r="C243" s="95"/>
      <c r="D243" s="95"/>
      <c r="E243" s="95"/>
      <c r="F243" s="95"/>
      <c r="G243" s="95"/>
      <c r="H243" s="95"/>
      <c r="I243" s="95"/>
      <c r="J243" s="95"/>
      <c r="K243" s="95"/>
      <c r="L243" s="95"/>
      <c r="M243" s="1467" t="s">
        <v>58</v>
      </c>
      <c r="N243" s="1447">
        <f>SUM(N242:N242)</f>
        <v>6.4331064000000007E-2</v>
      </c>
      <c r="O243" s="93"/>
    </row>
    <row r="244" spans="1:16" x14ac:dyDescent="0.25">
      <c r="A244" s="107"/>
      <c r="B244" s="94"/>
      <c r="C244" s="94"/>
      <c r="D244" s="94"/>
      <c r="E244" s="94"/>
      <c r="F244" s="94"/>
      <c r="G244" s="94"/>
      <c r="H244" s="94"/>
      <c r="I244" s="94"/>
      <c r="J244" s="94"/>
      <c r="K244" s="94"/>
      <c r="L244" s="94"/>
      <c r="M244" s="94"/>
      <c r="N244" s="94"/>
      <c r="O244" s="93"/>
    </row>
    <row r="245" spans="1:16" x14ac:dyDescent="0.25">
      <c r="A245" s="1466" t="s">
        <v>67</v>
      </c>
      <c r="B245" s="1465" t="s">
        <v>106</v>
      </c>
      <c r="C245" s="1465" t="s">
        <v>66</v>
      </c>
      <c r="D245" s="1465" t="s">
        <v>65</v>
      </c>
      <c r="E245" s="1465" t="s">
        <v>64</v>
      </c>
      <c r="F245" s="1465" t="s">
        <v>40</v>
      </c>
      <c r="G245" s="1465" t="s">
        <v>105</v>
      </c>
      <c r="H245" s="1465" t="s">
        <v>104</v>
      </c>
      <c r="I245" s="1465" t="s">
        <v>58</v>
      </c>
      <c r="J245" s="95"/>
      <c r="K245" s="95"/>
      <c r="L245" s="95"/>
      <c r="M245" s="95"/>
      <c r="N245" s="95"/>
      <c r="O245" s="93"/>
    </row>
    <row r="246" spans="1:16" x14ac:dyDescent="0.25">
      <c r="A246" s="1458">
        <v>10</v>
      </c>
      <c r="B246" s="1461" t="s">
        <v>2625</v>
      </c>
      <c r="C246" s="1463"/>
      <c r="D246" s="1459">
        <v>0.4</v>
      </c>
      <c r="E246" s="1458" t="s">
        <v>101</v>
      </c>
      <c r="F246" s="1458">
        <v>1</v>
      </c>
      <c r="G246" s="1458"/>
      <c r="H246" s="1458"/>
      <c r="I246" s="1505">
        <f>IF(H246="",D246*F246,D246*F246*H246)</f>
        <v>0.4</v>
      </c>
      <c r="J246" s="142"/>
      <c r="K246" s="142"/>
      <c r="L246" s="142"/>
      <c r="M246" s="142"/>
      <c r="N246" s="142"/>
      <c r="O246" s="120"/>
    </row>
    <row r="247" spans="1:16" x14ac:dyDescent="0.25">
      <c r="A247" s="98"/>
      <c r="B247" s="95"/>
      <c r="C247" s="95"/>
      <c r="D247" s="95"/>
      <c r="E247" s="95"/>
      <c r="F247" s="95"/>
      <c r="G247" s="95"/>
      <c r="H247" s="1448" t="s">
        <v>58</v>
      </c>
      <c r="I247" s="1447">
        <f>SUM(I246:I246)</f>
        <v>0.4</v>
      </c>
      <c r="J247" s="95"/>
      <c r="K247" s="95"/>
      <c r="L247" s="95"/>
      <c r="M247" s="95"/>
      <c r="N247" s="95"/>
      <c r="O247" s="93"/>
    </row>
    <row r="248" spans="1:16" ht="15.75" thickBot="1" x14ac:dyDescent="0.3">
      <c r="A248" s="92"/>
      <c r="B248" s="91"/>
      <c r="C248" s="91"/>
      <c r="D248" s="91"/>
      <c r="E248" s="91"/>
      <c r="F248" s="91"/>
      <c r="G248" s="91"/>
      <c r="H248" s="544"/>
      <c r="I248" s="544"/>
      <c r="J248" s="91"/>
      <c r="K248" s="91"/>
      <c r="L248" s="91"/>
      <c r="M248" s="91"/>
      <c r="N248" s="91"/>
      <c r="O248" s="90"/>
    </row>
    <row r="249" spans="1:16" ht="15.75" thickBot="1" x14ac:dyDescent="0.3">
      <c r="A249" s="107"/>
      <c r="B249" s="94"/>
      <c r="C249" s="94"/>
      <c r="D249" s="94"/>
      <c r="E249" s="94"/>
      <c r="F249" s="94"/>
      <c r="G249" s="94"/>
      <c r="H249" s="675"/>
      <c r="I249" s="675"/>
      <c r="J249" s="94"/>
      <c r="K249" s="94"/>
      <c r="L249" s="94"/>
      <c r="M249" s="94"/>
      <c r="N249" s="94"/>
      <c r="O249" s="94"/>
      <c r="P249" s="94"/>
    </row>
    <row r="250" spans="1:16" x14ac:dyDescent="0.25">
      <c r="A250" s="141"/>
      <c r="B250" s="140"/>
      <c r="C250" s="140"/>
      <c r="D250" s="140"/>
      <c r="E250" s="140"/>
      <c r="F250" s="140"/>
      <c r="G250" s="140"/>
      <c r="H250" s="140"/>
      <c r="I250" s="140"/>
      <c r="J250" s="272"/>
      <c r="K250" s="140"/>
      <c r="L250" s="140"/>
      <c r="M250" s="140"/>
      <c r="N250" s="140"/>
      <c r="O250" s="139"/>
    </row>
    <row r="251" spans="1:16" x14ac:dyDescent="0.25">
      <c r="A251" s="1454" t="s">
        <v>57</v>
      </c>
      <c r="B251" s="133" t="s">
        <v>523</v>
      </c>
      <c r="C251" s="94"/>
      <c r="D251" s="94"/>
      <c r="E251" s="94"/>
      <c r="F251" s="94"/>
      <c r="G251" s="94"/>
      <c r="H251" s="94"/>
      <c r="I251" s="94"/>
      <c r="J251" s="1456" t="s">
        <v>51</v>
      </c>
      <c r="K251" s="138">
        <v>81</v>
      </c>
      <c r="L251" s="94"/>
      <c r="M251" s="1454" t="s">
        <v>113</v>
      </c>
      <c r="N251" s="100">
        <f>SU_02004_m+SU_02004_p</f>
        <v>9.3022558472793762</v>
      </c>
      <c r="O251" s="93"/>
    </row>
    <row r="252" spans="1:16" x14ac:dyDescent="0.25">
      <c r="A252" s="1454" t="s">
        <v>125</v>
      </c>
      <c r="B252" s="133" t="s">
        <v>5</v>
      </c>
      <c r="C252" s="94"/>
      <c r="D252" s="1454" t="s">
        <v>122</v>
      </c>
      <c r="E252" s="94"/>
      <c r="F252" s="94"/>
      <c r="G252" s="94"/>
      <c r="H252" s="94"/>
      <c r="I252" s="94"/>
      <c r="J252" s="94"/>
      <c r="K252" s="94"/>
      <c r="L252" s="94"/>
      <c r="M252" s="1454" t="s">
        <v>124</v>
      </c>
      <c r="N252" s="136">
        <v>1</v>
      </c>
      <c r="O252" s="93"/>
    </row>
    <row r="253" spans="1:16" x14ac:dyDescent="0.25">
      <c r="A253" s="1454" t="s">
        <v>123</v>
      </c>
      <c r="B253" s="270" t="s">
        <v>2480</v>
      </c>
      <c r="C253" s="94"/>
      <c r="D253" s="1454" t="s">
        <v>119</v>
      </c>
      <c r="E253" s="94"/>
      <c r="F253" s="94"/>
      <c r="G253" s="94"/>
      <c r="H253" s="94"/>
      <c r="I253" s="94"/>
      <c r="J253" s="1455" t="s">
        <v>122</v>
      </c>
      <c r="K253" s="94"/>
      <c r="L253" s="94"/>
      <c r="M253" s="94"/>
      <c r="N253" s="94"/>
      <c r="O253" s="93"/>
    </row>
    <row r="254" spans="1:16" x14ac:dyDescent="0.25">
      <c r="A254" s="1454" t="s">
        <v>114</v>
      </c>
      <c r="B254" s="135" t="s">
        <v>2667</v>
      </c>
      <c r="C254" s="94"/>
      <c r="D254" s="1454" t="s">
        <v>116</v>
      </c>
      <c r="E254" s="94"/>
      <c r="F254" s="94"/>
      <c r="G254" s="94"/>
      <c r="H254" s="94"/>
      <c r="I254" s="94"/>
      <c r="J254" s="1455" t="s">
        <v>119</v>
      </c>
      <c r="K254" s="94"/>
      <c r="L254" s="94"/>
      <c r="M254" s="1454" t="s">
        <v>118</v>
      </c>
      <c r="N254" s="100">
        <f>N252*N251</f>
        <v>9.3022558472793762</v>
      </c>
      <c r="O254" s="93"/>
    </row>
    <row r="255" spans="1:16" x14ac:dyDescent="0.25">
      <c r="A255" s="1454" t="s">
        <v>121</v>
      </c>
      <c r="B255" s="269" t="s">
        <v>2666</v>
      </c>
      <c r="C255" s="94"/>
      <c r="D255" s="94"/>
      <c r="E255" s="94"/>
      <c r="F255" s="94"/>
      <c r="G255" s="94"/>
      <c r="H255" s="94"/>
      <c r="I255" s="94"/>
      <c r="J255" s="1455" t="s">
        <v>116</v>
      </c>
      <c r="K255" s="94"/>
      <c r="L255" s="94"/>
      <c r="M255" s="94"/>
      <c r="N255" s="94"/>
      <c r="O255" s="93"/>
    </row>
    <row r="256" spans="1:16" x14ac:dyDescent="0.25">
      <c r="A256" s="1454" t="s">
        <v>117</v>
      </c>
      <c r="B256" s="133" t="s">
        <v>23</v>
      </c>
      <c r="C256" s="94"/>
      <c r="D256" s="94"/>
      <c r="E256" s="94"/>
      <c r="F256" s="94"/>
      <c r="G256" s="94"/>
      <c r="H256" s="94"/>
      <c r="I256" s="94"/>
      <c r="J256" s="94"/>
      <c r="K256" s="94"/>
      <c r="L256" s="94"/>
      <c r="M256" s="94"/>
      <c r="N256" s="94"/>
      <c r="O256" s="93"/>
    </row>
    <row r="257" spans="1:15" x14ac:dyDescent="0.25">
      <c r="A257" s="1454" t="s">
        <v>115</v>
      </c>
      <c r="B257" s="133"/>
      <c r="C257" s="94"/>
      <c r="D257" s="94"/>
      <c r="E257" s="94"/>
      <c r="F257" s="94"/>
      <c r="G257" s="94"/>
      <c r="H257" s="94"/>
      <c r="I257" s="94"/>
      <c r="J257" s="94"/>
      <c r="K257" s="94"/>
      <c r="L257" s="94"/>
      <c r="M257" s="94"/>
      <c r="N257" s="94"/>
      <c r="O257" s="93"/>
    </row>
    <row r="258" spans="1:15" x14ac:dyDescent="0.25">
      <c r="A258" s="266"/>
      <c r="B258" s="265"/>
      <c r="C258" s="265"/>
      <c r="D258" s="265"/>
      <c r="E258" s="265"/>
      <c r="F258" s="94"/>
      <c r="G258" s="94"/>
      <c r="H258" s="94"/>
      <c r="I258" s="94"/>
      <c r="J258" s="94"/>
      <c r="K258" s="94"/>
      <c r="L258" s="94"/>
      <c r="M258" s="94"/>
      <c r="N258" s="94"/>
      <c r="O258" s="93"/>
    </row>
    <row r="259" spans="1:15" x14ac:dyDescent="0.25">
      <c r="A259" s="1453" t="s">
        <v>67</v>
      </c>
      <c r="B259" s="1452" t="s">
        <v>112</v>
      </c>
      <c r="C259" s="1452" t="s">
        <v>66</v>
      </c>
      <c r="D259" s="1452" t="s">
        <v>65</v>
      </c>
      <c r="E259" s="1452" t="s">
        <v>81</v>
      </c>
      <c r="F259" s="1465" t="s">
        <v>80</v>
      </c>
      <c r="G259" s="1465" t="s">
        <v>79</v>
      </c>
      <c r="H259" s="1465" t="s">
        <v>78</v>
      </c>
      <c r="I259" s="1465" t="s">
        <v>111</v>
      </c>
      <c r="J259" s="1465" t="s">
        <v>110</v>
      </c>
      <c r="K259" s="1465" t="s">
        <v>109</v>
      </c>
      <c r="L259" s="1465" t="s">
        <v>108</v>
      </c>
      <c r="M259" s="1465" t="s">
        <v>40</v>
      </c>
      <c r="N259" s="1465" t="s">
        <v>58</v>
      </c>
      <c r="O259" s="93"/>
    </row>
    <row r="260" spans="1:15" x14ac:dyDescent="0.25">
      <c r="A260" s="1458">
        <v>10</v>
      </c>
      <c r="B260" s="1475" t="s">
        <v>1000</v>
      </c>
      <c r="C260" s="1508" t="s">
        <v>1240</v>
      </c>
      <c r="D260" s="1507">
        <v>200</v>
      </c>
      <c r="E260" s="1458">
        <v>16</v>
      </c>
      <c r="F260" s="1458" t="s">
        <v>68</v>
      </c>
      <c r="G260" s="1458">
        <v>2</v>
      </c>
      <c r="H260" s="1470" t="s">
        <v>68</v>
      </c>
      <c r="I260" s="1473" t="s">
        <v>1092</v>
      </c>
      <c r="J260" s="1472">
        <f>(1/4)*PI()*((E260*0.001)^2-(E260*0.001-2*G260*0.001)^2)</f>
        <v>8.7964594300514196E-5</v>
      </c>
      <c r="K260" s="1471">
        <v>0.23499999999999999</v>
      </c>
      <c r="L260" s="1516">
        <v>2000</v>
      </c>
      <c r="M260" s="1469">
        <v>1</v>
      </c>
      <c r="N260" s="1505">
        <f>IF(J260="",D260*M260,D260*J260*K260*L260*M260)</f>
        <v>8.2686718642483346</v>
      </c>
      <c r="O260" s="143"/>
    </row>
    <row r="261" spans="1:15" x14ac:dyDescent="0.25">
      <c r="A261" s="98"/>
      <c r="B261" s="95"/>
      <c r="C261" s="95"/>
      <c r="D261" s="95"/>
      <c r="E261" s="95"/>
      <c r="F261" s="95"/>
      <c r="G261" s="95"/>
      <c r="H261" s="95"/>
      <c r="I261" s="95"/>
      <c r="J261" s="95"/>
      <c r="K261" s="95"/>
      <c r="L261" s="95"/>
      <c r="M261" s="1467" t="s">
        <v>58</v>
      </c>
      <c r="N261" s="1447">
        <f>SUM(N260:N260)</f>
        <v>8.2686718642483346</v>
      </c>
      <c r="O261" s="93"/>
    </row>
    <row r="262" spans="1:15" x14ac:dyDescent="0.25">
      <c r="A262" s="107"/>
      <c r="B262" s="94"/>
      <c r="C262" s="94"/>
      <c r="D262" s="94"/>
      <c r="E262" s="94"/>
      <c r="F262" s="94"/>
      <c r="G262" s="94"/>
      <c r="H262" s="94"/>
      <c r="I262" s="94"/>
      <c r="J262" s="94"/>
      <c r="K262" s="94"/>
      <c r="L262" s="94"/>
      <c r="M262" s="94"/>
      <c r="N262" s="94"/>
      <c r="O262" s="93"/>
    </row>
    <row r="263" spans="1:15" x14ac:dyDescent="0.25">
      <c r="A263" s="1466" t="s">
        <v>67</v>
      </c>
      <c r="B263" s="1465" t="s">
        <v>106</v>
      </c>
      <c r="C263" s="1465" t="s">
        <v>66</v>
      </c>
      <c r="D263" s="1465" t="s">
        <v>65</v>
      </c>
      <c r="E263" s="1465" t="s">
        <v>64</v>
      </c>
      <c r="F263" s="1465" t="s">
        <v>40</v>
      </c>
      <c r="G263" s="1465" t="s">
        <v>105</v>
      </c>
      <c r="H263" s="1465" t="s">
        <v>104</v>
      </c>
      <c r="I263" s="1465" t="s">
        <v>58</v>
      </c>
      <c r="J263" s="95"/>
      <c r="K263" s="95"/>
      <c r="L263" s="95"/>
      <c r="M263" s="95"/>
      <c r="N263" s="95"/>
      <c r="O263" s="93"/>
    </row>
    <row r="264" spans="1:15" ht="30" x14ac:dyDescent="0.25">
      <c r="A264" s="1544">
        <v>10</v>
      </c>
      <c r="B264" s="1461" t="s">
        <v>1280</v>
      </c>
      <c r="C264" s="1546" t="s">
        <v>1279</v>
      </c>
      <c r="D264" s="1507">
        <v>25</v>
      </c>
      <c r="E264" s="1461" t="s">
        <v>794</v>
      </c>
      <c r="F264" s="1544">
        <f>J260*K260*L260</f>
        <v>4.1343359321241675E-2</v>
      </c>
      <c r="G264" s="1544"/>
      <c r="H264" s="1544"/>
      <c r="I264" s="1511">
        <f>IF(H264="",D264*F264,D264*F264*H264)</f>
        <v>1.0335839830310418</v>
      </c>
      <c r="J264" s="142"/>
      <c r="K264" s="142"/>
      <c r="L264" s="142"/>
      <c r="M264" s="142"/>
      <c r="N264" s="142"/>
      <c r="O264" s="120"/>
    </row>
    <row r="265" spans="1:15" x14ac:dyDescent="0.25">
      <c r="A265" s="98"/>
      <c r="B265" s="95"/>
      <c r="C265" s="95"/>
      <c r="D265" s="95"/>
      <c r="E265" s="95"/>
      <c r="F265" s="95"/>
      <c r="G265" s="95"/>
      <c r="H265" s="1448" t="s">
        <v>58</v>
      </c>
      <c r="I265" s="1447">
        <f>SUM(I264:I264)</f>
        <v>1.0335839830310418</v>
      </c>
      <c r="J265" s="95"/>
      <c r="K265" s="95"/>
      <c r="L265" s="95"/>
      <c r="M265" s="95"/>
      <c r="N265" s="95"/>
      <c r="O265" s="93"/>
    </row>
    <row r="266" spans="1:15" x14ac:dyDescent="0.25">
      <c r="A266" s="107"/>
      <c r="B266" s="94"/>
      <c r="C266" s="94"/>
      <c r="D266" s="94"/>
      <c r="E266" s="94"/>
      <c r="F266" s="94"/>
      <c r="G266" s="94"/>
      <c r="H266" s="94"/>
      <c r="I266" s="99"/>
      <c r="J266" s="94"/>
      <c r="K266" s="94"/>
      <c r="L266" s="94"/>
      <c r="M266" s="94"/>
      <c r="N266" s="94"/>
      <c r="O266" s="93"/>
    </row>
    <row r="267" spans="1:15" x14ac:dyDescent="0.25">
      <c r="A267" s="107"/>
      <c r="B267" s="94"/>
      <c r="C267" s="94"/>
      <c r="D267" s="94"/>
      <c r="E267" s="94"/>
      <c r="F267" s="94"/>
      <c r="G267" s="94"/>
      <c r="H267" s="94"/>
      <c r="I267" s="99"/>
      <c r="J267" s="94"/>
      <c r="K267" s="94"/>
      <c r="L267" s="94"/>
      <c r="M267" s="94"/>
      <c r="N267" s="94"/>
      <c r="O267" s="93"/>
    </row>
    <row r="268" spans="1:15" x14ac:dyDescent="0.25">
      <c r="A268" s="107"/>
      <c r="B268" s="94"/>
      <c r="C268" s="94"/>
      <c r="D268" s="94"/>
      <c r="E268" s="94"/>
      <c r="F268" s="94"/>
      <c r="G268" s="94"/>
      <c r="H268" s="94"/>
      <c r="I268" s="99"/>
      <c r="J268" s="94"/>
      <c r="K268" s="94"/>
      <c r="L268" s="94"/>
      <c r="M268" s="94"/>
      <c r="N268" s="94"/>
      <c r="O268" s="93"/>
    </row>
    <row r="269" spans="1:15" ht="15.75" thickBot="1" x14ac:dyDescent="0.3">
      <c r="A269" s="92"/>
      <c r="B269" s="91"/>
      <c r="C269" s="91"/>
      <c r="D269" s="91"/>
      <c r="E269" s="91"/>
      <c r="F269" s="91"/>
      <c r="G269" s="91"/>
      <c r="H269" s="91"/>
      <c r="I269" s="91"/>
      <c r="J269" s="91"/>
      <c r="K269" s="91"/>
      <c r="L269" s="91"/>
      <c r="M269" s="91"/>
      <c r="N269" s="91"/>
      <c r="O269" s="90"/>
    </row>
    <row r="270" spans="1:15" ht="15.75" thickBot="1" x14ac:dyDescent="0.3"/>
    <row r="271" spans="1:15" x14ac:dyDescent="0.25">
      <c r="A271" s="141"/>
      <c r="B271" s="140"/>
      <c r="C271" s="140"/>
      <c r="D271" s="140"/>
      <c r="E271" s="140"/>
      <c r="F271" s="140"/>
      <c r="G271" s="140"/>
      <c r="H271" s="140"/>
      <c r="I271" s="140"/>
      <c r="J271" s="272"/>
      <c r="K271" s="140"/>
      <c r="L271" s="140"/>
      <c r="M271" s="140"/>
      <c r="N271" s="140"/>
      <c r="O271" s="139"/>
    </row>
    <row r="272" spans="1:15" x14ac:dyDescent="0.25">
      <c r="A272" s="1454" t="s">
        <v>57</v>
      </c>
      <c r="B272" s="133" t="s">
        <v>523</v>
      </c>
      <c r="C272" s="94"/>
      <c r="D272" s="94"/>
      <c r="E272" s="94"/>
      <c r="F272" s="94"/>
      <c r="G272" s="94"/>
      <c r="H272" s="94"/>
      <c r="I272" s="94"/>
      <c r="J272" s="1456" t="s">
        <v>51</v>
      </c>
      <c r="K272" s="138">
        <v>81</v>
      </c>
      <c r="L272" s="94"/>
      <c r="M272" s="1454" t="s">
        <v>113</v>
      </c>
      <c r="N272" s="100">
        <f>SU_02005_m+SU_02005_p</f>
        <v>9.4605921170203011</v>
      </c>
      <c r="O272" s="93"/>
    </row>
    <row r="273" spans="1:15" x14ac:dyDescent="0.25">
      <c r="A273" s="1454" t="s">
        <v>125</v>
      </c>
      <c r="B273" s="133" t="s">
        <v>5</v>
      </c>
      <c r="C273" s="94"/>
      <c r="D273" s="1454" t="s">
        <v>122</v>
      </c>
      <c r="E273" s="94"/>
      <c r="F273" s="94"/>
      <c r="G273" s="94"/>
      <c r="H273" s="94"/>
      <c r="I273" s="94"/>
      <c r="J273" s="94"/>
      <c r="K273" s="94"/>
      <c r="L273" s="94"/>
      <c r="M273" s="1454" t="s">
        <v>124</v>
      </c>
      <c r="N273" s="136">
        <v>1</v>
      </c>
      <c r="O273" s="93"/>
    </row>
    <row r="274" spans="1:15" x14ac:dyDescent="0.25">
      <c r="A274" s="1454" t="s">
        <v>123</v>
      </c>
      <c r="B274" s="270" t="s">
        <v>2480</v>
      </c>
      <c r="C274" s="94"/>
      <c r="D274" s="1454" t="s">
        <v>119</v>
      </c>
      <c r="E274" s="94"/>
      <c r="F274" s="94"/>
      <c r="G274" s="94"/>
      <c r="H274" s="94"/>
      <c r="I274" s="94"/>
      <c r="J274" s="1455" t="s">
        <v>122</v>
      </c>
      <c r="K274" s="94"/>
      <c r="L274" s="94"/>
      <c r="M274" s="94"/>
      <c r="N274" s="94"/>
      <c r="O274" s="93"/>
    </row>
    <row r="275" spans="1:15" x14ac:dyDescent="0.25">
      <c r="A275" s="1454" t="s">
        <v>114</v>
      </c>
      <c r="B275" s="135" t="s">
        <v>2665</v>
      </c>
      <c r="C275" s="94"/>
      <c r="D275" s="1454" t="s">
        <v>116</v>
      </c>
      <c r="E275" s="94"/>
      <c r="F275" s="94"/>
      <c r="G275" s="94"/>
      <c r="H275" s="94"/>
      <c r="I275" s="94"/>
      <c r="J275" s="1455" t="s">
        <v>119</v>
      </c>
      <c r="K275" s="94"/>
      <c r="L275" s="94"/>
      <c r="M275" s="1454" t="s">
        <v>118</v>
      </c>
      <c r="N275" s="100">
        <f>N273*N272</f>
        <v>9.4605921170203011</v>
      </c>
      <c r="O275" s="93"/>
    </row>
    <row r="276" spans="1:15" x14ac:dyDescent="0.25">
      <c r="A276" s="1454" t="s">
        <v>121</v>
      </c>
      <c r="B276" s="269" t="s">
        <v>2664</v>
      </c>
      <c r="C276" s="94"/>
      <c r="D276" s="94"/>
      <c r="E276" s="94"/>
      <c r="F276" s="94"/>
      <c r="G276" s="94"/>
      <c r="H276" s="94"/>
      <c r="I276" s="94"/>
      <c r="J276" s="1455" t="s">
        <v>116</v>
      </c>
      <c r="K276" s="94"/>
      <c r="L276" s="94"/>
      <c r="M276" s="94"/>
      <c r="N276" s="94"/>
      <c r="O276" s="93"/>
    </row>
    <row r="277" spans="1:15" x14ac:dyDescent="0.25">
      <c r="A277" s="1454" t="s">
        <v>117</v>
      </c>
      <c r="B277" s="133" t="s">
        <v>23</v>
      </c>
      <c r="C277" s="94"/>
      <c r="D277" s="94"/>
      <c r="E277" s="94"/>
      <c r="F277" s="94"/>
      <c r="G277" s="94"/>
      <c r="H277" s="94"/>
      <c r="I277" s="94"/>
      <c r="J277" s="94"/>
      <c r="K277" s="94"/>
      <c r="L277" s="94"/>
      <c r="M277" s="94"/>
      <c r="N277" s="94"/>
      <c r="O277" s="93"/>
    </row>
    <row r="278" spans="1:15" x14ac:dyDescent="0.25">
      <c r="A278" s="1454" t="s">
        <v>115</v>
      </c>
      <c r="B278" s="133"/>
      <c r="C278" s="94"/>
      <c r="D278" s="94"/>
      <c r="E278" s="94"/>
      <c r="F278" s="94"/>
      <c r="G278" s="94"/>
      <c r="H278" s="94"/>
      <c r="I278" s="94"/>
      <c r="J278" s="94"/>
      <c r="K278" s="94"/>
      <c r="L278" s="94"/>
      <c r="M278" s="94"/>
      <c r="N278" s="94"/>
      <c r="O278" s="93"/>
    </row>
    <row r="279" spans="1:15" x14ac:dyDescent="0.25">
      <c r="A279" s="266"/>
      <c r="B279" s="265"/>
      <c r="C279" s="265"/>
      <c r="D279" s="265"/>
      <c r="E279" s="265"/>
      <c r="F279" s="94"/>
      <c r="G279" s="94"/>
      <c r="H279" s="94"/>
      <c r="I279" s="94"/>
      <c r="J279" s="94"/>
      <c r="K279" s="94"/>
      <c r="L279" s="94"/>
      <c r="M279" s="94"/>
      <c r="N279" s="94"/>
      <c r="O279" s="93"/>
    </row>
    <row r="280" spans="1:15" x14ac:dyDescent="0.25">
      <c r="A280" s="1453" t="s">
        <v>67</v>
      </c>
      <c r="B280" s="1452" t="s">
        <v>112</v>
      </c>
      <c r="C280" s="1452" t="s">
        <v>66</v>
      </c>
      <c r="D280" s="1452" t="s">
        <v>65</v>
      </c>
      <c r="E280" s="1452" t="s">
        <v>81</v>
      </c>
      <c r="F280" s="1465" t="s">
        <v>80</v>
      </c>
      <c r="G280" s="1465" t="s">
        <v>79</v>
      </c>
      <c r="H280" s="1465" t="s">
        <v>78</v>
      </c>
      <c r="I280" s="1465" t="s">
        <v>111</v>
      </c>
      <c r="J280" s="1465" t="s">
        <v>110</v>
      </c>
      <c r="K280" s="1465" t="s">
        <v>109</v>
      </c>
      <c r="L280" s="1465" t="s">
        <v>108</v>
      </c>
      <c r="M280" s="1465" t="s">
        <v>40</v>
      </c>
      <c r="N280" s="1465" t="s">
        <v>58</v>
      </c>
      <c r="O280" s="93"/>
    </row>
    <row r="281" spans="1:15" x14ac:dyDescent="0.25">
      <c r="A281" s="1458">
        <v>10</v>
      </c>
      <c r="B281" s="1475" t="s">
        <v>1000</v>
      </c>
      <c r="C281" s="1508" t="s">
        <v>1240</v>
      </c>
      <c r="D281" s="1507">
        <v>200</v>
      </c>
      <c r="E281" s="1458">
        <v>16</v>
      </c>
      <c r="F281" s="1458" t="s">
        <v>68</v>
      </c>
      <c r="G281" s="1458">
        <v>2</v>
      </c>
      <c r="H281" s="1470" t="s">
        <v>68</v>
      </c>
      <c r="I281" s="1473" t="s">
        <v>1092</v>
      </c>
      <c r="J281" s="1472">
        <f>(1/4)*PI()*((E281*0.001)^2-(E281*0.001-2*G281*0.001)^2)</f>
        <v>8.7964594300514196E-5</v>
      </c>
      <c r="K281" s="1471">
        <v>0.23899999999999999</v>
      </c>
      <c r="L281" s="1516">
        <v>2000</v>
      </c>
      <c r="M281" s="1469">
        <v>1</v>
      </c>
      <c r="N281" s="1505">
        <f>IF(J281="",D281*M281,D281*J281*K281*L281*M281)</f>
        <v>8.4094152151291564</v>
      </c>
      <c r="O281" s="143"/>
    </row>
    <row r="282" spans="1:15" x14ac:dyDescent="0.25">
      <c r="A282" s="98"/>
      <c r="B282" s="95"/>
      <c r="C282" s="95"/>
      <c r="D282" s="95"/>
      <c r="E282" s="95"/>
      <c r="F282" s="95"/>
      <c r="G282" s="95"/>
      <c r="H282" s="95"/>
      <c r="I282" s="95"/>
      <c r="J282" s="95"/>
      <c r="K282" s="95"/>
      <c r="L282" s="95"/>
      <c r="M282" s="1467" t="s">
        <v>58</v>
      </c>
      <c r="N282" s="1447">
        <f>SUM(N281:N281)</f>
        <v>8.4094152151291564</v>
      </c>
      <c r="O282" s="93"/>
    </row>
    <row r="283" spans="1:15" x14ac:dyDescent="0.25">
      <c r="A283" s="107"/>
      <c r="B283" s="94"/>
      <c r="C283" s="94"/>
      <c r="D283" s="94"/>
      <c r="E283" s="94"/>
      <c r="F283" s="94"/>
      <c r="G283" s="94"/>
      <c r="H283" s="94"/>
      <c r="I283" s="94"/>
      <c r="J283" s="94"/>
      <c r="K283" s="94"/>
      <c r="L283" s="94"/>
      <c r="M283" s="94"/>
      <c r="N283" s="94"/>
      <c r="O283" s="93"/>
    </row>
    <row r="284" spans="1:15" x14ac:dyDescent="0.25">
      <c r="A284" s="1466" t="s">
        <v>67</v>
      </c>
      <c r="B284" s="1465" t="s">
        <v>106</v>
      </c>
      <c r="C284" s="1465" t="s">
        <v>66</v>
      </c>
      <c r="D284" s="1465" t="s">
        <v>65</v>
      </c>
      <c r="E284" s="1465" t="s">
        <v>64</v>
      </c>
      <c r="F284" s="1465" t="s">
        <v>40</v>
      </c>
      <c r="G284" s="1465" t="s">
        <v>105</v>
      </c>
      <c r="H284" s="1465" t="s">
        <v>104</v>
      </c>
      <c r="I284" s="1465" t="s">
        <v>58</v>
      </c>
      <c r="J284" s="95"/>
      <c r="K284" s="95"/>
      <c r="L284" s="95"/>
      <c r="M284" s="95"/>
      <c r="N284" s="95"/>
      <c r="O284" s="93"/>
    </row>
    <row r="285" spans="1:15" ht="30" x14ac:dyDescent="0.25">
      <c r="A285" s="1544">
        <v>10</v>
      </c>
      <c r="B285" s="1461" t="s">
        <v>1280</v>
      </c>
      <c r="C285" s="1546" t="s">
        <v>1279</v>
      </c>
      <c r="D285" s="1507">
        <v>25</v>
      </c>
      <c r="E285" s="1461" t="s">
        <v>794</v>
      </c>
      <c r="F285" s="1544">
        <f>J281*K281*L281</f>
        <v>4.2047076075645784E-2</v>
      </c>
      <c r="G285" s="1544"/>
      <c r="H285" s="1544"/>
      <c r="I285" s="1511">
        <f>IF(H285="",D285*F285,D285*F285*H285)</f>
        <v>1.0511769018911445</v>
      </c>
      <c r="J285" s="142"/>
      <c r="K285" s="142"/>
      <c r="L285" s="142"/>
      <c r="M285" s="142"/>
      <c r="N285" s="142"/>
      <c r="O285" s="120"/>
    </row>
    <row r="286" spans="1:15" x14ac:dyDescent="0.25">
      <c r="A286" s="98"/>
      <c r="B286" s="95"/>
      <c r="C286" s="95"/>
      <c r="D286" s="95"/>
      <c r="E286" s="95"/>
      <c r="F286" s="95"/>
      <c r="G286" s="95"/>
      <c r="H286" s="1448" t="s">
        <v>58</v>
      </c>
      <c r="I286" s="1447">
        <f>SUM(I285:I285)</f>
        <v>1.0511769018911445</v>
      </c>
      <c r="J286" s="95"/>
      <c r="K286" s="95"/>
      <c r="L286" s="95"/>
      <c r="M286" s="95"/>
      <c r="N286" s="95"/>
      <c r="O286" s="93"/>
    </row>
    <row r="287" spans="1:15" x14ac:dyDescent="0.25">
      <c r="A287" s="107"/>
      <c r="B287" s="94"/>
      <c r="C287" s="94"/>
      <c r="D287" s="94"/>
      <c r="E287" s="94"/>
      <c r="F287" s="94"/>
      <c r="G287" s="94"/>
      <c r="H287" s="94"/>
      <c r="I287" s="99"/>
      <c r="J287" s="94"/>
      <c r="K287" s="94"/>
      <c r="L287" s="94"/>
      <c r="M287" s="94"/>
      <c r="N287" s="94"/>
      <c r="O287" s="93"/>
    </row>
    <row r="288" spans="1:15" x14ac:dyDescent="0.25">
      <c r="A288" s="107"/>
      <c r="B288" s="94"/>
      <c r="C288" s="94"/>
      <c r="D288" s="94"/>
      <c r="E288" s="94"/>
      <c r="F288" s="94"/>
      <c r="G288" s="94"/>
      <c r="H288" s="94"/>
      <c r="I288" s="99"/>
      <c r="J288" s="94"/>
      <c r="K288" s="94"/>
      <c r="L288" s="94"/>
      <c r="M288" s="94"/>
      <c r="N288" s="94"/>
      <c r="O288" s="93"/>
    </row>
    <row r="289" spans="1:15" x14ac:dyDescent="0.25">
      <c r="A289" s="107"/>
      <c r="B289" s="94"/>
      <c r="C289" s="94"/>
      <c r="D289" s="94"/>
      <c r="E289" s="94"/>
      <c r="F289" s="94"/>
      <c r="G289" s="94"/>
      <c r="H289" s="94"/>
      <c r="I289" s="99"/>
      <c r="J289" s="94"/>
      <c r="K289" s="94"/>
      <c r="L289" s="94"/>
      <c r="M289" s="94"/>
      <c r="N289" s="94"/>
      <c r="O289" s="93"/>
    </row>
    <row r="290" spans="1:15" ht="15.75" thickBot="1" x14ac:dyDescent="0.3">
      <c r="A290" s="92"/>
      <c r="B290" s="91"/>
      <c r="C290" s="91"/>
      <c r="D290" s="91"/>
      <c r="E290" s="91"/>
      <c r="F290" s="91"/>
      <c r="G290" s="91"/>
      <c r="H290" s="91"/>
      <c r="I290" s="91"/>
      <c r="J290" s="91"/>
      <c r="K290" s="91"/>
      <c r="L290" s="91"/>
      <c r="M290" s="91"/>
      <c r="N290" s="91"/>
      <c r="O290" s="90"/>
    </row>
    <row r="291" spans="1:15" ht="15.75" thickBot="1" x14ac:dyDescent="0.3">
      <c r="A291" s="107"/>
      <c r="B291" s="94"/>
      <c r="C291" s="94"/>
      <c r="D291" s="94"/>
      <c r="E291" s="94"/>
      <c r="F291" s="94"/>
      <c r="G291" s="94"/>
      <c r="H291" s="94"/>
      <c r="I291" s="94"/>
      <c r="J291" s="94"/>
      <c r="K291" s="94"/>
      <c r="L291" s="94"/>
      <c r="M291" s="94"/>
      <c r="N291" s="94"/>
      <c r="O291" s="94"/>
    </row>
    <row r="292" spans="1:15" x14ac:dyDescent="0.25">
      <c r="A292" s="141"/>
      <c r="B292" s="140"/>
      <c r="C292" s="140"/>
      <c r="D292" s="140"/>
      <c r="E292" s="140"/>
      <c r="F292" s="140"/>
      <c r="G292" s="140"/>
      <c r="H292" s="140"/>
      <c r="I292" s="140"/>
      <c r="J292" s="272"/>
      <c r="K292" s="140"/>
      <c r="L292" s="140"/>
      <c r="M292" s="140"/>
      <c r="N292" s="140"/>
      <c r="O292" s="139"/>
    </row>
    <row r="293" spans="1:15" x14ac:dyDescent="0.25">
      <c r="A293" s="1454" t="s">
        <v>57</v>
      </c>
      <c r="B293" s="133" t="s">
        <v>523</v>
      </c>
      <c r="C293" s="94"/>
      <c r="D293" s="94"/>
      <c r="E293" s="94"/>
      <c r="F293" s="94"/>
      <c r="G293" s="94"/>
      <c r="H293" s="94"/>
      <c r="I293" s="94"/>
      <c r="J293" s="1456" t="s">
        <v>51</v>
      </c>
      <c r="K293" s="138">
        <v>81</v>
      </c>
      <c r="L293" s="94"/>
      <c r="M293" s="1454" t="s">
        <v>113</v>
      </c>
      <c r="N293" s="100">
        <f>SU_02006_m+SU_02006_p</f>
        <v>1.6884895769514321</v>
      </c>
      <c r="O293" s="93"/>
    </row>
    <row r="294" spans="1:15" x14ac:dyDescent="0.25">
      <c r="A294" s="1454" t="s">
        <v>125</v>
      </c>
      <c r="B294" s="133" t="s">
        <v>5</v>
      </c>
      <c r="C294" s="94"/>
      <c r="D294" s="1454" t="s">
        <v>122</v>
      </c>
      <c r="E294" s="94"/>
      <c r="F294" s="94"/>
      <c r="G294" s="94"/>
      <c r="H294" s="94"/>
      <c r="I294" s="94"/>
      <c r="J294" s="94"/>
      <c r="K294" s="94"/>
      <c r="L294" s="94"/>
      <c r="M294" s="1454" t="s">
        <v>124</v>
      </c>
      <c r="N294" s="136">
        <v>6</v>
      </c>
      <c r="O294" s="93"/>
    </row>
    <row r="295" spans="1:15" x14ac:dyDescent="0.25">
      <c r="A295" s="1454" t="s">
        <v>123</v>
      </c>
      <c r="B295" s="270" t="s">
        <v>2480</v>
      </c>
      <c r="C295" s="94"/>
      <c r="D295" s="1454" t="s">
        <v>119</v>
      </c>
      <c r="E295" s="94"/>
      <c r="F295" s="94"/>
      <c r="G295" s="94"/>
      <c r="H295" s="94"/>
      <c r="I295" s="94"/>
      <c r="J295" s="1455" t="s">
        <v>122</v>
      </c>
      <c r="K295" s="94"/>
      <c r="L295" s="94"/>
      <c r="M295" s="94"/>
      <c r="N295" s="94"/>
      <c r="O295" s="93"/>
    </row>
    <row r="296" spans="1:15" x14ac:dyDescent="0.25">
      <c r="A296" s="1454" t="s">
        <v>114</v>
      </c>
      <c r="B296" s="135" t="s">
        <v>1104</v>
      </c>
      <c r="C296" s="94"/>
      <c r="D296" s="1454" t="s">
        <v>116</v>
      </c>
      <c r="E296" s="94"/>
      <c r="F296" s="94"/>
      <c r="G296" s="94"/>
      <c r="H296" s="94"/>
      <c r="I296" s="94"/>
      <c r="J296" s="1455" t="s">
        <v>119</v>
      </c>
      <c r="K296" s="94"/>
      <c r="L296" s="94"/>
      <c r="M296" s="1454" t="s">
        <v>118</v>
      </c>
      <c r="N296" s="100">
        <f>N294*N293</f>
        <v>10.130937461708593</v>
      </c>
      <c r="O296" s="93"/>
    </row>
    <row r="297" spans="1:15" x14ac:dyDescent="0.25">
      <c r="A297" s="1454" t="s">
        <v>121</v>
      </c>
      <c r="B297" s="269" t="s">
        <v>2663</v>
      </c>
      <c r="C297" s="94"/>
      <c r="D297" s="94"/>
      <c r="E297" s="94"/>
      <c r="F297" s="94"/>
      <c r="G297" s="94"/>
      <c r="H297" s="94"/>
      <c r="I297" s="94"/>
      <c r="J297" s="1455" t="s">
        <v>116</v>
      </c>
      <c r="K297" s="94"/>
      <c r="L297" s="94"/>
      <c r="M297" s="94"/>
      <c r="N297" s="94"/>
      <c r="O297" s="93"/>
    </row>
    <row r="298" spans="1:15" x14ac:dyDescent="0.25">
      <c r="A298" s="1454" t="s">
        <v>117</v>
      </c>
      <c r="B298" s="133" t="s">
        <v>23</v>
      </c>
      <c r="C298" s="94"/>
      <c r="D298" s="94"/>
      <c r="E298" s="94"/>
      <c r="F298" s="94"/>
      <c r="G298" s="94"/>
      <c r="H298" s="94"/>
      <c r="I298" s="94"/>
      <c r="J298" s="94"/>
      <c r="K298" s="94"/>
      <c r="L298" s="94"/>
      <c r="M298" s="94"/>
      <c r="N298" s="94"/>
      <c r="O298" s="93"/>
    </row>
    <row r="299" spans="1:15" x14ac:dyDescent="0.25">
      <c r="A299" s="1454" t="s">
        <v>115</v>
      </c>
      <c r="B299" s="133"/>
      <c r="C299" s="94"/>
      <c r="D299" s="94"/>
      <c r="E299" s="94"/>
      <c r="F299" s="94"/>
      <c r="G299" s="94"/>
      <c r="H299" s="94"/>
      <c r="I299" s="94"/>
      <c r="J299" s="94"/>
      <c r="K299" s="94"/>
      <c r="L299" s="94"/>
      <c r="M299" s="94"/>
      <c r="N299" s="94"/>
      <c r="O299" s="93"/>
    </row>
    <row r="300" spans="1:15" x14ac:dyDescent="0.25">
      <c r="A300" s="266"/>
      <c r="B300" s="265"/>
      <c r="C300" s="265"/>
      <c r="D300" s="265"/>
      <c r="E300" s="265"/>
      <c r="F300" s="94"/>
      <c r="G300" s="94"/>
      <c r="H300" s="94"/>
      <c r="I300" s="94"/>
      <c r="J300" s="94"/>
      <c r="K300" s="94"/>
      <c r="L300" s="94"/>
      <c r="M300" s="94"/>
      <c r="N300" s="94"/>
      <c r="O300" s="93"/>
    </row>
    <row r="301" spans="1:15" x14ac:dyDescent="0.25">
      <c r="A301" s="1453" t="s">
        <v>67</v>
      </c>
      <c r="B301" s="1452" t="s">
        <v>112</v>
      </c>
      <c r="C301" s="1452" t="s">
        <v>66</v>
      </c>
      <c r="D301" s="1452" t="s">
        <v>65</v>
      </c>
      <c r="E301" s="1452" t="s">
        <v>81</v>
      </c>
      <c r="F301" s="1465" t="s">
        <v>80</v>
      </c>
      <c r="G301" s="1465" t="s">
        <v>79</v>
      </c>
      <c r="H301" s="1465" t="s">
        <v>78</v>
      </c>
      <c r="I301" s="1465" t="s">
        <v>111</v>
      </c>
      <c r="J301" s="1465" t="s">
        <v>110</v>
      </c>
      <c r="K301" s="1465" t="s">
        <v>109</v>
      </c>
      <c r="L301" s="1465" t="s">
        <v>108</v>
      </c>
      <c r="M301" s="1465" t="s">
        <v>40</v>
      </c>
      <c r="N301" s="1465" t="s">
        <v>58</v>
      </c>
      <c r="O301" s="93"/>
    </row>
    <row r="302" spans="1:15" ht="30.75" customHeight="1" x14ac:dyDescent="0.25">
      <c r="A302" s="1458">
        <v>10</v>
      </c>
      <c r="B302" s="1460" t="s">
        <v>729</v>
      </c>
      <c r="C302" s="1508"/>
      <c r="D302" s="1459">
        <v>2.25</v>
      </c>
      <c r="E302" s="1458">
        <v>14</v>
      </c>
      <c r="F302" s="1458" t="s">
        <v>68</v>
      </c>
      <c r="G302" s="1458"/>
      <c r="H302" s="1470"/>
      <c r="I302" s="1473" t="s">
        <v>2662</v>
      </c>
      <c r="J302" s="1472">
        <f>PI()*0.007*0.007</f>
        <v>1.5393804002589986E-4</v>
      </c>
      <c r="K302" s="1471">
        <f>0.004</f>
        <v>4.0000000000000001E-3</v>
      </c>
      <c r="L302" s="1470">
        <v>7860</v>
      </c>
      <c r="M302" s="1469">
        <v>1</v>
      </c>
      <c r="N302" s="1505">
        <f>IF(J302="",D302*M302,D302*J302*K302*L302*M302)</f>
        <v>1.0889576951432157E-2</v>
      </c>
      <c r="O302" s="143"/>
    </row>
    <row r="303" spans="1:15" x14ac:dyDescent="0.25">
      <c r="A303" s="98"/>
      <c r="B303" s="95"/>
      <c r="C303" s="95"/>
      <c r="D303" s="95"/>
      <c r="E303" s="95"/>
      <c r="F303" s="95"/>
      <c r="G303" s="95"/>
      <c r="H303" s="95"/>
      <c r="I303" s="95"/>
      <c r="J303" s="95"/>
      <c r="K303" s="95"/>
      <c r="L303" s="95"/>
      <c r="M303" s="1467" t="s">
        <v>58</v>
      </c>
      <c r="N303" s="1447">
        <f>SUM(N302:N302)</f>
        <v>1.0889576951432157E-2</v>
      </c>
      <c r="O303" s="93"/>
    </row>
    <row r="304" spans="1:15" x14ac:dyDescent="0.25">
      <c r="A304" s="107"/>
      <c r="B304" s="94"/>
      <c r="C304" s="94"/>
      <c r="D304" s="94"/>
      <c r="E304" s="94"/>
      <c r="F304" s="94"/>
      <c r="G304" s="94"/>
      <c r="H304" s="94"/>
      <c r="I304" s="94"/>
      <c r="J304" s="94"/>
      <c r="K304" s="94"/>
      <c r="L304" s="94"/>
      <c r="M304" s="94"/>
      <c r="N304" s="94"/>
      <c r="O304" s="93"/>
    </row>
    <row r="305" spans="1:15" x14ac:dyDescent="0.25">
      <c r="A305" s="1466" t="s">
        <v>67</v>
      </c>
      <c r="B305" s="1465" t="s">
        <v>106</v>
      </c>
      <c r="C305" s="1465" t="s">
        <v>66</v>
      </c>
      <c r="D305" s="1465" t="s">
        <v>65</v>
      </c>
      <c r="E305" s="1465" t="s">
        <v>64</v>
      </c>
      <c r="F305" s="1465" t="s">
        <v>40</v>
      </c>
      <c r="G305" s="1465" t="s">
        <v>105</v>
      </c>
      <c r="H305" s="1465" t="s">
        <v>104</v>
      </c>
      <c r="I305" s="1465" t="s">
        <v>58</v>
      </c>
      <c r="J305" s="95"/>
      <c r="K305" s="95"/>
      <c r="L305" s="95"/>
      <c r="M305" s="95"/>
      <c r="N305" s="95"/>
      <c r="O305" s="93"/>
    </row>
    <row r="306" spans="1:15" ht="30" x14ac:dyDescent="0.25">
      <c r="A306" s="1544">
        <v>10</v>
      </c>
      <c r="B306" s="1461" t="s">
        <v>516</v>
      </c>
      <c r="C306" s="1546" t="s">
        <v>528</v>
      </c>
      <c r="D306" s="1507">
        <v>1.3</v>
      </c>
      <c r="E306" s="1461" t="s">
        <v>64</v>
      </c>
      <c r="F306" s="1544">
        <v>1</v>
      </c>
      <c r="G306" s="1544"/>
      <c r="H306" s="1544"/>
      <c r="I306" s="1511">
        <f>IF(H306="",D306*F306,D306*F306*H306)</f>
        <v>1.3</v>
      </c>
      <c r="J306" s="142"/>
      <c r="K306" s="142"/>
      <c r="L306" s="142"/>
      <c r="M306" s="142"/>
      <c r="N306" s="142"/>
      <c r="O306" s="120"/>
    </row>
    <row r="307" spans="1:15" x14ac:dyDescent="0.25">
      <c r="A307" s="1541">
        <v>20</v>
      </c>
      <c r="B307" s="1541" t="s">
        <v>514</v>
      </c>
      <c r="C307" s="1541" t="s">
        <v>1263</v>
      </c>
      <c r="D307" s="1542">
        <v>0.04</v>
      </c>
      <c r="E307" s="1541" t="s">
        <v>512</v>
      </c>
      <c r="F307" s="1541">
        <v>0.23</v>
      </c>
      <c r="G307" s="1541" t="s">
        <v>2557</v>
      </c>
      <c r="H307" s="1541">
        <v>3</v>
      </c>
      <c r="I307" s="1511">
        <f>IF(H307="",D307*F307,D307*F307*H307)</f>
        <v>2.76E-2</v>
      </c>
      <c r="J307" s="94"/>
      <c r="K307" s="94"/>
      <c r="L307" s="94"/>
      <c r="M307" s="94"/>
      <c r="N307" s="94"/>
      <c r="O307" s="93"/>
    </row>
    <row r="308" spans="1:15" x14ac:dyDescent="0.25">
      <c r="A308" s="1543">
        <v>30</v>
      </c>
      <c r="B308" s="1543" t="s">
        <v>2177</v>
      </c>
      <c r="C308" s="1543" t="s">
        <v>1252</v>
      </c>
      <c r="D308" s="1562">
        <v>0.35</v>
      </c>
      <c r="E308" s="1543" t="s">
        <v>294</v>
      </c>
      <c r="F308" s="1543">
        <v>1</v>
      </c>
      <c r="G308" s="1543"/>
      <c r="H308" s="1543"/>
      <c r="I308" s="1562">
        <f>D308*F308</f>
        <v>0.35</v>
      </c>
      <c r="J308" s="99"/>
      <c r="K308" s="99"/>
      <c r="L308" s="99"/>
      <c r="M308" s="99"/>
      <c r="N308" s="99"/>
      <c r="O308" s="130"/>
    </row>
    <row r="309" spans="1:15" x14ac:dyDescent="0.25">
      <c r="A309" s="98"/>
      <c r="B309" s="95"/>
      <c r="C309" s="95"/>
      <c r="D309" s="95"/>
      <c r="E309" s="95"/>
      <c r="F309" s="95"/>
      <c r="G309" s="95"/>
      <c r="H309" s="1448" t="s">
        <v>58</v>
      </c>
      <c r="I309" s="1447">
        <f>SUM(I306:I308)</f>
        <v>1.6776</v>
      </c>
      <c r="J309" s="95"/>
      <c r="K309" s="95"/>
      <c r="L309" s="95"/>
      <c r="M309" s="95"/>
      <c r="N309" s="95"/>
      <c r="O309" s="93"/>
    </row>
    <row r="310" spans="1:15" x14ac:dyDescent="0.25">
      <c r="A310" s="107"/>
      <c r="B310" s="94"/>
      <c r="C310" s="94"/>
      <c r="D310" s="94"/>
      <c r="E310" s="94"/>
      <c r="F310" s="94"/>
      <c r="G310" s="94"/>
      <c r="H310" s="94"/>
      <c r="I310" s="99"/>
      <c r="J310" s="94"/>
      <c r="K310" s="94"/>
      <c r="L310" s="94"/>
      <c r="M310" s="94"/>
      <c r="N310" s="94"/>
      <c r="O310" s="93"/>
    </row>
    <row r="311" spans="1:15" ht="15.75" thickBot="1" x14ac:dyDescent="0.3">
      <c r="A311" s="92"/>
      <c r="B311" s="91"/>
      <c r="C311" s="91"/>
      <c r="D311" s="91"/>
      <c r="E311" s="91"/>
      <c r="F311" s="91"/>
      <c r="G311" s="91"/>
      <c r="H311" s="91"/>
      <c r="I311" s="91"/>
      <c r="J311" s="91"/>
      <c r="K311" s="91"/>
      <c r="L311" s="91"/>
      <c r="M311" s="91"/>
      <c r="N311" s="91"/>
      <c r="O311" s="90"/>
    </row>
    <row r="312" spans="1:15" ht="15.75" thickBot="1" x14ac:dyDescent="0.3"/>
    <row r="313" spans="1:15" x14ac:dyDescent="0.25">
      <c r="A313" s="141"/>
      <c r="B313" s="140"/>
      <c r="C313" s="140"/>
      <c r="D313" s="140"/>
      <c r="E313" s="140"/>
      <c r="F313" s="140"/>
      <c r="G313" s="140"/>
      <c r="H313" s="140"/>
      <c r="I313" s="140"/>
      <c r="J313" s="272"/>
      <c r="K313" s="140"/>
      <c r="L313" s="140"/>
      <c r="M313" s="140"/>
      <c r="N313" s="140"/>
      <c r="O313" s="139"/>
    </row>
    <row r="314" spans="1:15" x14ac:dyDescent="0.25">
      <c r="A314" s="1454" t="s">
        <v>57</v>
      </c>
      <c r="B314" s="133" t="s">
        <v>523</v>
      </c>
      <c r="C314" s="94"/>
      <c r="D314" s="94"/>
      <c r="E314" s="94"/>
      <c r="F314" s="94"/>
      <c r="G314" s="94"/>
      <c r="H314" s="94"/>
      <c r="I314" s="94"/>
      <c r="J314" s="1456" t="s">
        <v>51</v>
      </c>
      <c r="K314" s="138">
        <v>81</v>
      </c>
      <c r="L314" s="94"/>
      <c r="M314" s="1454" t="s">
        <v>113</v>
      </c>
      <c r="N314" s="100">
        <f>SU_01007_m+SU_01007_p</f>
        <v>6.3450718749999995</v>
      </c>
      <c r="O314" s="93"/>
    </row>
    <row r="315" spans="1:15" x14ac:dyDescent="0.25">
      <c r="A315" s="1454" t="s">
        <v>125</v>
      </c>
      <c r="B315" s="133" t="s">
        <v>5</v>
      </c>
      <c r="C315" s="94"/>
      <c r="D315" s="1454" t="s">
        <v>122</v>
      </c>
      <c r="E315" s="270" t="s">
        <v>2525</v>
      </c>
      <c r="F315" s="94"/>
      <c r="G315" s="94"/>
      <c r="H315" s="94"/>
      <c r="I315" s="94"/>
      <c r="J315" s="94"/>
      <c r="K315" s="94"/>
      <c r="L315" s="94"/>
      <c r="M315" s="1454" t="s">
        <v>124</v>
      </c>
      <c r="N315" s="136">
        <v>1</v>
      </c>
      <c r="O315" s="93"/>
    </row>
    <row r="316" spans="1:15" x14ac:dyDescent="0.25">
      <c r="A316" s="1454" t="s">
        <v>123</v>
      </c>
      <c r="B316" s="270" t="s">
        <v>2480</v>
      </c>
      <c r="C316" s="94"/>
      <c r="D316" s="1454" t="s">
        <v>119</v>
      </c>
      <c r="E316" s="94"/>
      <c r="F316" s="94"/>
      <c r="G316" s="94"/>
      <c r="H316" s="94"/>
      <c r="I316" s="94"/>
      <c r="J316" s="1455" t="s">
        <v>122</v>
      </c>
      <c r="K316" s="94"/>
      <c r="L316" s="94"/>
      <c r="M316" s="94"/>
      <c r="N316" s="94"/>
      <c r="O316" s="93"/>
    </row>
    <row r="317" spans="1:15" x14ac:dyDescent="0.25">
      <c r="A317" s="1454" t="s">
        <v>114</v>
      </c>
      <c r="B317" s="135" t="s">
        <v>2475</v>
      </c>
      <c r="C317" s="94"/>
      <c r="D317" s="1454" t="s">
        <v>116</v>
      </c>
      <c r="E317" s="94"/>
      <c r="F317" s="94"/>
      <c r="G317" s="94"/>
      <c r="H317" s="94"/>
      <c r="I317" s="94"/>
      <c r="J317" s="1455" t="s">
        <v>119</v>
      </c>
      <c r="K317" s="94"/>
      <c r="L317" s="94"/>
      <c r="M317" s="1454" t="s">
        <v>118</v>
      </c>
      <c r="N317" s="100">
        <f>N315*N314</f>
        <v>6.3450718749999995</v>
      </c>
      <c r="O317" s="93"/>
    </row>
    <row r="318" spans="1:15" x14ac:dyDescent="0.25">
      <c r="A318" s="1454" t="s">
        <v>121</v>
      </c>
      <c r="B318" s="269" t="s">
        <v>2661</v>
      </c>
      <c r="C318" s="94"/>
      <c r="D318" s="94"/>
      <c r="E318" s="94"/>
      <c r="F318" s="94"/>
      <c r="G318" s="94"/>
      <c r="H318" s="94"/>
      <c r="I318" s="94"/>
      <c r="J318" s="1455" t="s">
        <v>116</v>
      </c>
      <c r="K318" s="94"/>
      <c r="L318" s="94"/>
      <c r="M318" s="94"/>
      <c r="N318" s="94"/>
      <c r="O318" s="93"/>
    </row>
    <row r="319" spans="1:15" x14ac:dyDescent="0.25">
      <c r="A319" s="1454" t="s">
        <v>117</v>
      </c>
      <c r="B319" s="133" t="s">
        <v>23</v>
      </c>
      <c r="C319" s="94"/>
      <c r="D319" s="94"/>
      <c r="E319" s="94"/>
      <c r="F319" s="94"/>
      <c r="G319" s="94"/>
      <c r="H319" s="94"/>
      <c r="I319" s="94"/>
      <c r="J319" s="94"/>
      <c r="K319" s="94"/>
      <c r="L319" s="94"/>
      <c r="M319" s="94"/>
      <c r="N319" s="94"/>
      <c r="O319" s="93"/>
    </row>
    <row r="320" spans="1:15" x14ac:dyDescent="0.25">
      <c r="A320" s="1454" t="s">
        <v>115</v>
      </c>
      <c r="B320" s="133" t="s">
        <v>2590</v>
      </c>
      <c r="C320" s="94"/>
      <c r="D320" s="94"/>
      <c r="E320" s="94"/>
      <c r="F320" s="94"/>
      <c r="G320" s="94"/>
      <c r="H320" s="94"/>
      <c r="I320" s="94"/>
      <c r="J320" s="94"/>
      <c r="K320" s="94"/>
      <c r="L320" s="94"/>
      <c r="M320" s="94"/>
      <c r="N320" s="94"/>
      <c r="O320" s="93"/>
    </row>
    <row r="321" spans="1:15" x14ac:dyDescent="0.25">
      <c r="A321" s="266"/>
      <c r="B321" s="265"/>
      <c r="C321" s="265"/>
      <c r="D321" s="265"/>
      <c r="E321" s="265"/>
      <c r="F321" s="94"/>
      <c r="G321" s="94"/>
      <c r="H321" s="94"/>
      <c r="I321" s="94"/>
      <c r="J321" s="94"/>
      <c r="K321" s="94"/>
      <c r="L321" s="94"/>
      <c r="M321" s="94"/>
      <c r="N321" s="94"/>
      <c r="O321" s="93"/>
    </row>
    <row r="322" spans="1:15" x14ac:dyDescent="0.25">
      <c r="A322" s="1453" t="s">
        <v>67</v>
      </c>
      <c r="B322" s="1452" t="s">
        <v>112</v>
      </c>
      <c r="C322" s="1452" t="s">
        <v>66</v>
      </c>
      <c r="D322" s="1452" t="s">
        <v>65</v>
      </c>
      <c r="E322" s="1452" t="s">
        <v>81</v>
      </c>
      <c r="F322" s="1465" t="s">
        <v>80</v>
      </c>
      <c r="G322" s="1465" t="s">
        <v>79</v>
      </c>
      <c r="H322" s="1465" t="s">
        <v>78</v>
      </c>
      <c r="I322" s="1465" t="s">
        <v>111</v>
      </c>
      <c r="J322" s="1465" t="s">
        <v>110</v>
      </c>
      <c r="K322" s="1465" t="s">
        <v>109</v>
      </c>
      <c r="L322" s="1465" t="s">
        <v>108</v>
      </c>
      <c r="M322" s="1465" t="s">
        <v>40</v>
      </c>
      <c r="N322" s="1465" t="s">
        <v>58</v>
      </c>
      <c r="O322" s="93"/>
    </row>
    <row r="323" spans="1:15" ht="30" x14ac:dyDescent="0.25">
      <c r="A323" s="1458">
        <v>10</v>
      </c>
      <c r="B323" s="1475" t="s">
        <v>519</v>
      </c>
      <c r="C323" s="1508" t="s">
        <v>2561</v>
      </c>
      <c r="D323" s="1507">
        <v>2.25</v>
      </c>
      <c r="E323" s="1458">
        <v>25</v>
      </c>
      <c r="F323" s="1458" t="s">
        <v>68</v>
      </c>
      <c r="G323" s="1458">
        <v>18</v>
      </c>
      <c r="H323" s="1470" t="s">
        <v>68</v>
      </c>
      <c r="I323" s="1473" t="s">
        <v>2660</v>
      </c>
      <c r="J323" s="1472">
        <f>0.025*0.018</f>
        <v>4.4999999999999999E-4</v>
      </c>
      <c r="K323" s="1471">
        <v>4.3999999999999997E-2</v>
      </c>
      <c r="L323" s="1470">
        <v>7860</v>
      </c>
      <c r="M323" s="1469">
        <v>1</v>
      </c>
      <c r="N323" s="1505">
        <f>IF(J323="",D323*M323,D323*J323*K323*L323*M323)</f>
        <v>0.35016299999999995</v>
      </c>
      <c r="O323" s="143"/>
    </row>
    <row r="324" spans="1:15" x14ac:dyDescent="0.25">
      <c r="A324" s="98"/>
      <c r="B324" s="95"/>
      <c r="C324" s="95"/>
      <c r="D324" s="95"/>
      <c r="E324" s="95"/>
      <c r="F324" s="95"/>
      <c r="G324" s="95"/>
      <c r="H324" s="95"/>
      <c r="I324" s="95"/>
      <c r="J324" s="95"/>
      <c r="K324" s="95"/>
      <c r="L324" s="95"/>
      <c r="M324" s="1467" t="s">
        <v>58</v>
      </c>
      <c r="N324" s="1447">
        <f>SUM(N323:N323)</f>
        <v>0.35016299999999995</v>
      </c>
      <c r="O324" s="93"/>
    </row>
    <row r="325" spans="1:15" x14ac:dyDescent="0.25">
      <c r="A325" s="107"/>
      <c r="B325" s="94"/>
      <c r="C325" s="94"/>
      <c r="D325" s="94"/>
      <c r="E325" s="94"/>
      <c r="F325" s="94"/>
      <c r="G325" s="94"/>
      <c r="H325" s="94"/>
      <c r="I325" s="94"/>
      <c r="J325" s="94"/>
      <c r="K325" s="94"/>
      <c r="L325" s="94"/>
      <c r="M325" s="94"/>
      <c r="N325" s="94"/>
      <c r="O325" s="93"/>
    </row>
    <row r="326" spans="1:15" x14ac:dyDescent="0.25">
      <c r="A326" s="1466" t="s">
        <v>67</v>
      </c>
      <c r="B326" s="1465" t="s">
        <v>106</v>
      </c>
      <c r="C326" s="1465" t="s">
        <v>66</v>
      </c>
      <c r="D326" s="1465" t="s">
        <v>65</v>
      </c>
      <c r="E326" s="1465" t="s">
        <v>64</v>
      </c>
      <c r="F326" s="1465" t="s">
        <v>40</v>
      </c>
      <c r="G326" s="1465" t="s">
        <v>105</v>
      </c>
      <c r="H326" s="1465" t="s">
        <v>104</v>
      </c>
      <c r="I326" s="1465" t="s">
        <v>58</v>
      </c>
      <c r="J326" s="95"/>
      <c r="K326" s="95"/>
      <c r="L326" s="95"/>
      <c r="M326" s="95"/>
      <c r="N326" s="95"/>
      <c r="O326" s="93"/>
    </row>
    <row r="327" spans="1:15" ht="30" x14ac:dyDescent="0.25">
      <c r="A327" s="1544">
        <v>10</v>
      </c>
      <c r="B327" s="1461" t="s">
        <v>516</v>
      </c>
      <c r="C327" s="1547" t="s">
        <v>528</v>
      </c>
      <c r="D327" s="1507">
        <v>1.3</v>
      </c>
      <c r="E327" s="1461" t="s">
        <v>64</v>
      </c>
      <c r="F327" s="1545">
        <v>1</v>
      </c>
      <c r="G327" s="1545"/>
      <c r="H327" s="1545"/>
      <c r="I327" s="1511">
        <f t="shared" ref="I327:I333" si="6">IF(H327="",D327*F327,D327*F327*H327)</f>
        <v>1.3</v>
      </c>
      <c r="J327" s="95"/>
      <c r="K327" s="95"/>
      <c r="L327" s="95"/>
      <c r="M327" s="95"/>
      <c r="N327" s="95"/>
      <c r="O327" s="93"/>
    </row>
    <row r="328" spans="1:15" x14ac:dyDescent="0.25">
      <c r="A328" s="1541">
        <v>20</v>
      </c>
      <c r="B328" s="1541" t="s">
        <v>514</v>
      </c>
      <c r="C328" s="1541" t="s">
        <v>1263</v>
      </c>
      <c r="D328" s="1542">
        <v>0.04</v>
      </c>
      <c r="E328" s="1541" t="s">
        <v>512</v>
      </c>
      <c r="F328" s="1541">
        <v>10.4</v>
      </c>
      <c r="G328" s="1541" t="s">
        <v>2557</v>
      </c>
      <c r="H328" s="1541">
        <v>3</v>
      </c>
      <c r="I328" s="1511">
        <f t="shared" si="6"/>
        <v>1.2480000000000002</v>
      </c>
      <c r="J328" s="142"/>
      <c r="K328" s="142"/>
      <c r="L328" s="142"/>
      <c r="M328" s="142"/>
      <c r="N328" s="142"/>
      <c r="O328" s="120"/>
    </row>
    <row r="329" spans="1:15" x14ac:dyDescent="0.25">
      <c r="A329" s="1543">
        <v>30</v>
      </c>
      <c r="B329" s="1545" t="s">
        <v>2177</v>
      </c>
      <c r="C329" s="1545" t="s">
        <v>1252</v>
      </c>
      <c r="D329" s="1561">
        <v>0.35</v>
      </c>
      <c r="E329" s="1545" t="s">
        <v>294</v>
      </c>
      <c r="F329" s="1545">
        <v>1</v>
      </c>
      <c r="G329" s="1545"/>
      <c r="H329" s="1545"/>
      <c r="I329" s="1511">
        <f t="shared" si="6"/>
        <v>0.35</v>
      </c>
      <c r="J329" s="94"/>
      <c r="K329" s="94"/>
      <c r="L329" s="94"/>
      <c r="M329" s="94"/>
      <c r="N329" s="94"/>
      <c r="O329" s="93"/>
    </row>
    <row r="330" spans="1:15" x14ac:dyDescent="0.25">
      <c r="A330" s="1541">
        <v>40</v>
      </c>
      <c r="B330" s="1541" t="s">
        <v>2536</v>
      </c>
      <c r="C330" s="1541"/>
      <c r="D330" s="1542">
        <v>0.65</v>
      </c>
      <c r="E330" s="1541" t="s">
        <v>64</v>
      </c>
      <c r="F330" s="1541">
        <v>1</v>
      </c>
      <c r="G330" s="1541"/>
      <c r="H330" s="1541"/>
      <c r="I330" s="1511">
        <f t="shared" si="6"/>
        <v>0.65</v>
      </c>
      <c r="J330" s="99"/>
      <c r="K330" s="99"/>
      <c r="L330" s="99"/>
      <c r="M330" s="99"/>
      <c r="N330" s="99"/>
      <c r="O330" s="130"/>
    </row>
    <row r="331" spans="1:15" x14ac:dyDescent="0.25">
      <c r="A331" s="1541">
        <v>50</v>
      </c>
      <c r="B331" s="1541" t="s">
        <v>514</v>
      </c>
      <c r="C331" s="1541" t="s">
        <v>2559</v>
      </c>
      <c r="D331" s="1542">
        <v>0.04</v>
      </c>
      <c r="E331" s="1541" t="s">
        <v>512</v>
      </c>
      <c r="F331" s="1541">
        <v>9.3000000000000007</v>
      </c>
      <c r="G331" s="1541" t="s">
        <v>2557</v>
      </c>
      <c r="H331" s="1541">
        <v>3</v>
      </c>
      <c r="I331" s="1511">
        <f t="shared" si="6"/>
        <v>1.1160000000000001</v>
      </c>
      <c r="J331" s="94"/>
      <c r="K331" s="94"/>
      <c r="L331" s="94"/>
      <c r="M331" s="94"/>
      <c r="N331" s="94"/>
      <c r="O331" s="93"/>
    </row>
    <row r="332" spans="1:15" x14ac:dyDescent="0.25">
      <c r="A332" s="1541">
        <v>60</v>
      </c>
      <c r="B332" s="1541" t="s">
        <v>2536</v>
      </c>
      <c r="C332" s="1541"/>
      <c r="D332" s="1542">
        <v>0.65</v>
      </c>
      <c r="E332" s="1541" t="s">
        <v>64</v>
      </c>
      <c r="F332" s="1541">
        <v>1</v>
      </c>
      <c r="G332" s="1541"/>
      <c r="H332" s="1541"/>
      <c r="I332" s="1511">
        <f t="shared" si="6"/>
        <v>0.65</v>
      </c>
      <c r="J332" s="94"/>
      <c r="K332" s="94"/>
      <c r="L332" s="94"/>
      <c r="M332" s="94"/>
      <c r="N332" s="94"/>
      <c r="O332" s="93"/>
    </row>
    <row r="333" spans="1:15" x14ac:dyDescent="0.25">
      <c r="A333" s="1541">
        <v>70</v>
      </c>
      <c r="B333" s="1541" t="s">
        <v>514</v>
      </c>
      <c r="C333" s="1541" t="s">
        <v>2616</v>
      </c>
      <c r="D333" s="1542">
        <v>0.04</v>
      </c>
      <c r="E333" s="1541" t="s">
        <v>512</v>
      </c>
      <c r="F333" s="1541">
        <v>1.2</v>
      </c>
      <c r="G333" s="1541" t="s">
        <v>2557</v>
      </c>
      <c r="H333" s="1541">
        <v>3</v>
      </c>
      <c r="I333" s="1511">
        <f t="shared" si="6"/>
        <v>0.14400000000000002</v>
      </c>
      <c r="J333" s="94"/>
      <c r="K333" s="94"/>
      <c r="L333" s="94"/>
      <c r="M333" s="94"/>
      <c r="N333" s="94"/>
      <c r="O333" s="93"/>
    </row>
    <row r="334" spans="1:15" x14ac:dyDescent="0.25">
      <c r="A334" s="98"/>
      <c r="B334" s="95"/>
      <c r="C334" s="95"/>
      <c r="D334" s="95"/>
      <c r="E334" s="95"/>
      <c r="F334" s="95"/>
      <c r="G334" s="95"/>
      <c r="H334" s="1448" t="s">
        <v>58</v>
      </c>
      <c r="I334" s="1447">
        <f>SUM(I327:I333)</f>
        <v>5.4580000000000002</v>
      </c>
      <c r="J334" s="95"/>
      <c r="K334" s="95"/>
      <c r="L334" s="95"/>
      <c r="M334" s="95"/>
      <c r="N334" s="95"/>
      <c r="O334" s="93"/>
    </row>
    <row r="335" spans="1:15" ht="15.75" thickBot="1" x14ac:dyDescent="0.3">
      <c r="A335" s="92"/>
      <c r="B335" s="91"/>
      <c r="C335" s="91"/>
      <c r="D335" s="91"/>
      <c r="E335" s="91"/>
      <c r="F335" s="91"/>
      <c r="G335" s="91"/>
      <c r="H335" s="91"/>
      <c r="I335" s="91"/>
      <c r="J335" s="91"/>
      <c r="K335" s="91"/>
      <c r="L335" s="91"/>
      <c r="M335" s="91"/>
      <c r="N335" s="91"/>
      <c r="O335" s="90"/>
    </row>
    <row r="336" spans="1:15" ht="15.75" thickBot="1" x14ac:dyDescent="0.3"/>
    <row r="337" spans="1:15" x14ac:dyDescent="0.25">
      <c r="A337" s="141"/>
      <c r="B337" s="140"/>
      <c r="C337" s="140"/>
      <c r="D337" s="140"/>
      <c r="E337" s="140"/>
      <c r="F337" s="140"/>
      <c r="G337" s="140"/>
      <c r="H337" s="140"/>
      <c r="I337" s="140"/>
      <c r="J337" s="272"/>
      <c r="K337" s="140"/>
      <c r="L337" s="140"/>
      <c r="M337" s="140"/>
      <c r="N337" s="140"/>
      <c r="O337" s="139"/>
    </row>
    <row r="338" spans="1:15" x14ac:dyDescent="0.25">
      <c r="A338" s="1454" t="s">
        <v>57</v>
      </c>
      <c r="B338" s="133" t="s">
        <v>523</v>
      </c>
      <c r="C338" s="94"/>
      <c r="D338" s="94"/>
      <c r="E338" s="94"/>
      <c r="F338" s="94"/>
      <c r="G338" s="94"/>
      <c r="H338" s="94"/>
      <c r="I338" s="94"/>
      <c r="J338" s="1456" t="s">
        <v>51</v>
      </c>
      <c r="K338" s="138">
        <v>81</v>
      </c>
      <c r="L338" s="94"/>
      <c r="M338" s="1454" t="s">
        <v>113</v>
      </c>
      <c r="N338" s="100">
        <f>SU_02008_m+SU_02008_p</f>
        <v>5.8754950000000008</v>
      </c>
      <c r="O338" s="93"/>
    </row>
    <row r="339" spans="1:15" x14ac:dyDescent="0.25">
      <c r="A339" s="1454" t="s">
        <v>125</v>
      </c>
      <c r="B339" s="133" t="s">
        <v>5</v>
      </c>
      <c r="C339" s="94"/>
      <c r="D339" s="1454" t="s">
        <v>122</v>
      </c>
      <c r="E339" s="270" t="s">
        <v>2525</v>
      </c>
      <c r="F339" s="94"/>
      <c r="G339" s="94"/>
      <c r="H339" s="94"/>
      <c r="I339" s="94"/>
      <c r="J339" s="94"/>
      <c r="K339" s="94"/>
      <c r="L339" s="94"/>
      <c r="M339" s="1454" t="s">
        <v>124</v>
      </c>
      <c r="N339" s="136">
        <v>1</v>
      </c>
      <c r="O339" s="93"/>
    </row>
    <row r="340" spans="1:15" x14ac:dyDescent="0.25">
      <c r="A340" s="1454" t="s">
        <v>123</v>
      </c>
      <c r="B340" s="270" t="s">
        <v>2480</v>
      </c>
      <c r="C340" s="94"/>
      <c r="D340" s="1454" t="s">
        <v>119</v>
      </c>
      <c r="E340" s="94"/>
      <c r="F340" s="94"/>
      <c r="G340" s="94"/>
      <c r="H340" s="94"/>
      <c r="I340" s="94"/>
      <c r="J340" s="1455" t="s">
        <v>122</v>
      </c>
      <c r="K340" s="94"/>
      <c r="L340" s="94"/>
      <c r="M340" s="94"/>
      <c r="N340" s="94"/>
      <c r="O340" s="93"/>
    </row>
    <row r="341" spans="1:15" x14ac:dyDescent="0.25">
      <c r="A341" s="1454" t="s">
        <v>114</v>
      </c>
      <c r="B341" s="135" t="s">
        <v>2474</v>
      </c>
      <c r="C341" s="94"/>
      <c r="D341" s="1454" t="s">
        <v>116</v>
      </c>
      <c r="E341" s="94"/>
      <c r="F341" s="94"/>
      <c r="G341" s="94"/>
      <c r="H341" s="94"/>
      <c r="I341" s="94"/>
      <c r="J341" s="1455" t="s">
        <v>119</v>
      </c>
      <c r="K341" s="94"/>
      <c r="L341" s="94"/>
      <c r="M341" s="1454" t="s">
        <v>118</v>
      </c>
      <c r="N341" s="100">
        <f>N339*N338</f>
        <v>5.8754950000000008</v>
      </c>
      <c r="O341" s="93"/>
    </row>
    <row r="342" spans="1:15" x14ac:dyDescent="0.25">
      <c r="A342" s="1454" t="s">
        <v>121</v>
      </c>
      <c r="B342" s="269" t="s">
        <v>2659</v>
      </c>
      <c r="C342" s="94"/>
      <c r="D342" s="94"/>
      <c r="E342" s="94"/>
      <c r="F342" s="94"/>
      <c r="G342" s="94"/>
      <c r="H342" s="94"/>
      <c r="I342" s="94"/>
      <c r="J342" s="1455" t="s">
        <v>116</v>
      </c>
      <c r="K342" s="94"/>
      <c r="L342" s="94"/>
      <c r="M342" s="94"/>
      <c r="N342" s="94"/>
      <c r="O342" s="93"/>
    </row>
    <row r="343" spans="1:15" x14ac:dyDescent="0.25">
      <c r="A343" s="1454" t="s">
        <v>117</v>
      </c>
      <c r="B343" s="133" t="s">
        <v>23</v>
      </c>
      <c r="C343" s="94"/>
      <c r="D343" s="94"/>
      <c r="E343" s="94"/>
      <c r="F343" s="94"/>
      <c r="G343" s="94"/>
      <c r="H343" s="94"/>
      <c r="I343" s="94"/>
      <c r="J343" s="94"/>
      <c r="K343" s="94"/>
      <c r="L343" s="94"/>
      <c r="M343" s="94"/>
      <c r="N343" s="94"/>
      <c r="O343" s="93"/>
    </row>
    <row r="344" spans="1:15" x14ac:dyDescent="0.25">
      <c r="A344" s="1454" t="s">
        <v>115</v>
      </c>
      <c r="B344" s="194" t="s">
        <v>2590</v>
      </c>
      <c r="C344" s="94"/>
      <c r="D344" s="94"/>
      <c r="E344" s="94"/>
      <c r="F344" s="94"/>
      <c r="G344" s="94"/>
      <c r="H344" s="94"/>
      <c r="I344" s="94"/>
      <c r="J344" s="94"/>
      <c r="K344" s="94"/>
      <c r="L344" s="94"/>
      <c r="M344" s="94"/>
      <c r="N344" s="94"/>
      <c r="O344" s="93"/>
    </row>
    <row r="345" spans="1:15" x14ac:dyDescent="0.25">
      <c r="A345" s="266"/>
      <c r="B345" s="265"/>
      <c r="C345" s="265"/>
      <c r="D345" s="265"/>
      <c r="E345" s="265"/>
      <c r="F345" s="94"/>
      <c r="G345" s="94"/>
      <c r="H345" s="94"/>
      <c r="I345" s="94"/>
      <c r="J345" s="94"/>
      <c r="K345" s="94"/>
      <c r="L345" s="94"/>
      <c r="M345" s="94"/>
      <c r="N345" s="94"/>
      <c r="O345" s="93"/>
    </row>
    <row r="346" spans="1:15" x14ac:dyDescent="0.25">
      <c r="A346" s="1453" t="s">
        <v>67</v>
      </c>
      <c r="B346" s="1452" t="s">
        <v>112</v>
      </c>
      <c r="C346" s="1452" t="s">
        <v>66</v>
      </c>
      <c r="D346" s="1452" t="s">
        <v>65</v>
      </c>
      <c r="E346" s="1452" t="s">
        <v>81</v>
      </c>
      <c r="F346" s="1465" t="s">
        <v>80</v>
      </c>
      <c r="G346" s="1465" t="s">
        <v>79</v>
      </c>
      <c r="H346" s="1465" t="s">
        <v>78</v>
      </c>
      <c r="I346" s="1465" t="s">
        <v>111</v>
      </c>
      <c r="J346" s="1465" t="s">
        <v>110</v>
      </c>
      <c r="K346" s="1465" t="s">
        <v>109</v>
      </c>
      <c r="L346" s="1465" t="s">
        <v>108</v>
      </c>
      <c r="M346" s="1465" t="s">
        <v>40</v>
      </c>
      <c r="N346" s="1465" t="s">
        <v>58</v>
      </c>
      <c r="O346" s="93"/>
    </row>
    <row r="347" spans="1:15" ht="30" x14ac:dyDescent="0.25">
      <c r="A347" s="1458">
        <v>10</v>
      </c>
      <c r="B347" s="1475" t="s">
        <v>519</v>
      </c>
      <c r="C347" s="1508" t="s">
        <v>2561</v>
      </c>
      <c r="D347" s="1507">
        <v>2.25</v>
      </c>
      <c r="E347" s="1458">
        <v>25</v>
      </c>
      <c r="F347" s="1458" t="s">
        <v>68</v>
      </c>
      <c r="G347" s="1458">
        <v>20</v>
      </c>
      <c r="H347" s="1470" t="s">
        <v>68</v>
      </c>
      <c r="I347" s="1473" t="s">
        <v>2658</v>
      </c>
      <c r="J347" s="1472">
        <f>0.025*0.02</f>
        <v>5.0000000000000001E-4</v>
      </c>
      <c r="K347" s="1471">
        <v>5.3999999999999999E-2</v>
      </c>
      <c r="L347" s="1470">
        <v>7860</v>
      </c>
      <c r="M347" s="1469">
        <v>1</v>
      </c>
      <c r="N347" s="1505">
        <f>IF(J347="",D347*M347,D347*J347*K347*L347*M347)</f>
        <v>0.47749500000000006</v>
      </c>
      <c r="O347" s="143"/>
    </row>
    <row r="348" spans="1:15" x14ac:dyDescent="0.25">
      <c r="A348" s="98"/>
      <c r="B348" s="95"/>
      <c r="C348" s="95"/>
      <c r="D348" s="95"/>
      <c r="E348" s="95"/>
      <c r="F348" s="95"/>
      <c r="G348" s="95"/>
      <c r="H348" s="95"/>
      <c r="I348" s="95"/>
      <c r="J348" s="95"/>
      <c r="K348" s="95"/>
      <c r="L348" s="95"/>
      <c r="M348" s="1467" t="s">
        <v>58</v>
      </c>
      <c r="N348" s="1447">
        <f>SUM(N347:N347)</f>
        <v>0.47749500000000006</v>
      </c>
      <c r="O348" s="93"/>
    </row>
    <row r="349" spans="1:15" x14ac:dyDescent="0.25">
      <c r="A349" s="107"/>
      <c r="B349" s="94"/>
      <c r="C349" s="94"/>
      <c r="D349" s="94"/>
      <c r="E349" s="94"/>
      <c r="F349" s="94"/>
      <c r="G349" s="94"/>
      <c r="H349" s="94"/>
      <c r="I349" s="94"/>
      <c r="J349" s="94"/>
      <c r="K349" s="94"/>
      <c r="L349" s="94"/>
      <c r="M349" s="94"/>
      <c r="N349" s="94"/>
      <c r="O349" s="93"/>
    </row>
    <row r="350" spans="1:15" x14ac:dyDescent="0.25">
      <c r="A350" s="1466" t="s">
        <v>67</v>
      </c>
      <c r="B350" s="1465" t="s">
        <v>106</v>
      </c>
      <c r="C350" s="1465" t="s">
        <v>66</v>
      </c>
      <c r="D350" s="1465" t="s">
        <v>65</v>
      </c>
      <c r="E350" s="1465" t="s">
        <v>64</v>
      </c>
      <c r="F350" s="1465" t="s">
        <v>40</v>
      </c>
      <c r="G350" s="1465" t="s">
        <v>105</v>
      </c>
      <c r="H350" s="1465" t="s">
        <v>104</v>
      </c>
      <c r="I350" s="1465" t="s">
        <v>58</v>
      </c>
      <c r="J350" s="95"/>
      <c r="K350" s="95"/>
      <c r="L350" s="95"/>
      <c r="M350" s="95"/>
      <c r="N350" s="95"/>
      <c r="O350" s="93"/>
    </row>
    <row r="351" spans="1:15" ht="30" x14ac:dyDescent="0.25">
      <c r="A351" s="1544">
        <v>10</v>
      </c>
      <c r="B351" s="1461" t="s">
        <v>516</v>
      </c>
      <c r="C351" s="1547" t="s">
        <v>528</v>
      </c>
      <c r="D351" s="1507">
        <v>1.3</v>
      </c>
      <c r="E351" s="1461" t="s">
        <v>64</v>
      </c>
      <c r="F351" s="1545">
        <v>1</v>
      </c>
      <c r="G351" s="1545"/>
      <c r="H351" s="1545"/>
      <c r="I351" s="1511">
        <f t="shared" ref="I351:I357" si="7">IF(H351="",D351*F351,D351*F351*H351)</f>
        <v>1.3</v>
      </c>
      <c r="J351" s="95"/>
      <c r="K351" s="95"/>
      <c r="L351" s="95"/>
      <c r="M351" s="95"/>
      <c r="N351" s="95"/>
      <c r="O351" s="93"/>
    </row>
    <row r="352" spans="1:15" x14ac:dyDescent="0.25">
      <c r="A352" s="1541">
        <v>20</v>
      </c>
      <c r="B352" s="1541" t="s">
        <v>514</v>
      </c>
      <c r="C352" s="1541" t="s">
        <v>1263</v>
      </c>
      <c r="D352" s="1542">
        <v>0.04</v>
      </c>
      <c r="E352" s="1541" t="s">
        <v>512</v>
      </c>
      <c r="F352" s="1541">
        <v>9.1</v>
      </c>
      <c r="G352" s="1541" t="s">
        <v>2557</v>
      </c>
      <c r="H352" s="1541">
        <v>3</v>
      </c>
      <c r="I352" s="1511">
        <f t="shared" si="7"/>
        <v>1.0920000000000001</v>
      </c>
      <c r="J352" s="142"/>
      <c r="K352" s="142"/>
      <c r="L352" s="142"/>
      <c r="M352" s="142"/>
      <c r="N352" s="142"/>
      <c r="O352" s="120"/>
    </row>
    <row r="353" spans="1:15" x14ac:dyDescent="0.25">
      <c r="A353" s="1543">
        <v>30</v>
      </c>
      <c r="B353" s="1545" t="s">
        <v>2177</v>
      </c>
      <c r="C353" s="1545" t="s">
        <v>1252</v>
      </c>
      <c r="D353" s="1561">
        <v>0.35</v>
      </c>
      <c r="E353" s="1545" t="s">
        <v>294</v>
      </c>
      <c r="F353" s="1545">
        <v>1</v>
      </c>
      <c r="G353" s="1545"/>
      <c r="H353" s="1545"/>
      <c r="I353" s="1511">
        <f t="shared" si="7"/>
        <v>0.35</v>
      </c>
      <c r="J353" s="94"/>
      <c r="K353" s="94"/>
      <c r="L353" s="94"/>
      <c r="M353" s="94"/>
      <c r="N353" s="94"/>
      <c r="O353" s="93"/>
    </row>
    <row r="354" spans="1:15" x14ac:dyDescent="0.25">
      <c r="A354" s="1541">
        <v>40</v>
      </c>
      <c r="B354" s="1541" t="s">
        <v>2536</v>
      </c>
      <c r="C354" s="1541"/>
      <c r="D354" s="1542">
        <v>0.65</v>
      </c>
      <c r="E354" s="1541" t="s">
        <v>64</v>
      </c>
      <c r="F354" s="1541">
        <v>1</v>
      </c>
      <c r="G354" s="1541"/>
      <c r="H354" s="1541"/>
      <c r="I354" s="1511">
        <f t="shared" si="7"/>
        <v>0.65</v>
      </c>
      <c r="J354" s="99"/>
      <c r="K354" s="99"/>
      <c r="L354" s="99"/>
      <c r="M354" s="99"/>
      <c r="N354" s="99"/>
      <c r="O354" s="130"/>
    </row>
    <row r="355" spans="1:15" x14ac:dyDescent="0.25">
      <c r="A355" s="1541">
        <v>50</v>
      </c>
      <c r="B355" s="1541" t="s">
        <v>514</v>
      </c>
      <c r="C355" s="1541" t="s">
        <v>2559</v>
      </c>
      <c r="D355" s="1542">
        <v>0.04</v>
      </c>
      <c r="E355" s="1541" t="s">
        <v>512</v>
      </c>
      <c r="F355" s="1541">
        <v>9.8000000000000007</v>
      </c>
      <c r="G355" s="1541" t="s">
        <v>2557</v>
      </c>
      <c r="H355" s="1541">
        <v>3</v>
      </c>
      <c r="I355" s="1511">
        <f t="shared" si="7"/>
        <v>1.1760000000000002</v>
      </c>
      <c r="J355" s="94"/>
      <c r="K355" s="94"/>
      <c r="L355" s="94"/>
      <c r="M355" s="94"/>
      <c r="N355" s="94"/>
      <c r="O355" s="93"/>
    </row>
    <row r="356" spans="1:15" x14ac:dyDescent="0.25">
      <c r="A356" s="1541">
        <v>60</v>
      </c>
      <c r="B356" s="1541" t="s">
        <v>2536</v>
      </c>
      <c r="C356" s="1541"/>
      <c r="D356" s="1542">
        <v>0.65</v>
      </c>
      <c r="E356" s="1541" t="s">
        <v>64</v>
      </c>
      <c r="F356" s="1541">
        <v>1</v>
      </c>
      <c r="G356" s="1541"/>
      <c r="H356" s="1541"/>
      <c r="I356" s="1511">
        <f t="shared" si="7"/>
        <v>0.65</v>
      </c>
      <c r="J356" s="94"/>
      <c r="K356" s="94"/>
      <c r="L356" s="94"/>
      <c r="M356" s="94"/>
      <c r="N356" s="94"/>
      <c r="O356" s="93"/>
    </row>
    <row r="357" spans="1:15" x14ac:dyDescent="0.25">
      <c r="A357" s="1541">
        <v>70</v>
      </c>
      <c r="B357" s="1541" t="s">
        <v>514</v>
      </c>
      <c r="C357" s="1541" t="s">
        <v>2558</v>
      </c>
      <c r="D357" s="1542">
        <v>0.04</v>
      </c>
      <c r="E357" s="1541" t="s">
        <v>512</v>
      </c>
      <c r="F357" s="1541">
        <v>1.5</v>
      </c>
      <c r="G357" s="1541" t="s">
        <v>2557</v>
      </c>
      <c r="H357" s="1541">
        <v>3</v>
      </c>
      <c r="I357" s="1511">
        <f t="shared" si="7"/>
        <v>0.18</v>
      </c>
      <c r="J357" s="94"/>
      <c r="K357" s="94"/>
      <c r="L357" s="94"/>
      <c r="M357" s="94"/>
      <c r="N357" s="94"/>
      <c r="O357" s="93"/>
    </row>
    <row r="358" spans="1:15" x14ac:dyDescent="0.25">
      <c r="A358" s="98"/>
      <c r="B358" s="95"/>
      <c r="C358" s="95"/>
      <c r="D358" s="95"/>
      <c r="E358" s="95"/>
      <c r="F358" s="95"/>
      <c r="G358" s="95"/>
      <c r="H358" s="1448" t="s">
        <v>58</v>
      </c>
      <c r="I358" s="1447">
        <f>SUM(I351:I357)</f>
        <v>5.3980000000000006</v>
      </c>
      <c r="J358" s="95"/>
      <c r="K358" s="95"/>
      <c r="L358" s="95"/>
      <c r="M358" s="95"/>
      <c r="N358" s="95"/>
      <c r="O358" s="93"/>
    </row>
    <row r="359" spans="1:15" x14ac:dyDescent="0.25">
      <c r="A359" s="107"/>
      <c r="B359" s="94"/>
      <c r="C359" s="94"/>
      <c r="D359" s="94"/>
      <c r="E359" s="94"/>
      <c r="F359" s="94"/>
      <c r="G359" s="94"/>
      <c r="H359" s="94"/>
      <c r="I359" s="99"/>
      <c r="J359" s="94"/>
      <c r="K359" s="94"/>
      <c r="L359" s="94"/>
      <c r="M359" s="94"/>
      <c r="N359" s="94"/>
      <c r="O359" s="93"/>
    </row>
    <row r="360" spans="1:15" ht="15.75" thickBot="1" x14ac:dyDescent="0.3">
      <c r="A360" s="92"/>
      <c r="B360" s="91"/>
      <c r="C360" s="91"/>
      <c r="D360" s="91"/>
      <c r="E360" s="91"/>
      <c r="F360" s="91"/>
      <c r="G360" s="91"/>
      <c r="H360" s="91"/>
      <c r="I360" s="91"/>
      <c r="J360" s="91"/>
      <c r="K360" s="91"/>
      <c r="L360" s="91"/>
      <c r="M360" s="91"/>
      <c r="N360" s="91"/>
      <c r="O360" s="90"/>
    </row>
    <row r="361" spans="1:15" ht="15.75" thickBot="1" x14ac:dyDescent="0.3">
      <c r="A361" s="107"/>
      <c r="B361" s="94"/>
      <c r="C361" s="94"/>
      <c r="D361" s="94"/>
      <c r="E361" s="94"/>
      <c r="F361" s="94"/>
      <c r="G361" s="94"/>
      <c r="H361" s="94"/>
      <c r="I361" s="94"/>
      <c r="J361" s="94"/>
      <c r="K361" s="94"/>
      <c r="L361" s="94"/>
      <c r="M361" s="94"/>
      <c r="N361" s="94"/>
      <c r="O361" s="94"/>
    </row>
    <row r="362" spans="1:15" x14ac:dyDescent="0.25">
      <c r="A362" s="141"/>
      <c r="B362" s="140"/>
      <c r="C362" s="140"/>
      <c r="D362" s="140"/>
      <c r="E362" s="140"/>
      <c r="F362" s="140"/>
      <c r="G362" s="140"/>
      <c r="H362" s="140"/>
      <c r="I362" s="140"/>
      <c r="J362" s="140"/>
      <c r="K362" s="140"/>
      <c r="L362" s="140"/>
      <c r="M362" s="140"/>
      <c r="N362" s="140"/>
      <c r="O362" s="139"/>
    </row>
    <row r="363" spans="1:15" x14ac:dyDescent="0.25">
      <c r="A363" s="1454" t="s">
        <v>57</v>
      </c>
      <c r="B363" s="133" t="s">
        <v>523</v>
      </c>
      <c r="C363" s="94"/>
      <c r="D363" s="94"/>
      <c r="E363" s="94"/>
      <c r="F363" s="94"/>
      <c r="G363" s="94"/>
      <c r="H363" s="94"/>
      <c r="I363" s="94"/>
      <c r="J363" s="1456" t="s">
        <v>51</v>
      </c>
      <c r="K363" s="138">
        <v>81</v>
      </c>
      <c r="L363" s="94"/>
      <c r="M363" s="1454" t="s">
        <v>113</v>
      </c>
      <c r="N363" s="100">
        <f>SU_03001_m+SU_03001_p</f>
        <v>3.7758890374999998</v>
      </c>
      <c r="O363" s="93"/>
    </row>
    <row r="364" spans="1:15" x14ac:dyDescent="0.25">
      <c r="A364" s="1454" t="s">
        <v>125</v>
      </c>
      <c r="B364" s="133" t="s">
        <v>5</v>
      </c>
      <c r="C364" s="94"/>
      <c r="D364" s="1454" t="s">
        <v>122</v>
      </c>
      <c r="E364" s="547" t="s">
        <v>522</v>
      </c>
      <c r="F364" s="94"/>
      <c r="G364" s="94"/>
      <c r="H364" s="94"/>
      <c r="I364" s="94"/>
      <c r="J364" s="94"/>
      <c r="K364" s="94"/>
      <c r="L364" s="94"/>
      <c r="M364" s="1454" t="s">
        <v>124</v>
      </c>
      <c r="N364" s="136">
        <v>2</v>
      </c>
      <c r="O364" s="93"/>
    </row>
    <row r="365" spans="1:15" x14ac:dyDescent="0.25">
      <c r="A365" s="1454" t="s">
        <v>123</v>
      </c>
      <c r="B365" s="270" t="s">
        <v>2473</v>
      </c>
      <c r="C365" s="94"/>
      <c r="D365" s="1454" t="s">
        <v>119</v>
      </c>
      <c r="E365" s="94"/>
      <c r="F365" s="94"/>
      <c r="G365" s="94"/>
      <c r="H365" s="94"/>
      <c r="I365" s="94"/>
      <c r="J365" s="1455" t="s">
        <v>122</v>
      </c>
      <c r="K365" s="94"/>
      <c r="L365" s="94"/>
      <c r="M365" s="94"/>
      <c r="N365" s="94"/>
      <c r="O365" s="93"/>
    </row>
    <row r="366" spans="1:15" x14ac:dyDescent="0.25">
      <c r="A366" s="1454" t="s">
        <v>114</v>
      </c>
      <c r="B366" s="135" t="s">
        <v>2464</v>
      </c>
      <c r="C366" s="94"/>
      <c r="D366" s="1454" t="s">
        <v>116</v>
      </c>
      <c r="E366" s="94"/>
      <c r="F366" s="94"/>
      <c r="G366" s="94"/>
      <c r="H366" s="94"/>
      <c r="I366" s="94"/>
      <c r="J366" s="1455" t="s">
        <v>119</v>
      </c>
      <c r="K366" s="94"/>
      <c r="L366" s="94"/>
      <c r="M366" s="1454" t="s">
        <v>118</v>
      </c>
      <c r="N366" s="100">
        <f>N364*N363</f>
        <v>7.5517780749999996</v>
      </c>
      <c r="O366" s="93"/>
    </row>
    <row r="367" spans="1:15" x14ac:dyDescent="0.25">
      <c r="A367" s="1454" t="s">
        <v>121</v>
      </c>
      <c r="B367" s="269" t="s">
        <v>2657</v>
      </c>
      <c r="C367" s="94"/>
      <c r="D367" s="94"/>
      <c r="E367" s="94"/>
      <c r="F367" s="94"/>
      <c r="G367" s="94"/>
      <c r="H367" s="94"/>
      <c r="I367" s="94"/>
      <c r="J367" s="1455" t="s">
        <v>116</v>
      </c>
      <c r="K367" s="94"/>
      <c r="L367" s="94"/>
      <c r="M367" s="94"/>
      <c r="N367" s="94"/>
      <c r="O367" s="93"/>
    </row>
    <row r="368" spans="1:15" x14ac:dyDescent="0.25">
      <c r="A368" s="1454" t="s">
        <v>117</v>
      </c>
      <c r="B368" s="133" t="s">
        <v>23</v>
      </c>
      <c r="C368" s="94"/>
      <c r="D368" s="94"/>
      <c r="E368" s="94"/>
      <c r="F368" s="94"/>
      <c r="G368" s="94"/>
      <c r="H368" s="94"/>
      <c r="I368" s="94"/>
      <c r="J368" s="94"/>
      <c r="K368" s="94"/>
      <c r="L368" s="94"/>
      <c r="M368" s="94"/>
      <c r="N368" s="94"/>
      <c r="O368" s="93"/>
    </row>
    <row r="369" spans="1:16" x14ac:dyDescent="0.25">
      <c r="A369" s="1454" t="s">
        <v>115</v>
      </c>
      <c r="B369" s="133"/>
      <c r="C369" s="94"/>
      <c r="D369" s="94"/>
      <c r="E369" s="94"/>
      <c r="F369" s="94"/>
      <c r="G369" s="94"/>
      <c r="H369" s="94"/>
      <c r="I369" s="94"/>
      <c r="J369" s="94"/>
      <c r="K369" s="94"/>
      <c r="L369" s="94"/>
      <c r="M369" s="94"/>
      <c r="N369" s="94"/>
      <c r="O369" s="93"/>
    </row>
    <row r="370" spans="1:16" x14ac:dyDescent="0.25">
      <c r="A370" s="266"/>
      <c r="B370" s="265"/>
      <c r="C370" s="265"/>
      <c r="D370" s="265"/>
      <c r="E370" s="265"/>
      <c r="F370" s="94"/>
      <c r="G370" s="94"/>
      <c r="H370" s="94"/>
      <c r="I370" s="94"/>
      <c r="J370" s="94"/>
      <c r="K370" s="94"/>
      <c r="L370" s="94"/>
      <c r="M370" s="94"/>
      <c r="N370" s="94"/>
      <c r="O370" s="93"/>
    </row>
    <row r="371" spans="1:16" x14ac:dyDescent="0.25">
      <c r="A371" s="1453" t="s">
        <v>67</v>
      </c>
      <c r="B371" s="1452" t="s">
        <v>112</v>
      </c>
      <c r="C371" s="1452" t="s">
        <v>66</v>
      </c>
      <c r="D371" s="1452" t="s">
        <v>65</v>
      </c>
      <c r="E371" s="1452" t="s">
        <v>81</v>
      </c>
      <c r="F371" s="1465" t="s">
        <v>80</v>
      </c>
      <c r="G371" s="1465" t="s">
        <v>79</v>
      </c>
      <c r="H371" s="1465" t="s">
        <v>78</v>
      </c>
      <c r="I371" s="1465" t="s">
        <v>111</v>
      </c>
      <c r="J371" s="1465" t="s">
        <v>110</v>
      </c>
      <c r="K371" s="1465" t="s">
        <v>109</v>
      </c>
      <c r="L371" s="1465" t="s">
        <v>108</v>
      </c>
      <c r="M371" s="1465" t="s">
        <v>40</v>
      </c>
      <c r="N371" s="1465" t="s">
        <v>58</v>
      </c>
      <c r="O371" s="93"/>
    </row>
    <row r="372" spans="1:16" ht="30" x14ac:dyDescent="0.25">
      <c r="A372" s="1557">
        <v>10</v>
      </c>
      <c r="B372" s="1560" t="s">
        <v>1134</v>
      </c>
      <c r="C372" s="1557" t="s">
        <v>2638</v>
      </c>
      <c r="D372" s="1533">
        <v>4.2</v>
      </c>
      <c r="E372" s="1564">
        <v>26</v>
      </c>
      <c r="F372" s="1557" t="s">
        <v>68</v>
      </c>
      <c r="G372" s="1557"/>
      <c r="H372" s="1531"/>
      <c r="I372" s="1473" t="s">
        <v>2580</v>
      </c>
      <c r="J372" s="1563">
        <f>0.0125^2*3.14</f>
        <v>4.9062500000000007E-4</v>
      </c>
      <c r="K372" s="1528">
        <v>5.8000000000000003E-2</v>
      </c>
      <c r="L372" s="1559">
        <v>2710</v>
      </c>
      <c r="M372" s="1558">
        <v>1</v>
      </c>
      <c r="N372" s="1511">
        <f>IF(J372="",D372*M372,D372*J372*K372*L372*M372)</f>
        <v>0.32388903750000009</v>
      </c>
      <c r="O372" s="143"/>
    </row>
    <row r="373" spans="1:16" x14ac:dyDescent="0.25">
      <c r="A373" s="98"/>
      <c r="B373" s="95"/>
      <c r="C373" s="95"/>
      <c r="D373" s="95"/>
      <c r="E373" s="95"/>
      <c r="F373" s="95"/>
      <c r="G373" s="95"/>
      <c r="H373" s="95"/>
      <c r="I373" s="95"/>
      <c r="J373" s="95"/>
      <c r="K373" s="95"/>
      <c r="L373" s="95"/>
      <c r="M373" s="1467" t="s">
        <v>58</v>
      </c>
      <c r="N373" s="1447">
        <f>SUM(N372:N372)</f>
        <v>0.32388903750000009</v>
      </c>
      <c r="O373" s="93"/>
    </row>
    <row r="374" spans="1:16" x14ac:dyDescent="0.25">
      <c r="A374" s="107"/>
      <c r="B374" s="94"/>
      <c r="C374" s="94"/>
      <c r="D374" s="94"/>
      <c r="E374" s="94"/>
      <c r="F374" s="94"/>
      <c r="G374" s="94"/>
      <c r="H374" s="94"/>
      <c r="I374" s="94"/>
      <c r="J374" s="94"/>
      <c r="K374" s="94"/>
      <c r="L374" s="94"/>
      <c r="M374" s="94"/>
      <c r="N374" s="94"/>
      <c r="O374" s="93"/>
    </row>
    <row r="375" spans="1:16" x14ac:dyDescent="0.25">
      <c r="A375" s="1466" t="s">
        <v>67</v>
      </c>
      <c r="B375" s="1465" t="s">
        <v>106</v>
      </c>
      <c r="C375" s="1465" t="s">
        <v>66</v>
      </c>
      <c r="D375" s="1465" t="s">
        <v>65</v>
      </c>
      <c r="E375" s="1465" t="s">
        <v>64</v>
      </c>
      <c r="F375" s="1465" t="s">
        <v>40</v>
      </c>
      <c r="G375" s="1465" t="s">
        <v>105</v>
      </c>
      <c r="H375" s="1465" t="s">
        <v>104</v>
      </c>
      <c r="I375" s="1465" t="s">
        <v>58</v>
      </c>
      <c r="J375" s="95"/>
      <c r="K375" s="95"/>
      <c r="L375" s="95"/>
      <c r="M375" s="95"/>
      <c r="N375" s="95"/>
      <c r="O375" s="93"/>
    </row>
    <row r="376" spans="1:16" ht="30" x14ac:dyDescent="0.25">
      <c r="A376" s="1546">
        <v>10</v>
      </c>
      <c r="B376" s="1461" t="s">
        <v>516</v>
      </c>
      <c r="C376" s="1547"/>
      <c r="D376" s="1567">
        <v>1.3</v>
      </c>
      <c r="E376" s="1461" t="s">
        <v>64</v>
      </c>
      <c r="F376" s="1547">
        <v>1</v>
      </c>
      <c r="G376" s="1547"/>
      <c r="H376" s="1547"/>
      <c r="I376" s="1566">
        <f t="shared" ref="I376:I381" si="8">IF(H376="",D376*F376,D376*F376*H376)</f>
        <v>1.3</v>
      </c>
      <c r="J376" s="142"/>
      <c r="K376" s="142"/>
      <c r="L376" s="142"/>
      <c r="M376" s="142"/>
      <c r="N376" s="142"/>
      <c r="O376" s="120"/>
    </row>
    <row r="377" spans="1:16" ht="30" x14ac:dyDescent="0.25">
      <c r="A377" s="1458">
        <v>20</v>
      </c>
      <c r="B377" s="1461" t="s">
        <v>514</v>
      </c>
      <c r="C377" s="1460" t="s">
        <v>2643</v>
      </c>
      <c r="D377" s="1507">
        <v>0.04</v>
      </c>
      <c r="E377" s="1458" t="s">
        <v>512</v>
      </c>
      <c r="F377" s="1474">
        <v>17</v>
      </c>
      <c r="G377" s="1461" t="s">
        <v>629</v>
      </c>
      <c r="H377" s="1545">
        <v>1</v>
      </c>
      <c r="I377" s="1511">
        <f t="shared" si="8"/>
        <v>0.68</v>
      </c>
      <c r="J377" s="94"/>
      <c r="K377" s="94"/>
      <c r="L377" s="94"/>
      <c r="M377" s="94"/>
      <c r="N377" s="94"/>
      <c r="O377" s="93"/>
    </row>
    <row r="378" spans="1:16" x14ac:dyDescent="0.25">
      <c r="A378" s="1546">
        <v>30</v>
      </c>
      <c r="B378" s="1461" t="s">
        <v>822</v>
      </c>
      <c r="C378" s="1547"/>
      <c r="D378" s="1567">
        <v>0.65</v>
      </c>
      <c r="E378" s="1461" t="s">
        <v>64</v>
      </c>
      <c r="F378" s="1547">
        <v>1</v>
      </c>
      <c r="G378" s="1547"/>
      <c r="H378" s="1547"/>
      <c r="I378" s="1566">
        <f t="shared" si="8"/>
        <v>0.65</v>
      </c>
      <c r="J378" s="99"/>
      <c r="K378" s="99"/>
      <c r="L378" s="99"/>
      <c r="M378" s="99"/>
      <c r="N378" s="99"/>
      <c r="O378" s="130"/>
    </row>
    <row r="379" spans="1:16" ht="30" x14ac:dyDescent="0.25">
      <c r="A379" s="1458">
        <v>40</v>
      </c>
      <c r="B379" s="1461" t="s">
        <v>514</v>
      </c>
      <c r="C379" s="1460" t="s">
        <v>2642</v>
      </c>
      <c r="D379" s="1507">
        <v>0.04</v>
      </c>
      <c r="E379" s="1458" t="s">
        <v>512</v>
      </c>
      <c r="F379" s="1474">
        <v>2</v>
      </c>
      <c r="G379" s="1461" t="s">
        <v>629</v>
      </c>
      <c r="H379" s="1545">
        <v>1</v>
      </c>
      <c r="I379" s="1511">
        <f t="shared" si="8"/>
        <v>0.08</v>
      </c>
      <c r="J379" s="94"/>
      <c r="K379" s="94"/>
      <c r="L379" s="94"/>
      <c r="M379" s="94"/>
      <c r="N379" s="94"/>
      <c r="O379" s="93"/>
    </row>
    <row r="380" spans="1:16" x14ac:dyDescent="0.25">
      <c r="A380" s="1546">
        <v>50</v>
      </c>
      <c r="B380" s="1461" t="s">
        <v>822</v>
      </c>
      <c r="C380" s="1547"/>
      <c r="D380" s="1567">
        <v>0.65</v>
      </c>
      <c r="E380" s="1461" t="s">
        <v>64</v>
      </c>
      <c r="F380" s="1547">
        <v>1</v>
      </c>
      <c r="G380" s="1547"/>
      <c r="H380" s="1547"/>
      <c r="I380" s="1566">
        <f t="shared" si="8"/>
        <v>0.65</v>
      </c>
      <c r="J380" s="94"/>
      <c r="K380" s="94"/>
      <c r="L380" s="94"/>
      <c r="M380" s="94"/>
      <c r="N380" s="94"/>
      <c r="O380" s="93"/>
    </row>
    <row r="381" spans="1:16" ht="30" x14ac:dyDescent="0.25">
      <c r="A381" s="1458">
        <v>60</v>
      </c>
      <c r="B381" s="1461" t="s">
        <v>514</v>
      </c>
      <c r="C381" s="1460" t="s">
        <v>2641</v>
      </c>
      <c r="D381" s="1507">
        <v>0.04</v>
      </c>
      <c r="E381" s="1458" t="s">
        <v>512</v>
      </c>
      <c r="F381" s="1474">
        <v>2.2999999999999998</v>
      </c>
      <c r="G381" s="1461" t="s">
        <v>629</v>
      </c>
      <c r="H381" s="1545">
        <v>1</v>
      </c>
      <c r="I381" s="1511">
        <f t="shared" si="8"/>
        <v>9.1999999999999998E-2</v>
      </c>
      <c r="J381" s="94"/>
      <c r="K381" s="94"/>
      <c r="L381" s="94"/>
      <c r="M381" s="94"/>
      <c r="N381" s="94"/>
      <c r="O381" s="93"/>
    </row>
    <row r="382" spans="1:16" x14ac:dyDescent="0.25">
      <c r="A382" s="98"/>
      <c r="B382" s="95"/>
      <c r="C382" s="95"/>
      <c r="D382" s="95"/>
      <c r="E382" s="95"/>
      <c r="F382" s="95"/>
      <c r="G382" s="95"/>
      <c r="H382" s="1448" t="s">
        <v>58</v>
      </c>
      <c r="I382" s="1447">
        <f>SUM(I376:I381)</f>
        <v>3.452</v>
      </c>
      <c r="J382" s="95"/>
      <c r="K382" s="95"/>
      <c r="L382" s="95"/>
      <c r="M382" s="95"/>
      <c r="N382" s="95"/>
      <c r="O382" s="93"/>
    </row>
    <row r="383" spans="1:16" ht="15.75" thickBot="1" x14ac:dyDescent="0.3">
      <c r="A383" s="92"/>
      <c r="B383" s="91"/>
      <c r="C383" s="91"/>
      <c r="D383" s="91"/>
      <c r="E383" s="91"/>
      <c r="F383" s="91"/>
      <c r="G383" s="91"/>
      <c r="H383" s="544"/>
      <c r="I383" s="544"/>
      <c r="J383" s="91"/>
      <c r="K383" s="91"/>
      <c r="L383" s="91"/>
      <c r="M383" s="91"/>
      <c r="N383" s="91"/>
      <c r="O383" s="90"/>
    </row>
    <row r="384" spans="1:16" ht="15.75" thickBot="1" x14ac:dyDescent="0.3">
      <c r="P384" s="94"/>
    </row>
    <row r="385" spans="1:15" x14ac:dyDescent="0.25">
      <c r="A385" s="141"/>
      <c r="B385" s="140"/>
      <c r="C385" s="140"/>
      <c r="D385" s="140"/>
      <c r="E385" s="140"/>
      <c r="F385" s="140"/>
      <c r="G385" s="140"/>
      <c r="H385" s="140"/>
      <c r="I385" s="140"/>
      <c r="J385" s="140"/>
      <c r="K385" s="140"/>
      <c r="L385" s="140"/>
      <c r="M385" s="140"/>
      <c r="N385" s="140"/>
      <c r="O385" s="139"/>
    </row>
    <row r="386" spans="1:15" x14ac:dyDescent="0.25">
      <c r="A386" s="1454" t="s">
        <v>57</v>
      </c>
      <c r="B386" s="133" t="s">
        <v>523</v>
      </c>
      <c r="C386" s="94"/>
      <c r="D386" s="94"/>
      <c r="E386" s="94"/>
      <c r="F386" s="94"/>
      <c r="G386" s="94"/>
      <c r="H386" s="94"/>
      <c r="I386" s="94"/>
      <c r="J386" s="1456" t="s">
        <v>51</v>
      </c>
      <c r="K386" s="138">
        <v>81</v>
      </c>
      <c r="L386" s="94"/>
      <c r="M386" s="1454" t="s">
        <v>113</v>
      </c>
      <c r="N386" s="100">
        <f>+SU_03002_m+SU_03002_p</f>
        <v>6.7992800000000004</v>
      </c>
      <c r="O386" s="93"/>
    </row>
    <row r="387" spans="1:15" x14ac:dyDescent="0.25">
      <c r="A387" s="1454" t="s">
        <v>125</v>
      </c>
      <c r="B387" s="133" t="s">
        <v>5</v>
      </c>
      <c r="C387" s="94"/>
      <c r="D387" s="1454" t="s">
        <v>122</v>
      </c>
      <c r="E387" s="270" t="s">
        <v>2525</v>
      </c>
      <c r="F387" s="94"/>
      <c r="G387" s="94"/>
      <c r="H387" s="94"/>
      <c r="I387" s="94"/>
      <c r="J387" s="94"/>
      <c r="K387" s="94"/>
      <c r="L387" s="94"/>
      <c r="M387" s="1454" t="s">
        <v>124</v>
      </c>
      <c r="N387" s="136">
        <v>1</v>
      </c>
      <c r="O387" s="93"/>
    </row>
    <row r="388" spans="1:15" x14ac:dyDescent="0.25">
      <c r="A388" s="1454" t="s">
        <v>123</v>
      </c>
      <c r="B388" s="270" t="s">
        <v>2473</v>
      </c>
      <c r="C388" s="94"/>
      <c r="D388" s="1454" t="s">
        <v>119</v>
      </c>
      <c r="E388" s="94"/>
      <c r="F388" s="94"/>
      <c r="G388" s="94"/>
      <c r="H388" s="94"/>
      <c r="I388" s="94"/>
      <c r="J388" s="1455" t="s">
        <v>122</v>
      </c>
      <c r="K388" s="94"/>
      <c r="L388" s="94"/>
      <c r="M388" s="94"/>
      <c r="N388" s="94"/>
      <c r="O388" s="93"/>
    </row>
    <row r="389" spans="1:15" x14ac:dyDescent="0.25">
      <c r="A389" s="1570" t="s">
        <v>114</v>
      </c>
      <c r="B389" s="1569" t="s">
        <v>2471</v>
      </c>
      <c r="C389" s="94"/>
      <c r="D389" s="1454" t="s">
        <v>116</v>
      </c>
      <c r="E389" s="94"/>
      <c r="F389" s="94"/>
      <c r="G389" s="94"/>
      <c r="H389" s="94"/>
      <c r="I389" s="94"/>
      <c r="J389" s="1455" t="s">
        <v>119</v>
      </c>
      <c r="K389" s="94"/>
      <c r="L389" s="94"/>
      <c r="M389" s="1454" t="s">
        <v>118</v>
      </c>
      <c r="N389" s="100">
        <f>N387*N386</f>
        <v>6.7992800000000004</v>
      </c>
      <c r="O389" s="93"/>
    </row>
    <row r="390" spans="1:15" x14ac:dyDescent="0.25">
      <c r="A390" s="1454" t="s">
        <v>121</v>
      </c>
      <c r="B390" s="269" t="s">
        <v>2656</v>
      </c>
      <c r="C390" s="94"/>
      <c r="D390" s="94"/>
      <c r="E390" s="94"/>
      <c r="F390" s="94"/>
      <c r="G390" s="94"/>
      <c r="H390" s="94"/>
      <c r="I390" s="94"/>
      <c r="J390" s="1455" t="s">
        <v>116</v>
      </c>
      <c r="K390" s="94"/>
      <c r="L390" s="94"/>
      <c r="M390" s="94"/>
      <c r="N390" s="94"/>
      <c r="O390" s="93"/>
    </row>
    <row r="391" spans="1:15" x14ac:dyDescent="0.25">
      <c r="A391" s="1454" t="s">
        <v>117</v>
      </c>
      <c r="B391" s="133" t="s">
        <v>23</v>
      </c>
      <c r="C391" s="94"/>
      <c r="D391" s="94"/>
      <c r="E391" s="94"/>
      <c r="F391" s="94"/>
      <c r="G391" s="94"/>
      <c r="H391" s="94"/>
      <c r="I391" s="94"/>
      <c r="J391" s="94"/>
      <c r="K391" s="94"/>
      <c r="L391" s="94"/>
      <c r="M391" s="94"/>
      <c r="N391" s="94"/>
      <c r="O391" s="93"/>
    </row>
    <row r="392" spans="1:15" x14ac:dyDescent="0.25">
      <c r="A392" s="1454" t="s">
        <v>115</v>
      </c>
      <c r="B392" s="133" t="s">
        <v>2639</v>
      </c>
      <c r="C392" s="94"/>
      <c r="D392" s="94"/>
      <c r="E392" s="94"/>
      <c r="F392" s="94"/>
      <c r="G392" s="94"/>
      <c r="H392" s="94"/>
      <c r="I392" s="94"/>
      <c r="J392" s="94"/>
      <c r="K392" s="94"/>
      <c r="L392" s="94"/>
      <c r="M392" s="94"/>
      <c r="N392" s="94"/>
      <c r="O392" s="93"/>
    </row>
    <row r="393" spans="1:15" x14ac:dyDescent="0.25">
      <c r="A393" s="266"/>
      <c r="B393" s="265"/>
      <c r="C393" s="265"/>
      <c r="D393" s="265"/>
      <c r="E393" s="265"/>
      <c r="F393" s="94"/>
      <c r="G393" s="94"/>
      <c r="H393" s="94"/>
      <c r="I393" s="94"/>
      <c r="J393" s="94"/>
      <c r="K393" s="94"/>
      <c r="L393" s="94"/>
      <c r="M393" s="94"/>
      <c r="N393" s="94"/>
      <c r="O393" s="93"/>
    </row>
    <row r="394" spans="1:15" x14ac:dyDescent="0.25">
      <c r="A394" s="1453" t="s">
        <v>67</v>
      </c>
      <c r="B394" s="1452" t="s">
        <v>112</v>
      </c>
      <c r="C394" s="1452" t="s">
        <v>66</v>
      </c>
      <c r="D394" s="1452" t="s">
        <v>65</v>
      </c>
      <c r="E394" s="1452" t="s">
        <v>81</v>
      </c>
      <c r="F394" s="1465" t="s">
        <v>80</v>
      </c>
      <c r="G394" s="1465" t="s">
        <v>79</v>
      </c>
      <c r="H394" s="1465" t="s">
        <v>78</v>
      </c>
      <c r="I394" s="1465" t="s">
        <v>111</v>
      </c>
      <c r="J394" s="1465" t="s">
        <v>110</v>
      </c>
      <c r="K394" s="1465" t="s">
        <v>109</v>
      </c>
      <c r="L394" s="1465" t="s">
        <v>108</v>
      </c>
      <c r="M394" s="1465" t="s">
        <v>40</v>
      </c>
      <c r="N394" s="1465" t="s">
        <v>58</v>
      </c>
      <c r="O394" s="93"/>
    </row>
    <row r="395" spans="1:15" ht="30" x14ac:dyDescent="0.25">
      <c r="A395" s="1557">
        <v>10</v>
      </c>
      <c r="B395" s="1560" t="s">
        <v>1134</v>
      </c>
      <c r="C395" s="1557" t="s">
        <v>2638</v>
      </c>
      <c r="D395" s="1533">
        <v>4.2</v>
      </c>
      <c r="E395" s="1564">
        <v>50</v>
      </c>
      <c r="F395" s="1557" t="s">
        <v>68</v>
      </c>
      <c r="G395" s="1557">
        <v>16</v>
      </c>
      <c r="H395" s="1531" t="s">
        <v>68</v>
      </c>
      <c r="I395" s="1473" t="s">
        <v>2655</v>
      </c>
      <c r="J395" s="1568">
        <f>0.016*0.05</f>
        <v>8.0000000000000004E-4</v>
      </c>
      <c r="K395" s="1528">
        <v>0.05</v>
      </c>
      <c r="L395" s="1559">
        <v>2710</v>
      </c>
      <c r="M395" s="1558">
        <v>1</v>
      </c>
      <c r="N395" s="1511">
        <f>IF(J395="",D395*M395,D395*J395*K395*L395*M395)</f>
        <v>0.45528000000000007</v>
      </c>
      <c r="O395" s="143"/>
    </row>
    <row r="396" spans="1:15" x14ac:dyDescent="0.25">
      <c r="A396" s="98"/>
      <c r="B396" s="95"/>
      <c r="C396" s="95"/>
      <c r="D396" s="95"/>
      <c r="E396" s="95"/>
      <c r="F396" s="95"/>
      <c r="G396" s="95"/>
      <c r="H396" s="95"/>
      <c r="I396" s="95"/>
      <c r="J396" s="95"/>
      <c r="K396" s="95"/>
      <c r="L396" s="95"/>
      <c r="M396" s="1467" t="s">
        <v>58</v>
      </c>
      <c r="N396" s="1447">
        <f>SUM(N395:N395)</f>
        <v>0.45528000000000007</v>
      </c>
      <c r="O396" s="93"/>
    </row>
    <row r="397" spans="1:15" x14ac:dyDescent="0.25">
      <c r="A397" s="678"/>
      <c r="B397" s="549"/>
      <c r="C397" s="549"/>
      <c r="D397" s="549"/>
      <c r="E397" s="549"/>
      <c r="F397" s="549"/>
      <c r="G397" s="549"/>
      <c r="H397" s="549"/>
      <c r="I397" s="549"/>
      <c r="J397" s="94"/>
      <c r="K397" s="94"/>
      <c r="L397" s="94"/>
      <c r="M397" s="94"/>
      <c r="N397" s="94"/>
      <c r="O397" s="93"/>
    </row>
    <row r="398" spans="1:15" x14ac:dyDescent="0.25">
      <c r="A398" s="1466" t="s">
        <v>67</v>
      </c>
      <c r="B398" s="1465" t="s">
        <v>106</v>
      </c>
      <c r="C398" s="1465" t="s">
        <v>66</v>
      </c>
      <c r="D398" s="1465" t="s">
        <v>65</v>
      </c>
      <c r="E398" s="1465" t="s">
        <v>64</v>
      </c>
      <c r="F398" s="1465" t="s">
        <v>40</v>
      </c>
      <c r="G398" s="1465" t="s">
        <v>105</v>
      </c>
      <c r="H398" s="1465" t="s">
        <v>104</v>
      </c>
      <c r="I398" s="1465" t="s">
        <v>58</v>
      </c>
      <c r="J398" s="95"/>
      <c r="K398" s="95"/>
      <c r="L398" s="95"/>
      <c r="M398" s="95"/>
      <c r="N398" s="95"/>
      <c r="O398" s="93"/>
    </row>
    <row r="399" spans="1:15" ht="30" x14ac:dyDescent="0.25">
      <c r="A399" s="1503">
        <v>10</v>
      </c>
      <c r="B399" s="1498" t="s">
        <v>516</v>
      </c>
      <c r="C399" s="1503"/>
      <c r="D399" s="1572">
        <v>1.3</v>
      </c>
      <c r="E399" s="1498" t="s">
        <v>64</v>
      </c>
      <c r="F399" s="1503">
        <v>1</v>
      </c>
      <c r="G399" s="1503"/>
      <c r="H399" s="1503"/>
      <c r="I399" s="1571">
        <f t="shared" ref="I399:I406" si="9">IF(H399="",D399*F399,D399*F399*H399)</f>
        <v>1.3</v>
      </c>
      <c r="J399" s="142"/>
      <c r="K399" s="142"/>
      <c r="L399" s="142"/>
      <c r="M399" s="142"/>
      <c r="N399" s="142"/>
      <c r="O399" s="120"/>
    </row>
    <row r="400" spans="1:15" ht="30" x14ac:dyDescent="0.25">
      <c r="A400" s="1500">
        <v>20</v>
      </c>
      <c r="B400" s="1498" t="s">
        <v>514</v>
      </c>
      <c r="C400" s="1502" t="s">
        <v>2654</v>
      </c>
      <c r="D400" s="1501">
        <v>0.04</v>
      </c>
      <c r="E400" s="1500" t="s">
        <v>512</v>
      </c>
      <c r="F400" s="1499">
        <v>19</v>
      </c>
      <c r="G400" s="1498" t="s">
        <v>629</v>
      </c>
      <c r="H400" s="1497">
        <v>1</v>
      </c>
      <c r="I400" s="1496">
        <f t="shared" si="9"/>
        <v>0.76</v>
      </c>
      <c r="J400" s="94"/>
      <c r="K400" s="94"/>
      <c r="L400" s="94"/>
      <c r="M400" s="94"/>
      <c r="N400" s="94"/>
      <c r="O400" s="93"/>
    </row>
    <row r="401" spans="1:15" ht="30" x14ac:dyDescent="0.25">
      <c r="A401" s="1503">
        <v>30</v>
      </c>
      <c r="B401" s="1498" t="s">
        <v>516</v>
      </c>
      <c r="C401" s="1503"/>
      <c r="D401" s="1572">
        <v>1.3</v>
      </c>
      <c r="E401" s="1498" t="s">
        <v>64</v>
      </c>
      <c r="F401" s="1503">
        <v>1</v>
      </c>
      <c r="G401" s="1503"/>
      <c r="H401" s="1503"/>
      <c r="I401" s="1571">
        <f t="shared" si="9"/>
        <v>1.3</v>
      </c>
      <c r="J401" s="99"/>
      <c r="K401" s="99"/>
      <c r="L401" s="99"/>
      <c r="M401" s="99"/>
      <c r="N401" s="99"/>
      <c r="O401" s="130"/>
    </row>
    <row r="402" spans="1:15" ht="30" x14ac:dyDescent="0.25">
      <c r="A402" s="1500">
        <v>40</v>
      </c>
      <c r="B402" s="1498" t="s">
        <v>514</v>
      </c>
      <c r="C402" s="1502" t="s">
        <v>2635</v>
      </c>
      <c r="D402" s="1501">
        <v>0.04</v>
      </c>
      <c r="E402" s="1500" t="s">
        <v>512</v>
      </c>
      <c r="F402" s="1499">
        <v>2.2999999999999998</v>
      </c>
      <c r="G402" s="1498" t="s">
        <v>629</v>
      </c>
      <c r="H402" s="1497">
        <v>1</v>
      </c>
      <c r="I402" s="1496">
        <f t="shared" si="9"/>
        <v>9.1999999999999998E-2</v>
      </c>
      <c r="J402" s="94"/>
      <c r="K402" s="94"/>
      <c r="L402" s="94"/>
      <c r="M402" s="94"/>
      <c r="N402" s="94"/>
      <c r="O402" s="93"/>
    </row>
    <row r="403" spans="1:15" ht="30" x14ac:dyDescent="0.25">
      <c r="A403" s="1503">
        <v>50</v>
      </c>
      <c r="B403" s="1498" t="s">
        <v>516</v>
      </c>
      <c r="C403" s="1503"/>
      <c r="D403" s="1572">
        <v>1.3</v>
      </c>
      <c r="E403" s="1498" t="s">
        <v>64</v>
      </c>
      <c r="F403" s="1503">
        <v>1</v>
      </c>
      <c r="G403" s="1503"/>
      <c r="H403" s="1503"/>
      <c r="I403" s="1571">
        <f t="shared" si="9"/>
        <v>1.3</v>
      </c>
      <c r="J403" s="94"/>
      <c r="K403" s="94"/>
      <c r="L403" s="94"/>
      <c r="M403" s="94"/>
      <c r="N403" s="94"/>
      <c r="O403" s="93"/>
    </row>
    <row r="404" spans="1:15" ht="30" x14ac:dyDescent="0.25">
      <c r="A404" s="1500">
        <v>60</v>
      </c>
      <c r="B404" s="1498" t="s">
        <v>514</v>
      </c>
      <c r="C404" s="1502" t="s">
        <v>2634</v>
      </c>
      <c r="D404" s="1501">
        <v>0.04</v>
      </c>
      <c r="E404" s="1500" t="s">
        <v>512</v>
      </c>
      <c r="F404" s="1499">
        <v>2.2999999999999998</v>
      </c>
      <c r="G404" s="1498" t="s">
        <v>629</v>
      </c>
      <c r="H404" s="1497">
        <v>1</v>
      </c>
      <c r="I404" s="1496">
        <f t="shared" si="9"/>
        <v>9.1999999999999998E-2</v>
      </c>
      <c r="J404" s="94"/>
      <c r="K404" s="94"/>
      <c r="L404" s="94"/>
      <c r="M404" s="94"/>
      <c r="N404" s="94"/>
      <c r="O404" s="93"/>
    </row>
    <row r="405" spans="1:15" ht="30" x14ac:dyDescent="0.25">
      <c r="A405" s="1503">
        <v>70</v>
      </c>
      <c r="B405" s="1498" t="s">
        <v>516</v>
      </c>
      <c r="C405" s="1503"/>
      <c r="D405" s="1572">
        <v>1.3</v>
      </c>
      <c r="E405" s="1498" t="s">
        <v>64</v>
      </c>
      <c r="F405" s="1503">
        <v>1</v>
      </c>
      <c r="G405" s="1503"/>
      <c r="H405" s="1503"/>
      <c r="I405" s="1571">
        <f t="shared" si="9"/>
        <v>1.3</v>
      </c>
      <c r="J405" s="95"/>
      <c r="K405" s="95"/>
      <c r="L405" s="95"/>
      <c r="M405" s="95"/>
      <c r="N405" s="95"/>
      <c r="O405" s="93"/>
    </row>
    <row r="406" spans="1:15" ht="30" x14ac:dyDescent="0.25">
      <c r="A406" s="1500">
        <v>80</v>
      </c>
      <c r="B406" s="1498" t="s">
        <v>514</v>
      </c>
      <c r="C406" s="1502" t="s">
        <v>2653</v>
      </c>
      <c r="D406" s="1501">
        <v>0.04</v>
      </c>
      <c r="E406" s="1500" t="s">
        <v>512</v>
      </c>
      <c r="F406" s="1499">
        <v>5</v>
      </c>
      <c r="G406" s="1498" t="s">
        <v>629</v>
      </c>
      <c r="H406" s="1497">
        <v>1</v>
      </c>
      <c r="I406" s="1496">
        <f t="shared" si="9"/>
        <v>0.2</v>
      </c>
      <c r="J406" s="675"/>
      <c r="K406" s="94"/>
      <c r="L406" s="94"/>
      <c r="M406" s="94"/>
      <c r="N406" s="94"/>
      <c r="O406" s="93"/>
    </row>
    <row r="407" spans="1:15" x14ac:dyDescent="0.25">
      <c r="A407" s="98"/>
      <c r="B407" s="95"/>
      <c r="C407" s="95"/>
      <c r="D407" s="95"/>
      <c r="E407" s="95"/>
      <c r="F407" s="95"/>
      <c r="G407" s="95"/>
      <c r="H407" s="1448" t="s">
        <v>58</v>
      </c>
      <c r="I407" s="1565">
        <f>SUM(I399:I406)</f>
        <v>6.3440000000000003</v>
      </c>
      <c r="J407" s="94"/>
      <c r="K407" s="94"/>
      <c r="L407" s="94"/>
      <c r="M407" s="94"/>
      <c r="N407" s="94"/>
      <c r="O407" s="93"/>
    </row>
    <row r="408" spans="1:15" x14ac:dyDescent="0.25">
      <c r="A408" s="360"/>
      <c r="B408" s="99"/>
      <c r="C408" s="99"/>
      <c r="D408" s="99"/>
      <c r="E408" s="99"/>
      <c r="F408" s="99"/>
      <c r="G408" s="99"/>
      <c r="H408" s="359"/>
      <c r="I408" s="358"/>
      <c r="J408" s="99"/>
      <c r="K408" s="94"/>
      <c r="L408" s="94"/>
      <c r="M408" s="94"/>
      <c r="N408" s="94"/>
      <c r="O408" s="93"/>
    </row>
    <row r="409" spans="1:15" ht="15.75" thickBot="1" x14ac:dyDescent="0.3">
      <c r="A409" s="92"/>
      <c r="B409" s="91"/>
      <c r="C409" s="91"/>
      <c r="D409" s="91"/>
      <c r="E409" s="91"/>
      <c r="F409" s="91"/>
      <c r="G409" s="91"/>
      <c r="H409" s="91"/>
      <c r="I409" s="91"/>
      <c r="J409" s="91"/>
      <c r="K409" s="91"/>
      <c r="L409" s="91"/>
      <c r="M409" s="91"/>
      <c r="N409" s="91"/>
      <c r="O409" s="90"/>
    </row>
    <row r="410" spans="1:15" ht="15.75" thickBot="1" x14ac:dyDescent="0.3">
      <c r="A410" s="107"/>
      <c r="B410" s="94"/>
      <c r="C410" s="94"/>
      <c r="D410" s="94"/>
      <c r="E410" s="94"/>
      <c r="F410" s="94"/>
      <c r="G410" s="94"/>
      <c r="H410" s="94"/>
      <c r="I410" s="94"/>
      <c r="J410" s="94"/>
      <c r="K410" s="94"/>
      <c r="L410" s="94"/>
      <c r="M410" s="94"/>
      <c r="N410" s="94"/>
      <c r="O410" s="94"/>
    </row>
    <row r="411" spans="1:15" x14ac:dyDescent="0.25">
      <c r="A411" s="141"/>
      <c r="B411" s="140"/>
      <c r="C411" s="140"/>
      <c r="D411" s="140"/>
      <c r="E411" s="140"/>
      <c r="F411" s="140"/>
      <c r="G411" s="140"/>
      <c r="H411" s="140"/>
      <c r="I411" s="140"/>
      <c r="J411" s="140"/>
      <c r="K411" s="140"/>
      <c r="L411" s="140"/>
      <c r="M411" s="140"/>
      <c r="N411" s="140"/>
      <c r="O411" s="139"/>
    </row>
    <row r="412" spans="1:15" x14ac:dyDescent="0.25">
      <c r="A412" s="1454" t="s">
        <v>57</v>
      </c>
      <c r="B412" s="133" t="s">
        <v>523</v>
      </c>
      <c r="C412" s="94"/>
      <c r="D412" s="94"/>
      <c r="E412" s="94"/>
      <c r="F412" s="94"/>
      <c r="G412" s="94"/>
      <c r="H412" s="94"/>
      <c r="I412" s="94"/>
      <c r="J412" s="1456" t="s">
        <v>51</v>
      </c>
      <c r="K412" s="138">
        <v>81</v>
      </c>
      <c r="L412" s="94"/>
      <c r="M412" s="1454" t="s">
        <v>113</v>
      </c>
      <c r="N412" s="100">
        <f>SU_03003_m+SU_03003_p</f>
        <v>0.46456844800000002</v>
      </c>
      <c r="O412" s="93"/>
    </row>
    <row r="413" spans="1:15" x14ac:dyDescent="0.25">
      <c r="A413" s="1454" t="s">
        <v>125</v>
      </c>
      <c r="B413" s="133" t="s">
        <v>5</v>
      </c>
      <c r="C413" s="94"/>
      <c r="D413" s="1454" t="s">
        <v>122</v>
      </c>
      <c r="E413" s="547"/>
      <c r="F413" s="94"/>
      <c r="G413" s="94"/>
      <c r="H413" s="94"/>
      <c r="I413" s="94"/>
      <c r="J413" s="94"/>
      <c r="K413" s="94"/>
      <c r="L413" s="94"/>
      <c r="M413" s="1454" t="s">
        <v>124</v>
      </c>
      <c r="N413" s="136">
        <v>2</v>
      </c>
      <c r="O413" s="93"/>
    </row>
    <row r="414" spans="1:15" x14ac:dyDescent="0.25">
      <c r="A414" s="1454" t="s">
        <v>123</v>
      </c>
      <c r="B414" s="270" t="s">
        <v>2473</v>
      </c>
      <c r="C414" s="94"/>
      <c r="D414" s="1454" t="s">
        <v>119</v>
      </c>
      <c r="E414" s="94"/>
      <c r="F414" s="94"/>
      <c r="G414" s="94"/>
      <c r="H414" s="94"/>
      <c r="I414" s="94"/>
      <c r="J414" s="1455" t="s">
        <v>122</v>
      </c>
      <c r="K414" s="94"/>
      <c r="L414" s="94"/>
      <c r="M414" s="94"/>
      <c r="N414" s="94"/>
      <c r="O414" s="93"/>
    </row>
    <row r="415" spans="1:15" x14ac:dyDescent="0.25">
      <c r="A415" s="1454" t="s">
        <v>114</v>
      </c>
      <c r="B415" s="135" t="s">
        <v>2462</v>
      </c>
      <c r="C415" s="94"/>
      <c r="D415" s="1454" t="s">
        <v>116</v>
      </c>
      <c r="E415" s="94"/>
      <c r="F415" s="94"/>
      <c r="G415" s="94"/>
      <c r="H415" s="94"/>
      <c r="I415" s="94"/>
      <c r="J415" s="1455" t="s">
        <v>119</v>
      </c>
      <c r="K415" s="94"/>
      <c r="L415" s="94"/>
      <c r="M415" s="1454" t="s">
        <v>118</v>
      </c>
      <c r="N415" s="100">
        <f>N413*N412</f>
        <v>0.92913689600000005</v>
      </c>
      <c r="O415" s="93"/>
    </row>
    <row r="416" spans="1:15" x14ac:dyDescent="0.25">
      <c r="A416" s="1454" t="s">
        <v>121</v>
      </c>
      <c r="B416" s="269" t="s">
        <v>2652</v>
      </c>
      <c r="C416" s="94"/>
      <c r="D416" s="94"/>
      <c r="E416" s="94"/>
      <c r="F416" s="94"/>
      <c r="G416" s="94"/>
      <c r="H416" s="94"/>
      <c r="I416" s="94"/>
      <c r="J416" s="1455" t="s">
        <v>116</v>
      </c>
      <c r="K416" s="94"/>
      <c r="L416" s="94"/>
      <c r="M416" s="94"/>
      <c r="N416" s="94"/>
      <c r="O416" s="93"/>
    </row>
    <row r="417" spans="1:15" x14ac:dyDescent="0.25">
      <c r="A417" s="1454" t="s">
        <v>117</v>
      </c>
      <c r="B417" s="133" t="s">
        <v>23</v>
      </c>
      <c r="C417" s="94"/>
      <c r="D417" s="94"/>
      <c r="E417" s="94"/>
      <c r="F417" s="94"/>
      <c r="G417" s="94"/>
      <c r="H417" s="94"/>
      <c r="I417" s="94"/>
      <c r="J417" s="94"/>
      <c r="K417" s="94"/>
      <c r="L417" s="94"/>
      <c r="M417" s="94"/>
      <c r="N417" s="94"/>
      <c r="O417" s="93"/>
    </row>
    <row r="418" spans="1:15" x14ac:dyDescent="0.25">
      <c r="A418" s="1454" t="s">
        <v>115</v>
      </c>
      <c r="B418" s="133" t="s">
        <v>2628</v>
      </c>
      <c r="C418" s="94"/>
      <c r="D418" s="94"/>
      <c r="E418" s="94"/>
      <c r="F418" s="94"/>
      <c r="G418" s="94"/>
      <c r="H418" s="94"/>
      <c r="I418" s="94"/>
      <c r="J418" s="94"/>
      <c r="K418" s="94"/>
      <c r="L418" s="94"/>
      <c r="M418" s="94"/>
      <c r="N418" s="94"/>
      <c r="O418" s="93"/>
    </row>
    <row r="419" spans="1:15" x14ac:dyDescent="0.25">
      <c r="A419" s="266"/>
      <c r="B419" s="265"/>
      <c r="C419" s="265"/>
      <c r="D419" s="265"/>
      <c r="E419" s="265"/>
      <c r="F419" s="94"/>
      <c r="G419" s="94"/>
      <c r="H419" s="94"/>
      <c r="I419" s="94"/>
      <c r="J419" s="94"/>
      <c r="K419" s="94"/>
      <c r="L419" s="94"/>
      <c r="M419" s="94"/>
      <c r="N419" s="94"/>
      <c r="O419" s="93"/>
    </row>
    <row r="420" spans="1:15" x14ac:dyDescent="0.25">
      <c r="A420" s="1453" t="s">
        <v>67</v>
      </c>
      <c r="B420" s="1452" t="s">
        <v>112</v>
      </c>
      <c r="C420" s="1452" t="s">
        <v>66</v>
      </c>
      <c r="D420" s="1452" t="s">
        <v>65</v>
      </c>
      <c r="E420" s="1452" t="s">
        <v>81</v>
      </c>
      <c r="F420" s="1465" t="s">
        <v>80</v>
      </c>
      <c r="G420" s="1465" t="s">
        <v>79</v>
      </c>
      <c r="H420" s="1465" t="s">
        <v>78</v>
      </c>
      <c r="I420" s="1465" t="s">
        <v>111</v>
      </c>
      <c r="J420" s="1465" t="s">
        <v>110</v>
      </c>
      <c r="K420" s="1465" t="s">
        <v>109</v>
      </c>
      <c r="L420" s="1465" t="s">
        <v>108</v>
      </c>
      <c r="M420" s="1465" t="s">
        <v>40</v>
      </c>
      <c r="N420" s="1465" t="s">
        <v>58</v>
      </c>
      <c r="O420" s="93"/>
    </row>
    <row r="421" spans="1:15" ht="30" x14ac:dyDescent="0.25">
      <c r="A421" s="1557">
        <v>10</v>
      </c>
      <c r="B421" s="1560" t="s">
        <v>1134</v>
      </c>
      <c r="C421" s="1557" t="s">
        <v>2627</v>
      </c>
      <c r="D421" s="1533">
        <v>4.2</v>
      </c>
      <c r="E421" s="1564">
        <v>12</v>
      </c>
      <c r="F421" s="1557" t="s">
        <v>68</v>
      </c>
      <c r="G421" s="1557"/>
      <c r="H421" s="1531"/>
      <c r="I421" s="1473" t="s">
        <v>2651</v>
      </c>
      <c r="J421" s="1563">
        <f>3.14*0.006^2</f>
        <v>1.1304E-4</v>
      </c>
      <c r="K421" s="1528">
        <v>0.05</v>
      </c>
      <c r="L421" s="1559">
        <v>2720</v>
      </c>
      <c r="M421" s="1558">
        <v>1</v>
      </c>
      <c r="N421" s="1511">
        <f>IF(J421="",D421*M421,D421*J421*K421*L421*M421)</f>
        <v>6.4568448000000014E-2</v>
      </c>
      <c r="O421" s="143"/>
    </row>
    <row r="422" spans="1:15" x14ac:dyDescent="0.25">
      <c r="A422" s="98"/>
      <c r="B422" s="95"/>
      <c r="C422" s="95"/>
      <c r="D422" s="95"/>
      <c r="E422" s="95"/>
      <c r="F422" s="95"/>
      <c r="G422" s="95"/>
      <c r="H422" s="95"/>
      <c r="I422" s="95"/>
      <c r="J422" s="95"/>
      <c r="K422" s="95"/>
      <c r="L422" s="95"/>
      <c r="M422" s="1467" t="s">
        <v>58</v>
      </c>
      <c r="N422" s="1447">
        <f>SUM(N421:N421)</f>
        <v>6.4568448000000014E-2</v>
      </c>
      <c r="O422" s="93"/>
    </row>
    <row r="423" spans="1:15" x14ac:dyDescent="0.25">
      <c r="A423" s="107"/>
      <c r="B423" s="94"/>
      <c r="C423" s="94"/>
      <c r="D423" s="94"/>
      <c r="E423" s="94"/>
      <c r="F423" s="94"/>
      <c r="G423" s="94"/>
      <c r="H423" s="94"/>
      <c r="I423" s="94"/>
      <c r="J423" s="94"/>
      <c r="K423" s="94"/>
      <c r="L423" s="94"/>
      <c r="M423" s="94"/>
      <c r="N423" s="94"/>
      <c r="O423" s="93"/>
    </row>
    <row r="424" spans="1:15" x14ac:dyDescent="0.25">
      <c r="A424" s="1466" t="s">
        <v>67</v>
      </c>
      <c r="B424" s="1465" t="s">
        <v>106</v>
      </c>
      <c r="C424" s="1465" t="s">
        <v>66</v>
      </c>
      <c r="D424" s="1465" t="s">
        <v>65</v>
      </c>
      <c r="E424" s="1465" t="s">
        <v>64</v>
      </c>
      <c r="F424" s="1465" t="s">
        <v>40</v>
      </c>
      <c r="G424" s="1465" t="s">
        <v>105</v>
      </c>
      <c r="H424" s="1465" t="s">
        <v>104</v>
      </c>
      <c r="I424" s="1465" t="s">
        <v>58</v>
      </c>
      <c r="J424" s="95"/>
      <c r="K424" s="95"/>
      <c r="L424" s="95"/>
      <c r="M424" s="95"/>
      <c r="N424" s="95"/>
      <c r="O424" s="93"/>
    </row>
    <row r="425" spans="1:15" ht="29.25" customHeight="1" x14ac:dyDescent="0.25">
      <c r="A425" s="1458">
        <v>10</v>
      </c>
      <c r="B425" s="1461" t="s">
        <v>2625</v>
      </c>
      <c r="C425" s="1463"/>
      <c r="D425" s="1459">
        <v>0.4</v>
      </c>
      <c r="E425" s="1458" t="s">
        <v>101</v>
      </c>
      <c r="F425" s="1458">
        <v>1</v>
      </c>
      <c r="G425" s="1458"/>
      <c r="H425" s="1458"/>
      <c r="I425" s="1505">
        <f>IF(H425="",D425*F425,D425*F425*H425)</f>
        <v>0.4</v>
      </c>
      <c r="J425" s="142"/>
      <c r="K425" s="142"/>
      <c r="L425" s="142"/>
      <c r="M425" s="142"/>
      <c r="N425" s="142"/>
      <c r="O425" s="120"/>
    </row>
    <row r="426" spans="1:15" x14ac:dyDescent="0.25">
      <c r="A426" s="98"/>
      <c r="B426" s="95"/>
      <c r="C426" s="95"/>
      <c r="D426" s="95"/>
      <c r="E426" s="95"/>
      <c r="F426" s="95"/>
      <c r="G426" s="95"/>
      <c r="H426" s="1448" t="s">
        <v>58</v>
      </c>
      <c r="I426" s="1447">
        <f>SUM(I425:I425)</f>
        <v>0.4</v>
      </c>
      <c r="J426" s="95"/>
      <c r="K426" s="95"/>
      <c r="L426" s="95"/>
      <c r="M426" s="95"/>
      <c r="N426" s="95"/>
      <c r="O426" s="93"/>
    </row>
    <row r="427" spans="1:15" ht="15.75" thickBot="1" x14ac:dyDescent="0.3">
      <c r="A427" s="92"/>
      <c r="B427" s="91"/>
      <c r="C427" s="91"/>
      <c r="D427" s="91"/>
      <c r="E427" s="91"/>
      <c r="F427" s="91"/>
      <c r="G427" s="91"/>
      <c r="H427" s="544"/>
      <c r="I427" s="544"/>
      <c r="J427" s="91"/>
      <c r="K427" s="91"/>
      <c r="L427" s="91"/>
      <c r="M427" s="91"/>
      <c r="N427" s="91"/>
      <c r="O427" s="90"/>
    </row>
    <row r="428" spans="1:15" ht="15.75" thickBot="1" x14ac:dyDescent="0.3">
      <c r="A428" s="107"/>
      <c r="B428" s="94"/>
      <c r="C428" s="94"/>
      <c r="D428" s="94"/>
      <c r="E428" s="94"/>
      <c r="F428" s="94"/>
      <c r="G428" s="94"/>
      <c r="H428" s="675"/>
      <c r="I428" s="675"/>
      <c r="J428" s="94"/>
      <c r="K428" s="94"/>
      <c r="L428" s="94"/>
      <c r="M428" s="94"/>
      <c r="N428" s="94"/>
      <c r="O428" s="94"/>
    </row>
    <row r="429" spans="1:15" x14ac:dyDescent="0.25">
      <c r="A429" s="141"/>
      <c r="B429" s="140"/>
      <c r="C429" s="140"/>
      <c r="D429" s="140"/>
      <c r="E429" s="140"/>
      <c r="F429" s="140"/>
      <c r="G429" s="140"/>
      <c r="H429" s="140"/>
      <c r="I429" s="140"/>
      <c r="J429" s="272"/>
      <c r="K429" s="140"/>
      <c r="L429" s="140"/>
      <c r="M429" s="140"/>
      <c r="N429" s="140"/>
      <c r="O429" s="139"/>
    </row>
    <row r="430" spans="1:15" ht="18" customHeight="1" x14ac:dyDescent="0.25">
      <c r="A430" s="1454" t="s">
        <v>57</v>
      </c>
      <c r="B430" s="133" t="s">
        <v>523</v>
      </c>
      <c r="C430" s="94"/>
      <c r="D430" s="94"/>
      <c r="E430" s="94"/>
      <c r="F430" s="94"/>
      <c r="G430" s="94"/>
      <c r="H430" s="94"/>
      <c r="I430" s="94"/>
      <c r="J430" s="1456" t="s">
        <v>51</v>
      </c>
      <c r="K430" s="138">
        <v>81</v>
      </c>
      <c r="L430" s="94"/>
      <c r="M430" s="1454" t="s">
        <v>113</v>
      </c>
      <c r="N430" s="100">
        <f>SU_03004_m+SU_03004_p</f>
        <v>11.598131758522795</v>
      </c>
      <c r="O430" s="93"/>
    </row>
    <row r="431" spans="1:15" x14ac:dyDescent="0.25">
      <c r="A431" s="1454" t="s">
        <v>125</v>
      </c>
      <c r="B431" s="133" t="s">
        <v>5</v>
      </c>
      <c r="C431" s="94"/>
      <c r="D431" s="1454" t="s">
        <v>122</v>
      </c>
      <c r="E431" s="94"/>
      <c r="F431" s="94"/>
      <c r="G431" s="94"/>
      <c r="H431" s="94"/>
      <c r="I431" s="94"/>
      <c r="J431" s="94"/>
      <c r="K431" s="94"/>
      <c r="L431" s="94"/>
      <c r="M431" s="1454" t="s">
        <v>124</v>
      </c>
      <c r="N431" s="136">
        <v>1</v>
      </c>
      <c r="O431" s="93"/>
    </row>
    <row r="432" spans="1:15" x14ac:dyDescent="0.25">
      <c r="A432" s="1454" t="s">
        <v>123</v>
      </c>
      <c r="B432" s="270" t="s">
        <v>2473</v>
      </c>
      <c r="C432" s="94"/>
      <c r="D432" s="1454" t="s">
        <v>119</v>
      </c>
      <c r="E432" s="94"/>
      <c r="F432" s="94"/>
      <c r="G432" s="94"/>
      <c r="H432" s="94"/>
      <c r="I432" s="94"/>
      <c r="J432" s="1455" t="s">
        <v>122</v>
      </c>
      <c r="K432" s="94"/>
      <c r="L432" s="94"/>
      <c r="M432" s="94"/>
      <c r="N432" s="94"/>
      <c r="O432" s="93"/>
    </row>
    <row r="433" spans="1:15" x14ac:dyDescent="0.25">
      <c r="A433" s="1454" t="s">
        <v>114</v>
      </c>
      <c r="B433" s="135" t="s">
        <v>2470</v>
      </c>
      <c r="C433" s="94"/>
      <c r="D433" s="1454" t="s">
        <v>116</v>
      </c>
      <c r="E433" s="94"/>
      <c r="F433" s="94"/>
      <c r="G433" s="94"/>
      <c r="H433" s="94"/>
      <c r="I433" s="94"/>
      <c r="J433" s="1455" t="s">
        <v>119</v>
      </c>
      <c r="K433" s="94"/>
      <c r="L433" s="94"/>
      <c r="M433" s="1454" t="s">
        <v>118</v>
      </c>
      <c r="N433" s="100">
        <f>N431*N430</f>
        <v>11.598131758522795</v>
      </c>
      <c r="O433" s="93"/>
    </row>
    <row r="434" spans="1:15" x14ac:dyDescent="0.25">
      <c r="A434" s="1454" t="s">
        <v>121</v>
      </c>
      <c r="B434" s="269" t="s">
        <v>2650</v>
      </c>
      <c r="C434" s="94"/>
      <c r="D434" s="94"/>
      <c r="E434" s="94"/>
      <c r="F434" s="94"/>
      <c r="G434" s="94"/>
      <c r="H434" s="94"/>
      <c r="I434" s="94"/>
      <c r="J434" s="1455" t="s">
        <v>116</v>
      </c>
      <c r="K434" s="94"/>
      <c r="L434" s="94"/>
      <c r="M434" s="94"/>
      <c r="N434" s="94"/>
      <c r="O434" s="93"/>
    </row>
    <row r="435" spans="1:15" x14ac:dyDescent="0.25">
      <c r="A435" s="1454" t="s">
        <v>117</v>
      </c>
      <c r="B435" s="133" t="s">
        <v>23</v>
      </c>
      <c r="C435" s="94"/>
      <c r="D435" s="94"/>
      <c r="E435" s="94"/>
      <c r="F435" s="94"/>
      <c r="G435" s="94"/>
      <c r="H435" s="94"/>
      <c r="I435" s="94"/>
      <c r="J435" s="94"/>
      <c r="K435" s="94"/>
      <c r="L435" s="94"/>
      <c r="M435" s="94"/>
      <c r="N435" s="94"/>
      <c r="O435" s="93"/>
    </row>
    <row r="436" spans="1:15" x14ac:dyDescent="0.25">
      <c r="A436" s="1454" t="s">
        <v>115</v>
      </c>
      <c r="B436" s="133"/>
      <c r="C436" s="94"/>
      <c r="D436" s="94"/>
      <c r="E436" s="94"/>
      <c r="F436" s="94"/>
      <c r="G436" s="94"/>
      <c r="H436" s="94"/>
      <c r="I436" s="94"/>
      <c r="J436" s="94"/>
      <c r="K436" s="94"/>
      <c r="L436" s="94"/>
      <c r="M436" s="94"/>
      <c r="N436" s="94"/>
      <c r="O436" s="93"/>
    </row>
    <row r="437" spans="1:15" x14ac:dyDescent="0.25">
      <c r="A437" s="266"/>
      <c r="B437" s="265"/>
      <c r="C437" s="265"/>
      <c r="D437" s="265"/>
      <c r="E437" s="265"/>
      <c r="F437" s="94"/>
      <c r="G437" s="94"/>
      <c r="H437" s="94"/>
      <c r="I437" s="94"/>
      <c r="J437" s="94"/>
      <c r="K437" s="94"/>
      <c r="L437" s="94"/>
      <c r="M437" s="94"/>
      <c r="N437" s="94"/>
      <c r="O437" s="93"/>
    </row>
    <row r="438" spans="1:15" x14ac:dyDescent="0.25">
      <c r="A438" s="1453" t="s">
        <v>67</v>
      </c>
      <c r="B438" s="1452" t="s">
        <v>112</v>
      </c>
      <c r="C438" s="1452" t="s">
        <v>66</v>
      </c>
      <c r="D438" s="1452" t="s">
        <v>65</v>
      </c>
      <c r="E438" s="1452" t="s">
        <v>81</v>
      </c>
      <c r="F438" s="1465" t="s">
        <v>80</v>
      </c>
      <c r="G438" s="1465" t="s">
        <v>79</v>
      </c>
      <c r="H438" s="1465" t="s">
        <v>78</v>
      </c>
      <c r="I438" s="1465" t="s">
        <v>111</v>
      </c>
      <c r="J438" s="1465" t="s">
        <v>110</v>
      </c>
      <c r="K438" s="1465" t="s">
        <v>109</v>
      </c>
      <c r="L438" s="1465" t="s">
        <v>108</v>
      </c>
      <c r="M438" s="1465" t="s">
        <v>40</v>
      </c>
      <c r="N438" s="1465" t="s">
        <v>58</v>
      </c>
      <c r="O438" s="93"/>
    </row>
    <row r="439" spans="1:15" ht="30" x14ac:dyDescent="0.25">
      <c r="A439" s="1458">
        <v>10</v>
      </c>
      <c r="B439" s="1475" t="s">
        <v>1000</v>
      </c>
      <c r="C439" s="1508" t="s">
        <v>1240</v>
      </c>
      <c r="D439" s="1507">
        <v>200</v>
      </c>
      <c r="E439" s="1458">
        <v>16</v>
      </c>
      <c r="F439" s="1458" t="s">
        <v>68</v>
      </c>
      <c r="G439" s="1458">
        <v>2</v>
      </c>
      <c r="H439" s="1470" t="s">
        <v>68</v>
      </c>
      <c r="I439" s="1473" t="s">
        <v>2566</v>
      </c>
      <c r="J439" s="1472">
        <f>(1/4)*PI()*((E439*0.001)^2-(E439*0.001-2*G439*0.001)^2)</f>
        <v>8.7964594300514196E-5</v>
      </c>
      <c r="K439" s="1471">
        <v>0.29299999999999998</v>
      </c>
      <c r="L439" s="1470">
        <v>2000</v>
      </c>
      <c r="M439" s="1469">
        <v>1</v>
      </c>
      <c r="N439" s="1505">
        <f>IF(J439="",D439*M439,D439*J439*K439*L439*M439)</f>
        <v>10.309450452020263</v>
      </c>
      <c r="O439" s="143"/>
    </row>
    <row r="440" spans="1:15" x14ac:dyDescent="0.25">
      <c r="A440" s="98"/>
      <c r="B440" s="95"/>
      <c r="C440" s="95"/>
      <c r="D440" s="95"/>
      <c r="E440" s="95"/>
      <c r="F440" s="95"/>
      <c r="G440" s="95"/>
      <c r="H440" s="95"/>
      <c r="I440" s="95"/>
      <c r="J440" s="95"/>
      <c r="K440" s="95"/>
      <c r="L440" s="95"/>
      <c r="M440" s="1467" t="s">
        <v>58</v>
      </c>
      <c r="N440" s="1447">
        <f>SUM(N439:N439)</f>
        <v>10.309450452020263</v>
      </c>
      <c r="O440" s="93"/>
    </row>
    <row r="441" spans="1:15" x14ac:dyDescent="0.25">
      <c r="A441" s="107"/>
      <c r="B441" s="94"/>
      <c r="C441" s="94"/>
      <c r="D441" s="94"/>
      <c r="E441" s="94"/>
      <c r="F441" s="94"/>
      <c r="G441" s="94"/>
      <c r="H441" s="94"/>
      <c r="I441" s="94"/>
      <c r="J441" s="94"/>
      <c r="K441" s="94"/>
      <c r="L441" s="94"/>
      <c r="M441" s="94"/>
      <c r="N441" s="94"/>
      <c r="O441" s="93"/>
    </row>
    <row r="442" spans="1:15" x14ac:dyDescent="0.25">
      <c r="A442" s="1466" t="s">
        <v>67</v>
      </c>
      <c r="B442" s="1465" t="s">
        <v>106</v>
      </c>
      <c r="C442" s="1465" t="s">
        <v>66</v>
      </c>
      <c r="D442" s="1465" t="s">
        <v>65</v>
      </c>
      <c r="E442" s="1465" t="s">
        <v>64</v>
      </c>
      <c r="F442" s="1465" t="s">
        <v>40</v>
      </c>
      <c r="G442" s="1465" t="s">
        <v>105</v>
      </c>
      <c r="H442" s="1465" t="s">
        <v>104</v>
      </c>
      <c r="I442" s="1465" t="s">
        <v>58</v>
      </c>
      <c r="J442" s="95"/>
      <c r="K442" s="95"/>
      <c r="L442" s="95"/>
      <c r="M442" s="95"/>
      <c r="N442" s="95"/>
      <c r="O442" s="93"/>
    </row>
    <row r="443" spans="1:15" ht="30" x14ac:dyDescent="0.25">
      <c r="A443" s="1544">
        <v>10</v>
      </c>
      <c r="B443" s="1461" t="s">
        <v>1280</v>
      </c>
      <c r="C443" s="1546" t="s">
        <v>1279</v>
      </c>
      <c r="D443" s="1507">
        <v>25</v>
      </c>
      <c r="E443" s="1461" t="s">
        <v>794</v>
      </c>
      <c r="F443" s="1544">
        <f>J439*K439*L439</f>
        <v>5.1547252260101317E-2</v>
      </c>
      <c r="G443" s="1544"/>
      <c r="H443" s="1544"/>
      <c r="I443" s="1511">
        <f>IF(H443="",D443*F443,D443*F443*H443)</f>
        <v>1.2886813065025329</v>
      </c>
      <c r="J443" s="142"/>
      <c r="K443" s="142"/>
      <c r="L443" s="142"/>
      <c r="M443" s="142"/>
      <c r="N443" s="142"/>
      <c r="O443" s="120"/>
    </row>
    <row r="444" spans="1:15" x14ac:dyDescent="0.25">
      <c r="A444" s="98"/>
      <c r="B444" s="95"/>
      <c r="C444" s="95"/>
      <c r="D444" s="95"/>
      <c r="E444" s="95"/>
      <c r="F444" s="95"/>
      <c r="G444" s="95"/>
      <c r="H444" s="1448" t="s">
        <v>58</v>
      </c>
      <c r="I444" s="1447">
        <f>SUM(I443:I443)</f>
        <v>1.2886813065025329</v>
      </c>
      <c r="J444" s="95"/>
      <c r="K444" s="95"/>
      <c r="L444" s="95"/>
      <c r="M444" s="95"/>
      <c r="N444" s="95"/>
      <c r="O444" s="93"/>
    </row>
    <row r="445" spans="1:15" x14ac:dyDescent="0.25">
      <c r="A445" s="107"/>
      <c r="B445" s="94"/>
      <c r="C445" s="94"/>
      <c r="D445" s="94"/>
      <c r="E445" s="94"/>
      <c r="F445" s="94"/>
      <c r="G445" s="94"/>
      <c r="H445" s="94"/>
      <c r="I445" s="99"/>
      <c r="J445" s="94"/>
      <c r="K445" s="94"/>
      <c r="L445" s="94"/>
      <c r="M445" s="94"/>
      <c r="N445" s="94"/>
      <c r="O445" s="93"/>
    </row>
    <row r="446" spans="1:15" x14ac:dyDescent="0.25">
      <c r="A446" s="107"/>
      <c r="B446" s="94"/>
      <c r="C446" s="94"/>
      <c r="D446" s="94"/>
      <c r="E446" s="94"/>
      <c r="F446" s="94"/>
      <c r="G446" s="94"/>
      <c r="H446" s="94"/>
      <c r="I446" s="99"/>
      <c r="J446" s="94"/>
      <c r="K446" s="94"/>
      <c r="L446" s="94"/>
      <c r="M446" s="94"/>
      <c r="N446" s="94"/>
      <c r="O446" s="93"/>
    </row>
    <row r="447" spans="1:15" x14ac:dyDescent="0.25">
      <c r="A447" s="107"/>
      <c r="B447" s="94"/>
      <c r="C447" s="94"/>
      <c r="D447" s="94"/>
      <c r="E447" s="94"/>
      <c r="F447" s="94"/>
      <c r="G447" s="94"/>
      <c r="H447" s="94"/>
      <c r="I447" s="99"/>
      <c r="J447" s="94"/>
      <c r="K447" s="94"/>
      <c r="L447" s="94"/>
      <c r="M447" s="94"/>
      <c r="N447" s="94"/>
      <c r="O447" s="93"/>
    </row>
    <row r="448" spans="1:15" ht="15.75" thickBot="1" x14ac:dyDescent="0.3">
      <c r="A448" s="92"/>
      <c r="B448" s="91"/>
      <c r="C448" s="91"/>
      <c r="D448" s="91"/>
      <c r="E448" s="91"/>
      <c r="F448" s="91"/>
      <c r="G448" s="91"/>
      <c r="H448" s="91"/>
      <c r="I448" s="91"/>
      <c r="J448" s="91"/>
      <c r="K448" s="91"/>
      <c r="L448" s="91"/>
      <c r="M448" s="91"/>
      <c r="N448" s="91"/>
      <c r="O448" s="90"/>
    </row>
    <row r="449" spans="1:15" ht="15.75" thickBot="1" x14ac:dyDescent="0.3"/>
    <row r="450" spans="1:15" x14ac:dyDescent="0.25">
      <c r="A450" s="141"/>
      <c r="B450" s="140"/>
      <c r="C450" s="140"/>
      <c r="D450" s="140"/>
      <c r="E450" s="140"/>
      <c r="F450" s="140"/>
      <c r="G450" s="140"/>
      <c r="H450" s="140"/>
      <c r="I450" s="140"/>
      <c r="J450" s="272"/>
      <c r="K450" s="140"/>
      <c r="L450" s="140"/>
      <c r="M450" s="140"/>
      <c r="N450" s="140"/>
      <c r="O450" s="139"/>
    </row>
    <row r="451" spans="1:15" x14ac:dyDescent="0.25">
      <c r="A451" s="1454" t="s">
        <v>57</v>
      </c>
      <c r="B451" s="133" t="s">
        <v>523</v>
      </c>
      <c r="C451" s="94"/>
      <c r="D451" s="94"/>
      <c r="E451" s="94"/>
      <c r="F451" s="94"/>
      <c r="G451" s="94"/>
      <c r="H451" s="94"/>
      <c r="I451" s="94"/>
      <c r="J451" s="1456" t="s">
        <v>51</v>
      </c>
      <c r="K451" s="138">
        <v>81</v>
      </c>
      <c r="L451" s="94"/>
      <c r="M451" s="1454" t="s">
        <v>113</v>
      </c>
      <c r="N451" s="100">
        <f>SU_03005_m+SU_03005_p</f>
        <v>11.08353888186479</v>
      </c>
      <c r="O451" s="93"/>
    </row>
    <row r="452" spans="1:15" x14ac:dyDescent="0.25">
      <c r="A452" s="1454" t="s">
        <v>125</v>
      </c>
      <c r="B452" s="133" t="s">
        <v>5</v>
      </c>
      <c r="C452" s="94"/>
      <c r="D452" s="1454" t="s">
        <v>122</v>
      </c>
      <c r="E452" s="94"/>
      <c r="F452" s="94"/>
      <c r="G452" s="94"/>
      <c r="H452" s="94"/>
      <c r="I452" s="94"/>
      <c r="J452" s="94"/>
      <c r="K452" s="94"/>
      <c r="L452" s="94"/>
      <c r="M452" s="1454" t="s">
        <v>124</v>
      </c>
      <c r="N452" s="136">
        <v>1</v>
      </c>
      <c r="O452" s="93"/>
    </row>
    <row r="453" spans="1:15" x14ac:dyDescent="0.25">
      <c r="A453" s="1454" t="s">
        <v>123</v>
      </c>
      <c r="B453" s="270" t="s">
        <v>2473</v>
      </c>
      <c r="C453" s="94"/>
      <c r="D453" s="1454" t="s">
        <v>119</v>
      </c>
      <c r="E453" s="94"/>
      <c r="F453" s="94"/>
      <c r="G453" s="94"/>
      <c r="H453" s="94"/>
      <c r="I453" s="94"/>
      <c r="J453" s="1455" t="s">
        <v>122</v>
      </c>
      <c r="K453" s="94"/>
      <c r="L453" s="94"/>
      <c r="M453" s="94"/>
      <c r="N453" s="94"/>
      <c r="O453" s="93"/>
    </row>
    <row r="454" spans="1:15" x14ac:dyDescent="0.25">
      <c r="A454" s="1454" t="s">
        <v>114</v>
      </c>
      <c r="B454" s="135" t="s">
        <v>2469</v>
      </c>
      <c r="C454" s="94"/>
      <c r="D454" s="1454" t="s">
        <v>116</v>
      </c>
      <c r="E454" s="94"/>
      <c r="F454" s="94"/>
      <c r="G454" s="94"/>
      <c r="H454" s="94"/>
      <c r="I454" s="94"/>
      <c r="J454" s="1455" t="s">
        <v>119</v>
      </c>
      <c r="K454" s="94"/>
      <c r="L454" s="94"/>
      <c r="M454" s="1454" t="s">
        <v>118</v>
      </c>
      <c r="N454" s="100">
        <f>N452*N451</f>
        <v>11.08353888186479</v>
      </c>
      <c r="O454" s="93"/>
    </row>
    <row r="455" spans="1:15" x14ac:dyDescent="0.25">
      <c r="A455" s="1454" t="s">
        <v>121</v>
      </c>
      <c r="B455" s="269" t="s">
        <v>2649</v>
      </c>
      <c r="C455" s="94"/>
      <c r="D455" s="94"/>
      <c r="E455" s="94"/>
      <c r="F455" s="94"/>
      <c r="G455" s="94"/>
      <c r="H455" s="94"/>
      <c r="I455" s="94"/>
      <c r="J455" s="1455" t="s">
        <v>116</v>
      </c>
      <c r="K455" s="94"/>
      <c r="L455" s="94"/>
      <c r="M455" s="94"/>
      <c r="N455" s="94"/>
      <c r="O455" s="93"/>
    </row>
    <row r="456" spans="1:15" x14ac:dyDescent="0.25">
      <c r="A456" s="1454" t="s">
        <v>117</v>
      </c>
      <c r="B456" s="133" t="s">
        <v>23</v>
      </c>
      <c r="C456" s="94"/>
      <c r="D456" s="94"/>
      <c r="E456" s="94"/>
      <c r="F456" s="94"/>
      <c r="G456" s="94"/>
      <c r="H456" s="94"/>
      <c r="I456" s="94"/>
      <c r="J456" s="94"/>
      <c r="K456" s="94"/>
      <c r="L456" s="94"/>
      <c r="M456" s="94"/>
      <c r="N456" s="94"/>
      <c r="O456" s="93"/>
    </row>
    <row r="457" spans="1:15" x14ac:dyDescent="0.25">
      <c r="A457" s="1454" t="s">
        <v>115</v>
      </c>
      <c r="B457" s="133"/>
      <c r="C457" s="94"/>
      <c r="D457" s="94"/>
      <c r="E457" s="94"/>
      <c r="F457" s="94"/>
      <c r="G457" s="94"/>
      <c r="H457" s="94"/>
      <c r="I457" s="94"/>
      <c r="J457" s="94"/>
      <c r="K457" s="94"/>
      <c r="L457" s="94"/>
      <c r="M457" s="94"/>
      <c r="N457" s="94"/>
      <c r="O457" s="93"/>
    </row>
    <row r="458" spans="1:15" x14ac:dyDescent="0.25">
      <c r="A458" s="266"/>
      <c r="B458" s="265"/>
      <c r="C458" s="265"/>
      <c r="D458" s="265"/>
      <c r="E458" s="265"/>
      <c r="F458" s="94"/>
      <c r="G458" s="94"/>
      <c r="H458" s="94"/>
      <c r="I458" s="94"/>
      <c r="J458" s="94"/>
      <c r="K458" s="94"/>
      <c r="L458" s="94"/>
      <c r="M458" s="94"/>
      <c r="N458" s="94"/>
      <c r="O458" s="93"/>
    </row>
    <row r="459" spans="1:15" x14ac:dyDescent="0.25">
      <c r="A459" s="1453" t="s">
        <v>67</v>
      </c>
      <c r="B459" s="1452" t="s">
        <v>112</v>
      </c>
      <c r="C459" s="1452" t="s">
        <v>66</v>
      </c>
      <c r="D459" s="1452" t="s">
        <v>65</v>
      </c>
      <c r="E459" s="1452" t="s">
        <v>81</v>
      </c>
      <c r="F459" s="1465" t="s">
        <v>80</v>
      </c>
      <c r="G459" s="1465" t="s">
        <v>79</v>
      </c>
      <c r="H459" s="1465" t="s">
        <v>78</v>
      </c>
      <c r="I459" s="1465" t="s">
        <v>111</v>
      </c>
      <c r="J459" s="1465" t="s">
        <v>110</v>
      </c>
      <c r="K459" s="1465" t="s">
        <v>109</v>
      </c>
      <c r="L459" s="1465" t="s">
        <v>108</v>
      </c>
      <c r="M459" s="1465" t="s">
        <v>40</v>
      </c>
      <c r="N459" s="1465" t="s">
        <v>58</v>
      </c>
      <c r="O459" s="93"/>
    </row>
    <row r="460" spans="1:15" ht="30" x14ac:dyDescent="0.25">
      <c r="A460" s="1458">
        <v>10</v>
      </c>
      <c r="B460" s="1475" t="s">
        <v>1000</v>
      </c>
      <c r="C460" s="1508" t="s">
        <v>1240</v>
      </c>
      <c r="D460" s="1507">
        <v>200</v>
      </c>
      <c r="E460" s="1458">
        <v>16</v>
      </c>
      <c r="F460" s="1458" t="s">
        <v>68</v>
      </c>
      <c r="G460" s="1458">
        <v>2</v>
      </c>
      <c r="H460" s="1470" t="s">
        <v>68</v>
      </c>
      <c r="I460" s="1473" t="s">
        <v>2566</v>
      </c>
      <c r="J460" s="1472">
        <f>(1/4)*PI()*((E460*0.001)^2-(E460*0.001-2*G460*0.001)^2)</f>
        <v>8.7964594300514196E-5</v>
      </c>
      <c r="K460" s="1471">
        <v>0.28000000000000003</v>
      </c>
      <c r="L460" s="1470">
        <v>2000</v>
      </c>
      <c r="M460" s="1469">
        <v>1</v>
      </c>
      <c r="N460" s="1505">
        <f>IF(J460="",D460*M460,D460*J460*K460*L460*M460)</f>
        <v>9.8520345616575913</v>
      </c>
      <c r="O460" s="143"/>
    </row>
    <row r="461" spans="1:15" x14ac:dyDescent="0.25">
      <c r="A461" s="98"/>
      <c r="B461" s="95"/>
      <c r="C461" s="95"/>
      <c r="D461" s="95"/>
      <c r="E461" s="95"/>
      <c r="F461" s="95"/>
      <c r="G461" s="95"/>
      <c r="H461" s="95"/>
      <c r="I461" s="95"/>
      <c r="J461" s="95"/>
      <c r="K461" s="95"/>
      <c r="L461" s="95"/>
      <c r="M461" s="1467" t="s">
        <v>58</v>
      </c>
      <c r="N461" s="1447">
        <f>SUM(N460:N460)</f>
        <v>9.8520345616575913</v>
      </c>
      <c r="O461" s="93"/>
    </row>
    <row r="462" spans="1:15" x14ac:dyDescent="0.25">
      <c r="A462" s="107"/>
      <c r="B462" s="94"/>
      <c r="C462" s="94"/>
      <c r="D462" s="94"/>
      <c r="E462" s="94"/>
      <c r="F462" s="94"/>
      <c r="G462" s="94"/>
      <c r="H462" s="94"/>
      <c r="I462" s="94"/>
      <c r="J462" s="94"/>
      <c r="K462" s="94"/>
      <c r="L462" s="94"/>
      <c r="M462" s="94"/>
      <c r="N462" s="94"/>
      <c r="O462" s="93"/>
    </row>
    <row r="463" spans="1:15" x14ac:dyDescent="0.25">
      <c r="A463" s="1466" t="s">
        <v>67</v>
      </c>
      <c r="B463" s="1465" t="s">
        <v>106</v>
      </c>
      <c r="C463" s="1465" t="s">
        <v>66</v>
      </c>
      <c r="D463" s="1465" t="s">
        <v>65</v>
      </c>
      <c r="E463" s="1465" t="s">
        <v>64</v>
      </c>
      <c r="F463" s="1465" t="s">
        <v>40</v>
      </c>
      <c r="G463" s="1465" t="s">
        <v>105</v>
      </c>
      <c r="H463" s="1465" t="s">
        <v>104</v>
      </c>
      <c r="I463" s="1465" t="s">
        <v>58</v>
      </c>
      <c r="J463" s="95"/>
      <c r="K463" s="95"/>
      <c r="L463" s="95"/>
      <c r="M463" s="95"/>
      <c r="N463" s="95"/>
      <c r="O463" s="93"/>
    </row>
    <row r="464" spans="1:15" ht="30" x14ac:dyDescent="0.25">
      <c r="A464" s="1544">
        <v>10</v>
      </c>
      <c r="B464" s="1461" t="s">
        <v>1280</v>
      </c>
      <c r="C464" s="1546" t="s">
        <v>1279</v>
      </c>
      <c r="D464" s="1507">
        <v>25</v>
      </c>
      <c r="E464" s="1461" t="s">
        <v>794</v>
      </c>
      <c r="F464" s="1544">
        <f>J460*K460*L460</f>
        <v>4.9260172808287955E-2</v>
      </c>
      <c r="G464" s="1544"/>
      <c r="H464" s="1544"/>
      <c r="I464" s="1511">
        <f>IF(H464="",D464*F464,D464*F464*H464)</f>
        <v>1.2315043202071989</v>
      </c>
      <c r="J464" s="142"/>
      <c r="K464" s="142"/>
      <c r="L464" s="142"/>
      <c r="M464" s="142"/>
      <c r="N464" s="142"/>
      <c r="O464" s="120"/>
    </row>
    <row r="465" spans="1:15" x14ac:dyDescent="0.25">
      <c r="A465" s="98"/>
      <c r="B465" s="95"/>
      <c r="C465" s="95"/>
      <c r="D465" s="95"/>
      <c r="E465" s="95"/>
      <c r="F465" s="95"/>
      <c r="G465" s="95"/>
      <c r="H465" s="1448" t="s">
        <v>58</v>
      </c>
      <c r="I465" s="1447">
        <f>SUM(I464:I464)</f>
        <v>1.2315043202071989</v>
      </c>
      <c r="J465" s="95"/>
      <c r="K465" s="95"/>
      <c r="L465" s="95"/>
      <c r="M465" s="95"/>
      <c r="N465" s="95"/>
      <c r="O465" s="93"/>
    </row>
    <row r="466" spans="1:15" x14ac:dyDescent="0.25">
      <c r="A466" s="107"/>
      <c r="B466" s="94"/>
      <c r="C466" s="94"/>
      <c r="D466" s="94"/>
      <c r="E466" s="94"/>
      <c r="F466" s="94"/>
      <c r="G466" s="94"/>
      <c r="H466" s="94"/>
      <c r="I466" s="99"/>
      <c r="J466" s="94"/>
      <c r="K466" s="94"/>
      <c r="L466" s="94"/>
      <c r="M466" s="94"/>
      <c r="N466" s="94"/>
      <c r="O466" s="93"/>
    </row>
    <row r="467" spans="1:15" x14ac:dyDescent="0.25">
      <c r="A467" s="107"/>
      <c r="B467" s="94"/>
      <c r="C467" s="94"/>
      <c r="D467" s="94"/>
      <c r="E467" s="94"/>
      <c r="F467" s="94"/>
      <c r="G467" s="94"/>
      <c r="H467" s="94"/>
      <c r="I467" s="99"/>
      <c r="J467" s="94"/>
      <c r="K467" s="94"/>
      <c r="L467" s="94"/>
      <c r="M467" s="94"/>
      <c r="N467" s="94"/>
      <c r="O467" s="93"/>
    </row>
    <row r="468" spans="1:15" x14ac:dyDescent="0.25">
      <c r="A468" s="107"/>
      <c r="B468" s="94"/>
      <c r="C468" s="94"/>
      <c r="D468" s="94"/>
      <c r="E468" s="94"/>
      <c r="F468" s="94"/>
      <c r="G468" s="94"/>
      <c r="H468" s="94"/>
      <c r="I468" s="99"/>
      <c r="J468" s="94"/>
      <c r="K468" s="94"/>
      <c r="L468" s="94"/>
      <c r="M468" s="94"/>
      <c r="N468" s="94"/>
      <c r="O468" s="93"/>
    </row>
    <row r="469" spans="1:15" ht="15.75" thickBot="1" x14ac:dyDescent="0.3">
      <c r="A469" s="92"/>
      <c r="B469" s="91"/>
      <c r="C469" s="91"/>
      <c r="D469" s="91"/>
      <c r="E469" s="91"/>
      <c r="F469" s="91"/>
      <c r="G469" s="91"/>
      <c r="H469" s="91"/>
      <c r="I469" s="91"/>
      <c r="J469" s="91"/>
      <c r="K469" s="91"/>
      <c r="L469" s="91"/>
      <c r="M469" s="91"/>
      <c r="N469" s="91"/>
      <c r="O469" s="90"/>
    </row>
    <row r="470" spans="1:15" ht="15.75" thickBot="1" x14ac:dyDescent="0.3">
      <c r="A470" s="107"/>
      <c r="B470" s="94"/>
      <c r="C470" s="94"/>
      <c r="D470" s="94"/>
      <c r="E470" s="94"/>
      <c r="F470" s="94"/>
      <c r="G470" s="94"/>
      <c r="H470" s="94"/>
      <c r="I470" s="94"/>
      <c r="J470" s="94"/>
      <c r="K470" s="94"/>
      <c r="L470" s="94"/>
      <c r="M470" s="94"/>
      <c r="N470" s="94"/>
      <c r="O470" s="94"/>
    </row>
    <row r="471" spans="1:15" x14ac:dyDescent="0.25">
      <c r="A471" s="141"/>
      <c r="B471" s="140"/>
      <c r="C471" s="140"/>
      <c r="D471" s="140"/>
      <c r="E471" s="140"/>
      <c r="F471" s="140"/>
      <c r="G471" s="140"/>
      <c r="H471" s="140"/>
      <c r="I471" s="140"/>
      <c r="J471" s="272"/>
      <c r="K471" s="140"/>
      <c r="L471" s="140"/>
      <c r="M471" s="140"/>
      <c r="N471" s="140"/>
      <c r="O471" s="139"/>
    </row>
    <row r="472" spans="1:15" x14ac:dyDescent="0.25">
      <c r="A472" s="1454" t="s">
        <v>57</v>
      </c>
      <c r="B472" s="133" t="s">
        <v>523</v>
      </c>
      <c r="C472" s="94"/>
      <c r="D472" s="94"/>
      <c r="E472" s="94"/>
      <c r="F472" s="94"/>
      <c r="G472" s="94"/>
      <c r="H472" s="94"/>
      <c r="I472" s="94"/>
      <c r="J472" s="1456" t="s">
        <v>51</v>
      </c>
      <c r="K472" s="138">
        <v>81</v>
      </c>
      <c r="L472" s="94"/>
      <c r="M472" s="1454" t="s">
        <v>113</v>
      </c>
      <c r="N472" s="100">
        <f>SU_03006_m+SU_03006_p</f>
        <v>1.6884895769514321</v>
      </c>
      <c r="O472" s="93"/>
    </row>
    <row r="473" spans="1:15" x14ac:dyDescent="0.25">
      <c r="A473" s="1454" t="s">
        <v>125</v>
      </c>
      <c r="B473" s="133" t="s">
        <v>5</v>
      </c>
      <c r="C473" s="94"/>
      <c r="D473" s="1454" t="s">
        <v>122</v>
      </c>
      <c r="E473" s="94"/>
      <c r="F473" s="94"/>
      <c r="G473" s="94"/>
      <c r="H473" s="94"/>
      <c r="I473" s="94"/>
      <c r="J473" s="94"/>
      <c r="K473" s="94"/>
      <c r="L473" s="94"/>
      <c r="M473" s="1454" t="s">
        <v>124</v>
      </c>
      <c r="N473" s="136">
        <v>6</v>
      </c>
      <c r="O473" s="93"/>
    </row>
    <row r="474" spans="1:15" x14ac:dyDescent="0.25">
      <c r="A474" s="1454" t="s">
        <v>123</v>
      </c>
      <c r="B474" s="270" t="s">
        <v>2473</v>
      </c>
      <c r="C474" s="94"/>
      <c r="D474" s="1454" t="s">
        <v>119</v>
      </c>
      <c r="E474" s="94"/>
      <c r="F474" s="94"/>
      <c r="G474" s="94"/>
      <c r="H474" s="94"/>
      <c r="I474" s="94"/>
      <c r="J474" s="1455" t="s">
        <v>122</v>
      </c>
      <c r="K474" s="94"/>
      <c r="L474" s="94"/>
      <c r="M474" s="94"/>
      <c r="N474" s="94"/>
      <c r="O474" s="93"/>
    </row>
    <row r="475" spans="1:15" x14ac:dyDescent="0.25">
      <c r="A475" s="1454" t="s">
        <v>114</v>
      </c>
      <c r="B475" s="135" t="s">
        <v>1104</v>
      </c>
      <c r="C475" s="94"/>
      <c r="D475" s="1454" t="s">
        <v>116</v>
      </c>
      <c r="E475" s="94"/>
      <c r="F475" s="94"/>
      <c r="G475" s="94"/>
      <c r="H475" s="94"/>
      <c r="I475" s="94"/>
      <c r="J475" s="1455" t="s">
        <v>119</v>
      </c>
      <c r="K475" s="94"/>
      <c r="L475" s="94"/>
      <c r="M475" s="1454" t="s">
        <v>118</v>
      </c>
      <c r="N475" s="100">
        <f>N473*N472</f>
        <v>10.130937461708593</v>
      </c>
      <c r="O475" s="93"/>
    </row>
    <row r="476" spans="1:15" x14ac:dyDescent="0.25">
      <c r="A476" s="1454" t="s">
        <v>121</v>
      </c>
      <c r="B476" s="269" t="s">
        <v>2648</v>
      </c>
      <c r="C476" s="94"/>
      <c r="D476" s="94"/>
      <c r="E476" s="94"/>
      <c r="F476" s="94"/>
      <c r="G476" s="94"/>
      <c r="H476" s="94"/>
      <c r="I476" s="94"/>
      <c r="J476" s="1455" t="s">
        <v>116</v>
      </c>
      <c r="K476" s="94"/>
      <c r="L476" s="94"/>
      <c r="M476" s="94"/>
      <c r="N476" s="94"/>
      <c r="O476" s="93"/>
    </row>
    <row r="477" spans="1:15" x14ac:dyDescent="0.25">
      <c r="A477" s="1454" t="s">
        <v>117</v>
      </c>
      <c r="B477" s="133" t="s">
        <v>23</v>
      </c>
      <c r="C477" s="94"/>
      <c r="D477" s="94"/>
      <c r="E477" s="94"/>
      <c r="F477" s="94"/>
      <c r="G477" s="94"/>
      <c r="H477" s="94"/>
      <c r="I477" s="94"/>
      <c r="J477" s="94"/>
      <c r="K477" s="94"/>
      <c r="L477" s="94"/>
      <c r="M477" s="94"/>
      <c r="N477" s="94"/>
      <c r="O477" s="93"/>
    </row>
    <row r="478" spans="1:15" x14ac:dyDescent="0.25">
      <c r="A478" s="1454" t="s">
        <v>115</v>
      </c>
      <c r="B478" s="133"/>
      <c r="C478" s="94"/>
      <c r="D478" s="94"/>
      <c r="E478" s="94"/>
      <c r="F478" s="94"/>
      <c r="G478" s="94"/>
      <c r="H478" s="94"/>
      <c r="I478" s="94"/>
      <c r="J478" s="94"/>
      <c r="K478" s="94"/>
      <c r="L478" s="94"/>
      <c r="M478" s="94"/>
      <c r="N478" s="94"/>
      <c r="O478" s="93"/>
    </row>
    <row r="479" spans="1:15" x14ac:dyDescent="0.25">
      <c r="A479" s="266"/>
      <c r="B479" s="265"/>
      <c r="C479" s="265"/>
      <c r="D479" s="265"/>
      <c r="E479" s="265"/>
      <c r="F479" s="94"/>
      <c r="G479" s="94"/>
      <c r="H479" s="94"/>
      <c r="I479" s="94"/>
      <c r="J479" s="94"/>
      <c r="K479" s="94"/>
      <c r="L479" s="94"/>
      <c r="M479" s="94"/>
      <c r="N479" s="94"/>
      <c r="O479" s="93"/>
    </row>
    <row r="480" spans="1:15" x14ac:dyDescent="0.25">
      <c r="A480" s="1453" t="s">
        <v>67</v>
      </c>
      <c r="B480" s="1452" t="s">
        <v>112</v>
      </c>
      <c r="C480" s="1452" t="s">
        <v>66</v>
      </c>
      <c r="D480" s="1452" t="s">
        <v>65</v>
      </c>
      <c r="E480" s="1452" t="s">
        <v>81</v>
      </c>
      <c r="F480" s="1465" t="s">
        <v>80</v>
      </c>
      <c r="G480" s="1465" t="s">
        <v>79</v>
      </c>
      <c r="H480" s="1465" t="s">
        <v>78</v>
      </c>
      <c r="I480" s="1465" t="s">
        <v>111</v>
      </c>
      <c r="J480" s="1465" t="s">
        <v>110</v>
      </c>
      <c r="K480" s="1465" t="s">
        <v>109</v>
      </c>
      <c r="L480" s="1465" t="s">
        <v>108</v>
      </c>
      <c r="M480" s="1465" t="s">
        <v>40</v>
      </c>
      <c r="N480" s="1465" t="s">
        <v>58</v>
      </c>
      <c r="O480" s="93"/>
    </row>
    <row r="481" spans="1:15" ht="30" x14ac:dyDescent="0.25">
      <c r="A481" s="1458">
        <v>10</v>
      </c>
      <c r="B481" s="1460" t="s">
        <v>729</v>
      </c>
      <c r="C481" s="1508"/>
      <c r="D481" s="1459">
        <v>2.25</v>
      </c>
      <c r="E481" s="1458">
        <v>14</v>
      </c>
      <c r="F481" s="1458" t="s">
        <v>68</v>
      </c>
      <c r="G481" s="1458"/>
      <c r="H481" s="1470"/>
      <c r="I481" s="1473" t="s">
        <v>2620</v>
      </c>
      <c r="J481" s="1472">
        <f>PI()*0.007*0.007</f>
        <v>1.5393804002589986E-4</v>
      </c>
      <c r="K481" s="1471">
        <f>0.004</f>
        <v>4.0000000000000001E-3</v>
      </c>
      <c r="L481" s="1470">
        <v>7860</v>
      </c>
      <c r="M481" s="1469">
        <v>1</v>
      </c>
      <c r="N481" s="1505">
        <f>IF(J481="",D481*M481,D481*J481*K481*L481*M481)</f>
        <v>1.0889576951432157E-2</v>
      </c>
      <c r="O481" s="143"/>
    </row>
    <row r="482" spans="1:15" x14ac:dyDescent="0.25">
      <c r="A482" s="98"/>
      <c r="B482" s="95"/>
      <c r="C482" s="95"/>
      <c r="D482" s="95"/>
      <c r="E482" s="95"/>
      <c r="F482" s="95"/>
      <c r="G482" s="95"/>
      <c r="H482" s="95"/>
      <c r="I482" s="95"/>
      <c r="J482" s="95"/>
      <c r="K482" s="95"/>
      <c r="L482" s="95"/>
      <c r="M482" s="1467" t="s">
        <v>58</v>
      </c>
      <c r="N482" s="1447">
        <f>SUM(N481:N481)</f>
        <v>1.0889576951432157E-2</v>
      </c>
      <c r="O482" s="93"/>
    </row>
    <row r="483" spans="1:15" x14ac:dyDescent="0.25">
      <c r="A483" s="107"/>
      <c r="B483" s="94"/>
      <c r="C483" s="94"/>
      <c r="D483" s="94"/>
      <c r="E483" s="94"/>
      <c r="F483" s="94"/>
      <c r="G483" s="94"/>
      <c r="H483" s="94"/>
      <c r="I483" s="94"/>
      <c r="J483" s="94"/>
      <c r="K483" s="94"/>
      <c r="L483" s="94"/>
      <c r="M483" s="94"/>
      <c r="N483" s="94"/>
      <c r="O483" s="93"/>
    </row>
    <row r="484" spans="1:15" x14ac:dyDescent="0.25">
      <c r="A484" s="1466" t="s">
        <v>67</v>
      </c>
      <c r="B484" s="1465" t="s">
        <v>106</v>
      </c>
      <c r="C484" s="1465" t="s">
        <v>66</v>
      </c>
      <c r="D484" s="1465" t="s">
        <v>65</v>
      </c>
      <c r="E484" s="1465" t="s">
        <v>64</v>
      </c>
      <c r="F484" s="1465" t="s">
        <v>40</v>
      </c>
      <c r="G484" s="1465" t="s">
        <v>105</v>
      </c>
      <c r="H484" s="1465" t="s">
        <v>104</v>
      </c>
      <c r="I484" s="1465" t="s">
        <v>58</v>
      </c>
      <c r="J484" s="95"/>
      <c r="K484" s="95"/>
      <c r="L484" s="95"/>
      <c r="M484" s="95"/>
      <c r="N484" s="95"/>
      <c r="O484" s="93"/>
    </row>
    <row r="485" spans="1:15" ht="30" x14ac:dyDescent="0.25">
      <c r="A485" s="1497">
        <v>10</v>
      </c>
      <c r="B485" s="1498" t="s">
        <v>516</v>
      </c>
      <c r="C485" s="1503" t="s">
        <v>528</v>
      </c>
      <c r="D485" s="1501">
        <v>1.3</v>
      </c>
      <c r="E485" s="1498" t="s">
        <v>64</v>
      </c>
      <c r="F485" s="1544">
        <v>1</v>
      </c>
      <c r="G485" s="1544"/>
      <c r="H485" s="1544"/>
      <c r="I485" s="1511">
        <f>IF(H485="",D485*F485,D485*F485*H485)</f>
        <v>1.3</v>
      </c>
      <c r="J485" s="142"/>
      <c r="K485" s="142"/>
      <c r="L485" s="142"/>
      <c r="M485" s="142"/>
      <c r="N485" s="142"/>
      <c r="O485" s="120"/>
    </row>
    <row r="486" spans="1:15" x14ac:dyDescent="0.25">
      <c r="A486" s="1550">
        <v>20</v>
      </c>
      <c r="B486" s="1550" t="s">
        <v>514</v>
      </c>
      <c r="C486" s="1550" t="s">
        <v>1263</v>
      </c>
      <c r="D486" s="1551">
        <v>0.04</v>
      </c>
      <c r="E486" s="1550" t="s">
        <v>512</v>
      </c>
      <c r="F486" s="1541">
        <v>0.23</v>
      </c>
      <c r="G486" s="1541" t="s">
        <v>2557</v>
      </c>
      <c r="H486" s="1541">
        <v>3</v>
      </c>
      <c r="I486" s="1511">
        <f>IF(H486="",D486*F486,D486*F486*H486)</f>
        <v>2.76E-2</v>
      </c>
      <c r="J486" s="94"/>
      <c r="K486" s="94"/>
      <c r="L486" s="94"/>
      <c r="M486" s="94"/>
      <c r="N486" s="94"/>
      <c r="O486" s="93"/>
    </row>
    <row r="487" spans="1:15" x14ac:dyDescent="0.25">
      <c r="A487" s="1497">
        <v>30</v>
      </c>
      <c r="B487" s="1497" t="s">
        <v>2177</v>
      </c>
      <c r="C487" s="1497" t="s">
        <v>1252</v>
      </c>
      <c r="D487" s="1552">
        <v>0.35</v>
      </c>
      <c r="E487" s="1497" t="s">
        <v>294</v>
      </c>
      <c r="F487" s="1543">
        <v>1</v>
      </c>
      <c r="G487" s="1543"/>
      <c r="H487" s="1543"/>
      <c r="I487" s="1562">
        <f>D487*F487</f>
        <v>0.35</v>
      </c>
      <c r="J487" s="99"/>
      <c r="K487" s="99"/>
      <c r="L487" s="99"/>
      <c r="M487" s="99"/>
      <c r="N487" s="99"/>
      <c r="O487" s="130"/>
    </row>
    <row r="488" spans="1:15" x14ac:dyDescent="0.25">
      <c r="A488" s="98"/>
      <c r="B488" s="95"/>
      <c r="C488" s="95"/>
      <c r="D488" s="95"/>
      <c r="E488" s="95"/>
      <c r="F488" s="95"/>
      <c r="G488" s="95"/>
      <c r="H488" s="1448" t="s">
        <v>58</v>
      </c>
      <c r="I488" s="1447">
        <f>SUM(I485:I487)</f>
        <v>1.6776</v>
      </c>
      <c r="J488" s="95"/>
      <c r="K488" s="95"/>
      <c r="L488" s="95"/>
      <c r="M488" s="95"/>
      <c r="N488" s="95"/>
      <c r="O488" s="93"/>
    </row>
    <row r="489" spans="1:15" x14ac:dyDescent="0.25">
      <c r="A489" s="107"/>
      <c r="B489" s="94"/>
      <c r="C489" s="94"/>
      <c r="D489" s="94"/>
      <c r="E489" s="94"/>
      <c r="F489" s="94"/>
      <c r="G489" s="94"/>
      <c r="H489" s="94"/>
      <c r="I489" s="99"/>
      <c r="J489" s="94"/>
      <c r="K489" s="94"/>
      <c r="L489" s="94"/>
      <c r="M489" s="94"/>
      <c r="N489" s="94"/>
      <c r="O489" s="93"/>
    </row>
    <row r="490" spans="1:15" ht="15.75" thickBot="1" x14ac:dyDescent="0.3">
      <c r="A490" s="92"/>
      <c r="B490" s="91"/>
      <c r="C490" s="91"/>
      <c r="D490" s="91"/>
      <c r="E490" s="91"/>
      <c r="F490" s="91"/>
      <c r="G490" s="91"/>
      <c r="H490" s="91"/>
      <c r="I490" s="91"/>
      <c r="J490" s="91"/>
      <c r="K490" s="91"/>
      <c r="L490" s="91"/>
      <c r="M490" s="91"/>
      <c r="N490" s="91"/>
      <c r="O490" s="90"/>
    </row>
    <row r="491" spans="1:15" ht="15.75" thickBot="1" x14ac:dyDescent="0.3"/>
    <row r="492" spans="1:15" x14ac:dyDescent="0.25">
      <c r="A492" s="141"/>
      <c r="B492" s="140"/>
      <c r="C492" s="140"/>
      <c r="D492" s="140"/>
      <c r="E492" s="140"/>
      <c r="F492" s="140"/>
      <c r="G492" s="140"/>
      <c r="H492" s="140"/>
      <c r="I492" s="140"/>
      <c r="J492" s="272"/>
      <c r="K492" s="140"/>
      <c r="L492" s="140"/>
      <c r="M492" s="140"/>
      <c r="N492" s="140"/>
      <c r="O492" s="139"/>
    </row>
    <row r="493" spans="1:15" x14ac:dyDescent="0.25">
      <c r="A493" s="1454" t="s">
        <v>57</v>
      </c>
      <c r="B493" s="133" t="s">
        <v>523</v>
      </c>
      <c r="C493" s="94"/>
      <c r="D493" s="94"/>
      <c r="E493" s="94"/>
      <c r="F493" s="94"/>
      <c r="G493" s="94"/>
      <c r="H493" s="94"/>
      <c r="I493" s="94"/>
      <c r="J493" s="1456" t="s">
        <v>51</v>
      </c>
      <c r="K493" s="138">
        <v>81</v>
      </c>
      <c r="L493" s="94"/>
      <c r="M493" s="1454" t="s">
        <v>113</v>
      </c>
      <c r="N493" s="100">
        <f>SU_03007_m+SU_03007_p</f>
        <v>6.3175974999999989</v>
      </c>
      <c r="O493" s="93"/>
    </row>
    <row r="494" spans="1:15" x14ac:dyDescent="0.25">
      <c r="A494" s="1454" t="s">
        <v>125</v>
      </c>
      <c r="B494" s="133" t="s">
        <v>5</v>
      </c>
      <c r="C494" s="94"/>
      <c r="D494" s="1454" t="s">
        <v>122</v>
      </c>
      <c r="E494" s="270" t="s">
        <v>2525</v>
      </c>
      <c r="F494" s="94"/>
      <c r="G494" s="94"/>
      <c r="H494" s="94"/>
      <c r="I494" s="94"/>
      <c r="J494" s="94"/>
      <c r="K494" s="94"/>
      <c r="L494" s="94"/>
      <c r="M494" s="1454" t="s">
        <v>124</v>
      </c>
      <c r="N494" s="136">
        <v>1</v>
      </c>
      <c r="O494" s="93"/>
    </row>
    <row r="495" spans="1:15" x14ac:dyDescent="0.25">
      <c r="A495" s="1454" t="s">
        <v>123</v>
      </c>
      <c r="B495" s="270" t="s">
        <v>2473</v>
      </c>
      <c r="C495" s="94"/>
      <c r="D495" s="1454" t="s">
        <v>119</v>
      </c>
      <c r="E495" s="94"/>
      <c r="F495" s="94"/>
      <c r="G495" s="94"/>
      <c r="H495" s="94"/>
      <c r="I495" s="94"/>
      <c r="J495" s="1455" t="s">
        <v>122</v>
      </c>
      <c r="K495" s="94"/>
      <c r="L495" s="94"/>
      <c r="M495" s="94"/>
      <c r="N495" s="94"/>
      <c r="O495" s="93"/>
    </row>
    <row r="496" spans="1:15" x14ac:dyDescent="0.25">
      <c r="A496" s="1454" t="s">
        <v>114</v>
      </c>
      <c r="B496" s="135" t="s">
        <v>2468</v>
      </c>
      <c r="C496" s="94"/>
      <c r="D496" s="1454" t="s">
        <v>116</v>
      </c>
      <c r="E496" s="94"/>
      <c r="F496" s="94"/>
      <c r="G496" s="94"/>
      <c r="H496" s="94"/>
      <c r="I496" s="94"/>
      <c r="J496" s="1455" t="s">
        <v>119</v>
      </c>
      <c r="K496" s="94"/>
      <c r="L496" s="94"/>
      <c r="M496" s="1454" t="s">
        <v>118</v>
      </c>
      <c r="N496" s="100">
        <f>N494*N493</f>
        <v>6.3175974999999989</v>
      </c>
      <c r="O496" s="93"/>
    </row>
    <row r="497" spans="1:15" x14ac:dyDescent="0.25">
      <c r="A497" s="1454" t="s">
        <v>121</v>
      </c>
      <c r="B497" s="269" t="s">
        <v>2647</v>
      </c>
      <c r="C497" s="94"/>
      <c r="D497" s="94"/>
      <c r="E497" s="94"/>
      <c r="F497" s="94"/>
      <c r="G497" s="94"/>
      <c r="H497" s="94"/>
      <c r="I497" s="94"/>
      <c r="J497" s="1455" t="s">
        <v>116</v>
      </c>
      <c r="K497" s="94"/>
      <c r="L497" s="94"/>
      <c r="M497" s="94"/>
      <c r="N497" s="94"/>
      <c r="O497" s="93"/>
    </row>
    <row r="498" spans="1:15" x14ac:dyDescent="0.25">
      <c r="A498" s="1454" t="s">
        <v>117</v>
      </c>
      <c r="B498" s="133" t="s">
        <v>23</v>
      </c>
      <c r="C498" s="94"/>
      <c r="D498" s="94"/>
      <c r="E498" s="94"/>
      <c r="F498" s="94"/>
      <c r="G498" s="94"/>
      <c r="H498" s="94"/>
      <c r="I498" s="94"/>
      <c r="J498" s="94"/>
      <c r="K498" s="94"/>
      <c r="L498" s="94"/>
      <c r="M498" s="94"/>
      <c r="N498" s="94"/>
      <c r="O498" s="93"/>
    </row>
    <row r="499" spans="1:15" x14ac:dyDescent="0.25">
      <c r="A499" s="1454" t="s">
        <v>115</v>
      </c>
      <c r="B499" s="133" t="s">
        <v>2590</v>
      </c>
      <c r="C499" s="94"/>
      <c r="D499" s="94"/>
      <c r="E499" s="94"/>
      <c r="F499" s="94"/>
      <c r="G499" s="94"/>
      <c r="H499" s="94"/>
      <c r="I499" s="94"/>
      <c r="J499" s="94"/>
      <c r="K499" s="94"/>
      <c r="L499" s="94"/>
      <c r="M499" s="94"/>
      <c r="N499" s="94"/>
      <c r="O499" s="93"/>
    </row>
    <row r="500" spans="1:15" x14ac:dyDescent="0.25">
      <c r="A500" s="266"/>
      <c r="B500" s="265"/>
      <c r="C500" s="265"/>
      <c r="D500" s="265"/>
      <c r="E500" s="265"/>
      <c r="F500" s="94"/>
      <c r="G500" s="94"/>
      <c r="H500" s="94"/>
      <c r="I500" s="94"/>
      <c r="J500" s="94"/>
      <c r="K500" s="94"/>
      <c r="L500" s="94"/>
      <c r="M500" s="94"/>
      <c r="N500" s="94"/>
      <c r="O500" s="93"/>
    </row>
    <row r="501" spans="1:15" x14ac:dyDescent="0.25">
      <c r="A501" s="1453" t="s">
        <v>67</v>
      </c>
      <c r="B501" s="1452" t="s">
        <v>112</v>
      </c>
      <c r="C501" s="1452" t="s">
        <v>66</v>
      </c>
      <c r="D501" s="1452" t="s">
        <v>65</v>
      </c>
      <c r="E501" s="1452" t="s">
        <v>81</v>
      </c>
      <c r="F501" s="1465" t="s">
        <v>80</v>
      </c>
      <c r="G501" s="1465" t="s">
        <v>79</v>
      </c>
      <c r="H501" s="1465" t="s">
        <v>78</v>
      </c>
      <c r="I501" s="1465" t="s">
        <v>111</v>
      </c>
      <c r="J501" s="1465" t="s">
        <v>110</v>
      </c>
      <c r="K501" s="1465" t="s">
        <v>109</v>
      </c>
      <c r="L501" s="1465" t="s">
        <v>108</v>
      </c>
      <c r="M501" s="1465" t="s">
        <v>40</v>
      </c>
      <c r="N501" s="1465" t="s">
        <v>58</v>
      </c>
      <c r="O501" s="93"/>
    </row>
    <row r="502" spans="1:15" ht="30" x14ac:dyDescent="0.25">
      <c r="A502" s="1458">
        <v>10</v>
      </c>
      <c r="B502" s="1475" t="s">
        <v>519</v>
      </c>
      <c r="C502" s="1508" t="s">
        <v>2561</v>
      </c>
      <c r="D502" s="1507">
        <v>2.25</v>
      </c>
      <c r="E502" s="1458">
        <v>25</v>
      </c>
      <c r="F502" s="1458" t="s">
        <v>68</v>
      </c>
      <c r="G502" s="1458">
        <v>20</v>
      </c>
      <c r="H502" s="1470" t="s">
        <v>68</v>
      </c>
      <c r="I502" s="1473" t="s">
        <v>2646</v>
      </c>
      <c r="J502" s="1476">
        <f>0.025*0.02</f>
        <v>5.0000000000000001E-4</v>
      </c>
      <c r="K502" s="1471">
        <v>4.7E-2</v>
      </c>
      <c r="L502" s="1470">
        <v>7860</v>
      </c>
      <c r="M502" s="1469">
        <v>1</v>
      </c>
      <c r="N502" s="1505">
        <f>IF(J502="",D502*M502,D502*J502*K502*L502*M502)</f>
        <v>0.41559750000000001</v>
      </c>
      <c r="O502" s="143"/>
    </row>
    <row r="503" spans="1:15" x14ac:dyDescent="0.25">
      <c r="A503" s="98"/>
      <c r="B503" s="95"/>
      <c r="C503" s="95"/>
      <c r="D503" s="95"/>
      <c r="E503" s="95"/>
      <c r="F503" s="95"/>
      <c r="G503" s="95"/>
      <c r="H503" s="95"/>
      <c r="I503" s="95"/>
      <c r="J503" s="95"/>
      <c r="K503" s="95"/>
      <c r="L503" s="95"/>
      <c r="M503" s="1467" t="s">
        <v>58</v>
      </c>
      <c r="N503" s="1447">
        <f>SUM(N502:N502)</f>
        <v>0.41559750000000001</v>
      </c>
      <c r="O503" s="93"/>
    </row>
    <row r="504" spans="1:15" x14ac:dyDescent="0.25">
      <c r="A504" s="107"/>
      <c r="B504" s="94"/>
      <c r="C504" s="94"/>
      <c r="D504" s="94"/>
      <c r="E504" s="94"/>
      <c r="F504" s="94"/>
      <c r="G504" s="94"/>
      <c r="H504" s="94"/>
      <c r="I504" s="94"/>
      <c r="J504" s="94"/>
      <c r="K504" s="94"/>
      <c r="L504" s="94"/>
      <c r="M504" s="94"/>
      <c r="N504" s="94"/>
      <c r="O504" s="93"/>
    </row>
    <row r="505" spans="1:15" x14ac:dyDescent="0.25">
      <c r="A505" s="1466" t="s">
        <v>67</v>
      </c>
      <c r="B505" s="1465" t="s">
        <v>106</v>
      </c>
      <c r="C505" s="1465" t="s">
        <v>66</v>
      </c>
      <c r="D505" s="1465" t="s">
        <v>65</v>
      </c>
      <c r="E505" s="1465" t="s">
        <v>64</v>
      </c>
      <c r="F505" s="1465" t="s">
        <v>40</v>
      </c>
      <c r="G505" s="1465" t="s">
        <v>105</v>
      </c>
      <c r="H505" s="1465" t="s">
        <v>104</v>
      </c>
      <c r="I505" s="1465" t="s">
        <v>58</v>
      </c>
      <c r="J505" s="95"/>
      <c r="K505" s="95"/>
      <c r="L505" s="95"/>
      <c r="M505" s="95"/>
      <c r="N505" s="95"/>
      <c r="O505" s="93"/>
    </row>
    <row r="506" spans="1:15" ht="30" x14ac:dyDescent="0.25">
      <c r="A506" s="1497">
        <v>10</v>
      </c>
      <c r="B506" s="1498" t="s">
        <v>516</v>
      </c>
      <c r="C506" s="1503" t="s">
        <v>528</v>
      </c>
      <c r="D506" s="1501">
        <v>1.3</v>
      </c>
      <c r="E506" s="1498" t="s">
        <v>64</v>
      </c>
      <c r="F506" s="1497">
        <v>1</v>
      </c>
      <c r="G506" s="1497"/>
      <c r="H506" s="1497"/>
      <c r="I506" s="1511">
        <f t="shared" ref="I506:I512" si="10">IF(H506="",D506*F506,D506*F506*H506)</f>
        <v>1.3</v>
      </c>
      <c r="J506" s="95"/>
      <c r="K506" s="95"/>
      <c r="L506" s="95"/>
      <c r="M506" s="95"/>
      <c r="N506" s="95"/>
      <c r="O506" s="93"/>
    </row>
    <row r="507" spans="1:15" x14ac:dyDescent="0.25">
      <c r="A507" s="1550">
        <v>20</v>
      </c>
      <c r="B507" s="1550" t="s">
        <v>514</v>
      </c>
      <c r="C507" s="1550" t="s">
        <v>1263</v>
      </c>
      <c r="D507" s="1551">
        <v>0.04</v>
      </c>
      <c r="E507" s="1550" t="s">
        <v>512</v>
      </c>
      <c r="F507" s="1550">
        <v>14.6</v>
      </c>
      <c r="G507" s="1550" t="s">
        <v>2557</v>
      </c>
      <c r="H507" s="1550">
        <v>3</v>
      </c>
      <c r="I507" s="1511">
        <f t="shared" si="10"/>
        <v>1.7519999999999998</v>
      </c>
      <c r="J507" s="142"/>
      <c r="K507" s="142"/>
      <c r="L507" s="142"/>
      <c r="M507" s="142"/>
      <c r="N507" s="142"/>
      <c r="O507" s="120"/>
    </row>
    <row r="508" spans="1:15" x14ac:dyDescent="0.25">
      <c r="A508" s="1497">
        <v>30</v>
      </c>
      <c r="B508" s="1497" t="s">
        <v>2177</v>
      </c>
      <c r="C508" s="1497" t="s">
        <v>1252</v>
      </c>
      <c r="D508" s="1552">
        <v>0.35</v>
      </c>
      <c r="E508" s="1497" t="s">
        <v>294</v>
      </c>
      <c r="F508" s="1497">
        <v>1</v>
      </c>
      <c r="G508" s="1497"/>
      <c r="H508" s="1497"/>
      <c r="I508" s="1511">
        <f t="shared" si="10"/>
        <v>0.35</v>
      </c>
      <c r="J508" s="94"/>
      <c r="K508" s="94"/>
      <c r="L508" s="94"/>
      <c r="M508" s="94"/>
      <c r="N508" s="94"/>
      <c r="O508" s="93"/>
    </row>
    <row r="509" spans="1:15" x14ac:dyDescent="0.25">
      <c r="A509" s="1550">
        <v>40</v>
      </c>
      <c r="B509" s="1550" t="s">
        <v>2536</v>
      </c>
      <c r="C509" s="1550"/>
      <c r="D509" s="1551">
        <v>0.65</v>
      </c>
      <c r="E509" s="1550" t="s">
        <v>64</v>
      </c>
      <c r="F509" s="1550">
        <v>1</v>
      </c>
      <c r="G509" s="1550"/>
      <c r="H509" s="1550"/>
      <c r="I509" s="1511">
        <f t="shared" si="10"/>
        <v>0.65</v>
      </c>
      <c r="J509" s="99"/>
      <c r="K509" s="99"/>
      <c r="L509" s="99"/>
      <c r="M509" s="99"/>
      <c r="N509" s="99"/>
      <c r="O509" s="130"/>
    </row>
    <row r="510" spans="1:15" x14ac:dyDescent="0.25">
      <c r="A510" s="1550">
        <v>50</v>
      </c>
      <c r="B510" s="1550" t="s">
        <v>514</v>
      </c>
      <c r="C510" s="1550" t="s">
        <v>2559</v>
      </c>
      <c r="D510" s="1551">
        <v>0.04</v>
      </c>
      <c r="E510" s="1550" t="s">
        <v>512</v>
      </c>
      <c r="F510" s="1550">
        <v>9.3000000000000007</v>
      </c>
      <c r="G510" s="1550" t="s">
        <v>2557</v>
      </c>
      <c r="H510" s="1550">
        <v>3</v>
      </c>
      <c r="I510" s="1511">
        <f t="shared" si="10"/>
        <v>1.1160000000000001</v>
      </c>
      <c r="J510" s="94"/>
      <c r="K510" s="94"/>
      <c r="L510" s="94"/>
      <c r="M510" s="94"/>
      <c r="N510" s="94"/>
      <c r="O510" s="93"/>
    </row>
    <row r="511" spans="1:15" x14ac:dyDescent="0.25">
      <c r="A511" s="1550">
        <v>60</v>
      </c>
      <c r="B511" s="1550" t="s">
        <v>2536</v>
      </c>
      <c r="C511" s="1550"/>
      <c r="D511" s="1551">
        <v>0.65</v>
      </c>
      <c r="E511" s="1550" t="s">
        <v>64</v>
      </c>
      <c r="F511" s="1550">
        <v>1</v>
      </c>
      <c r="G511" s="1550"/>
      <c r="H511" s="1550"/>
      <c r="I511" s="1511">
        <f t="shared" si="10"/>
        <v>0.65</v>
      </c>
      <c r="J511" s="94"/>
      <c r="K511" s="94"/>
      <c r="L511" s="94"/>
      <c r="M511" s="94"/>
      <c r="N511" s="94"/>
      <c r="O511" s="93"/>
    </row>
    <row r="512" spans="1:15" x14ac:dyDescent="0.25">
      <c r="A512" s="1541">
        <v>70</v>
      </c>
      <c r="B512" s="1541" t="s">
        <v>514</v>
      </c>
      <c r="C512" s="1541" t="s">
        <v>2618</v>
      </c>
      <c r="D512" s="1542">
        <v>0.04</v>
      </c>
      <c r="E512" s="1541" t="s">
        <v>512</v>
      </c>
      <c r="F512" s="1541">
        <v>0.7</v>
      </c>
      <c r="G512" s="1541" t="s">
        <v>2557</v>
      </c>
      <c r="H512" s="1541">
        <v>3</v>
      </c>
      <c r="I512" s="1511">
        <f t="shared" si="10"/>
        <v>8.3999999999999991E-2</v>
      </c>
      <c r="J512" s="94"/>
      <c r="K512" s="94"/>
      <c r="L512" s="94"/>
      <c r="M512" s="94"/>
      <c r="N512" s="94"/>
      <c r="O512" s="93"/>
    </row>
    <row r="513" spans="1:15" x14ac:dyDescent="0.25">
      <c r="A513" s="98"/>
      <c r="B513" s="95"/>
      <c r="C513" s="95"/>
      <c r="D513" s="95"/>
      <c r="E513" s="95"/>
      <c r="F513" s="95"/>
      <c r="G513" s="95"/>
      <c r="H513" s="1448" t="s">
        <v>58</v>
      </c>
      <c r="I513" s="1447">
        <f>SUM(I506:I512)</f>
        <v>5.9019999999999992</v>
      </c>
      <c r="J513" s="95"/>
      <c r="K513" s="95"/>
      <c r="L513" s="95"/>
      <c r="M513" s="95"/>
      <c r="N513" s="95"/>
      <c r="O513" s="93"/>
    </row>
    <row r="514" spans="1:15" ht="15.75" thickBot="1" x14ac:dyDescent="0.3">
      <c r="A514" s="92"/>
      <c r="B514" s="91"/>
      <c r="C514" s="91"/>
      <c r="D514" s="91"/>
      <c r="E514" s="91"/>
      <c r="F514" s="91"/>
      <c r="G514" s="91"/>
      <c r="H514" s="91"/>
      <c r="I514" s="91"/>
      <c r="J514" s="91"/>
      <c r="K514" s="91"/>
      <c r="L514" s="91"/>
      <c r="M514" s="91"/>
      <c r="N514" s="91"/>
      <c r="O514" s="90"/>
    </row>
    <row r="515" spans="1:15" ht="15.75" thickBot="1" x14ac:dyDescent="0.3"/>
    <row r="516" spans="1:15" x14ac:dyDescent="0.25">
      <c r="A516" s="141"/>
      <c r="B516" s="140"/>
      <c r="C516" s="140"/>
      <c r="D516" s="140"/>
      <c r="E516" s="140"/>
      <c r="F516" s="140"/>
      <c r="G516" s="140"/>
      <c r="H516" s="140"/>
      <c r="I516" s="140"/>
      <c r="J516" s="272"/>
      <c r="K516" s="140"/>
      <c r="L516" s="140"/>
      <c r="M516" s="140"/>
      <c r="N516" s="140"/>
      <c r="O516" s="139"/>
    </row>
    <row r="517" spans="1:15" x14ac:dyDescent="0.25">
      <c r="A517" s="1454" t="s">
        <v>57</v>
      </c>
      <c r="B517" s="133" t="s">
        <v>523</v>
      </c>
      <c r="C517" s="94"/>
      <c r="D517" s="94"/>
      <c r="E517" s="94"/>
      <c r="F517" s="94"/>
      <c r="G517" s="94"/>
      <c r="H517" s="94"/>
      <c r="I517" s="94"/>
      <c r="J517" s="1456" t="s">
        <v>51</v>
      </c>
      <c r="K517" s="138">
        <v>81</v>
      </c>
      <c r="L517" s="94"/>
      <c r="M517" s="1454" t="s">
        <v>113</v>
      </c>
      <c r="N517" s="100">
        <f>SU_03008_m+SU_03008_p</f>
        <v>6.7843375000000012</v>
      </c>
      <c r="O517" s="93"/>
    </row>
    <row r="518" spans="1:15" x14ac:dyDescent="0.25">
      <c r="A518" s="1454" t="s">
        <v>125</v>
      </c>
      <c r="B518" s="133" t="s">
        <v>5</v>
      </c>
      <c r="C518" s="94"/>
      <c r="D518" s="1454" t="s">
        <v>122</v>
      </c>
      <c r="E518" s="270" t="s">
        <v>2525</v>
      </c>
      <c r="F518" s="94"/>
      <c r="G518" s="94"/>
      <c r="H518" s="94"/>
      <c r="I518" s="94"/>
      <c r="J518" s="94"/>
      <c r="K518" s="94"/>
      <c r="L518" s="94"/>
      <c r="M518" s="1454" t="s">
        <v>124</v>
      </c>
      <c r="N518" s="136">
        <v>1</v>
      </c>
      <c r="O518" s="93"/>
    </row>
    <row r="519" spans="1:15" x14ac:dyDescent="0.25">
      <c r="A519" s="1454" t="s">
        <v>123</v>
      </c>
      <c r="B519" s="270" t="s">
        <v>2473</v>
      </c>
      <c r="C519" s="94"/>
      <c r="D519" s="1454" t="s">
        <v>119</v>
      </c>
      <c r="E519" s="94"/>
      <c r="F519" s="94"/>
      <c r="G519" s="94"/>
      <c r="H519" s="94"/>
      <c r="I519" s="94"/>
      <c r="J519" s="1455" t="s">
        <v>122</v>
      </c>
      <c r="K519" s="94"/>
      <c r="L519" s="94"/>
      <c r="M519" s="94"/>
      <c r="N519" s="94"/>
      <c r="O519" s="93"/>
    </row>
    <row r="520" spans="1:15" x14ac:dyDescent="0.25">
      <c r="A520" s="1454" t="s">
        <v>114</v>
      </c>
      <c r="B520" s="135" t="s">
        <v>2467</v>
      </c>
      <c r="C520" s="94"/>
      <c r="D520" s="1454" t="s">
        <v>116</v>
      </c>
      <c r="E520" s="94"/>
      <c r="F520" s="94"/>
      <c r="G520" s="94"/>
      <c r="H520" s="94"/>
      <c r="I520" s="94"/>
      <c r="J520" s="1455" t="s">
        <v>119</v>
      </c>
      <c r="K520" s="94"/>
      <c r="L520" s="94"/>
      <c r="M520" s="1454" t="s">
        <v>118</v>
      </c>
      <c r="N520" s="100">
        <f>N518*N517</f>
        <v>6.7843375000000012</v>
      </c>
      <c r="O520" s="93"/>
    </row>
    <row r="521" spans="1:15" x14ac:dyDescent="0.25">
      <c r="A521" s="1454" t="s">
        <v>121</v>
      </c>
      <c r="B521" s="269" t="s">
        <v>2645</v>
      </c>
      <c r="C521" s="94"/>
      <c r="D521" s="94"/>
      <c r="E521" s="94"/>
      <c r="F521" s="94"/>
      <c r="G521" s="94"/>
      <c r="H521" s="94"/>
      <c r="I521" s="94"/>
      <c r="J521" s="1455" t="s">
        <v>116</v>
      </c>
      <c r="K521" s="94"/>
      <c r="L521" s="94"/>
      <c r="M521" s="94"/>
      <c r="N521" s="94"/>
      <c r="O521" s="93"/>
    </row>
    <row r="522" spans="1:15" x14ac:dyDescent="0.25">
      <c r="A522" s="1454" t="s">
        <v>117</v>
      </c>
      <c r="B522" s="133" t="s">
        <v>23</v>
      </c>
      <c r="C522" s="94"/>
      <c r="D522" s="94"/>
      <c r="E522" s="94"/>
      <c r="F522" s="94"/>
      <c r="G522" s="94"/>
      <c r="H522" s="94"/>
      <c r="I522" s="94"/>
      <c r="J522" s="94"/>
      <c r="K522" s="94"/>
      <c r="L522" s="94"/>
      <c r="M522" s="94"/>
      <c r="N522" s="94"/>
      <c r="O522" s="93"/>
    </row>
    <row r="523" spans="1:15" x14ac:dyDescent="0.25">
      <c r="A523" s="1454" t="s">
        <v>115</v>
      </c>
      <c r="B523" s="194" t="s">
        <v>2590</v>
      </c>
      <c r="C523" s="94"/>
      <c r="D523" s="94"/>
      <c r="E523" s="94"/>
      <c r="F523" s="94"/>
      <c r="G523" s="94"/>
      <c r="H523" s="94"/>
      <c r="I523" s="94"/>
      <c r="J523" s="94"/>
      <c r="K523" s="94"/>
      <c r="L523" s="94"/>
      <c r="M523" s="94"/>
      <c r="N523" s="94"/>
      <c r="O523" s="93"/>
    </row>
    <row r="524" spans="1:15" x14ac:dyDescent="0.25">
      <c r="A524" s="266"/>
      <c r="B524" s="265"/>
      <c r="C524" s="265"/>
      <c r="D524" s="265"/>
      <c r="E524" s="265"/>
      <c r="F524" s="94"/>
      <c r="G524" s="94"/>
      <c r="H524" s="94"/>
      <c r="I524" s="94"/>
      <c r="J524" s="94"/>
      <c r="K524" s="94"/>
      <c r="L524" s="94"/>
      <c r="M524" s="94"/>
      <c r="N524" s="94"/>
      <c r="O524" s="93"/>
    </row>
    <row r="525" spans="1:15" x14ac:dyDescent="0.25">
      <c r="A525" s="1453" t="s">
        <v>67</v>
      </c>
      <c r="B525" s="1452" t="s">
        <v>112</v>
      </c>
      <c r="C525" s="1452" t="s">
        <v>66</v>
      </c>
      <c r="D525" s="1452" t="s">
        <v>65</v>
      </c>
      <c r="E525" s="1452" t="s">
        <v>81</v>
      </c>
      <c r="F525" s="1465" t="s">
        <v>80</v>
      </c>
      <c r="G525" s="1465" t="s">
        <v>79</v>
      </c>
      <c r="H525" s="1465" t="s">
        <v>78</v>
      </c>
      <c r="I525" s="1465" t="s">
        <v>111</v>
      </c>
      <c r="J525" s="1465" t="s">
        <v>110</v>
      </c>
      <c r="K525" s="1465" t="s">
        <v>109</v>
      </c>
      <c r="L525" s="1465" t="s">
        <v>108</v>
      </c>
      <c r="M525" s="1465" t="s">
        <v>40</v>
      </c>
      <c r="N525" s="1465" t="s">
        <v>58</v>
      </c>
      <c r="O525" s="93"/>
    </row>
    <row r="526" spans="1:15" ht="30" x14ac:dyDescent="0.25">
      <c r="A526" s="1458">
        <v>10</v>
      </c>
      <c r="B526" s="1475" t="s">
        <v>519</v>
      </c>
      <c r="C526" s="1508" t="s">
        <v>2561</v>
      </c>
      <c r="D526" s="1507">
        <v>2.25</v>
      </c>
      <c r="E526" s="1458">
        <v>25</v>
      </c>
      <c r="F526" s="1458" t="s">
        <v>68</v>
      </c>
      <c r="G526" s="1458">
        <v>25</v>
      </c>
      <c r="H526" s="1470" t="s">
        <v>68</v>
      </c>
      <c r="I526" s="1473" t="s">
        <v>2611</v>
      </c>
      <c r="J526" s="1472">
        <f>0.025*0.025</f>
        <v>6.2500000000000012E-4</v>
      </c>
      <c r="K526" s="1471">
        <v>4.3999999999999997E-2</v>
      </c>
      <c r="L526" s="1470">
        <v>7860</v>
      </c>
      <c r="M526" s="1469">
        <v>1</v>
      </c>
      <c r="N526" s="1505">
        <f>IF(J526="",D526*M526,D526*J526*K526*L526*M526)</f>
        <v>0.48633750000000009</v>
      </c>
      <c r="O526" s="143"/>
    </row>
    <row r="527" spans="1:15" x14ac:dyDescent="0.25">
      <c r="A527" s="98"/>
      <c r="B527" s="95"/>
      <c r="C527" s="95"/>
      <c r="D527" s="95"/>
      <c r="E527" s="95"/>
      <c r="F527" s="95"/>
      <c r="G527" s="95"/>
      <c r="H527" s="95"/>
      <c r="I527" s="95"/>
      <c r="J527" s="95"/>
      <c r="K527" s="95"/>
      <c r="L527" s="95"/>
      <c r="M527" s="1467" t="s">
        <v>58</v>
      </c>
      <c r="N527" s="1447">
        <f>SUM(N526:N526)</f>
        <v>0.48633750000000009</v>
      </c>
      <c r="O527" s="93"/>
    </row>
    <row r="528" spans="1:15" x14ac:dyDescent="0.25">
      <c r="A528" s="107"/>
      <c r="B528" s="94"/>
      <c r="C528" s="94"/>
      <c r="D528" s="94"/>
      <c r="E528" s="94"/>
      <c r="F528" s="94"/>
      <c r="G528" s="94"/>
      <c r="H528" s="94"/>
      <c r="I528" s="94"/>
      <c r="J528" s="94"/>
      <c r="K528" s="94"/>
      <c r="L528" s="94"/>
      <c r="M528" s="94"/>
      <c r="N528" s="94"/>
      <c r="O528" s="93"/>
    </row>
    <row r="529" spans="1:15" x14ac:dyDescent="0.25">
      <c r="A529" s="1466" t="s">
        <v>67</v>
      </c>
      <c r="B529" s="1465" t="s">
        <v>106</v>
      </c>
      <c r="C529" s="1465" t="s">
        <v>66</v>
      </c>
      <c r="D529" s="1465" t="s">
        <v>65</v>
      </c>
      <c r="E529" s="1465" t="s">
        <v>64</v>
      </c>
      <c r="F529" s="1465" t="s">
        <v>40</v>
      </c>
      <c r="G529" s="1465" t="s">
        <v>105</v>
      </c>
      <c r="H529" s="1465" t="s">
        <v>104</v>
      </c>
      <c r="I529" s="1465" t="s">
        <v>58</v>
      </c>
      <c r="J529" s="95"/>
      <c r="K529" s="95"/>
      <c r="L529" s="95"/>
      <c r="M529" s="95"/>
      <c r="N529" s="95"/>
      <c r="O529" s="93"/>
    </row>
    <row r="530" spans="1:15" ht="30" x14ac:dyDescent="0.25">
      <c r="A530" s="1544">
        <v>10</v>
      </c>
      <c r="B530" s="1461" t="s">
        <v>516</v>
      </c>
      <c r="C530" s="1547" t="s">
        <v>528</v>
      </c>
      <c r="D530" s="1507">
        <v>1.3</v>
      </c>
      <c r="E530" s="1461" t="s">
        <v>64</v>
      </c>
      <c r="F530" s="1545">
        <v>1</v>
      </c>
      <c r="G530" s="1544"/>
      <c r="H530" s="1544"/>
      <c r="I530" s="1511">
        <f t="shared" ref="I530:I536" si="11">IF(H530="",D530*F530,D530*F530*H530)</f>
        <v>1.3</v>
      </c>
      <c r="J530" s="95"/>
      <c r="K530" s="95"/>
      <c r="L530" s="95"/>
      <c r="M530" s="95"/>
      <c r="N530" s="95"/>
      <c r="O530" s="93"/>
    </row>
    <row r="531" spans="1:15" x14ac:dyDescent="0.25">
      <c r="A531" s="1541">
        <v>20</v>
      </c>
      <c r="B531" s="1541" t="s">
        <v>514</v>
      </c>
      <c r="C531" s="1541" t="s">
        <v>1263</v>
      </c>
      <c r="D531" s="1542">
        <v>0.04</v>
      </c>
      <c r="E531" s="1541" t="s">
        <v>512</v>
      </c>
      <c r="F531" s="1541">
        <v>18.100000000000001</v>
      </c>
      <c r="G531" s="1541" t="s">
        <v>2557</v>
      </c>
      <c r="H531" s="1541">
        <v>3</v>
      </c>
      <c r="I531" s="1511">
        <f t="shared" si="11"/>
        <v>2.1720000000000002</v>
      </c>
      <c r="J531" s="142"/>
      <c r="K531" s="142"/>
      <c r="L531" s="142"/>
      <c r="M531" s="142"/>
      <c r="N531" s="142"/>
      <c r="O531" s="120"/>
    </row>
    <row r="532" spans="1:15" x14ac:dyDescent="0.25">
      <c r="A532" s="1543">
        <v>30</v>
      </c>
      <c r="B532" s="1545" t="s">
        <v>2177</v>
      </c>
      <c r="C532" s="1545" t="s">
        <v>1252</v>
      </c>
      <c r="D532" s="1561">
        <v>0.35</v>
      </c>
      <c r="E532" s="1545" t="s">
        <v>294</v>
      </c>
      <c r="F532" s="1545">
        <v>1</v>
      </c>
      <c r="G532" s="1543"/>
      <c r="H532" s="1543"/>
      <c r="I532" s="1511">
        <f t="shared" si="11"/>
        <v>0.35</v>
      </c>
      <c r="J532" s="94"/>
      <c r="K532" s="94"/>
      <c r="L532" s="94"/>
      <c r="M532" s="94"/>
      <c r="N532" s="94"/>
      <c r="O532" s="93"/>
    </row>
    <row r="533" spans="1:15" x14ac:dyDescent="0.25">
      <c r="A533" s="1541">
        <v>40</v>
      </c>
      <c r="B533" s="1541" t="s">
        <v>2536</v>
      </c>
      <c r="C533" s="1541"/>
      <c r="D533" s="1542">
        <v>0.65</v>
      </c>
      <c r="E533" s="1541" t="s">
        <v>64</v>
      </c>
      <c r="F533" s="1541">
        <v>1</v>
      </c>
      <c r="G533" s="1541"/>
      <c r="H533" s="1541"/>
      <c r="I533" s="1511">
        <f t="shared" si="11"/>
        <v>0.65</v>
      </c>
      <c r="J533" s="99"/>
      <c r="K533" s="99"/>
      <c r="L533" s="99"/>
      <c r="M533" s="99"/>
      <c r="N533" s="99"/>
      <c r="O533" s="130"/>
    </row>
    <row r="534" spans="1:15" x14ac:dyDescent="0.25">
      <c r="A534" s="1541">
        <v>50</v>
      </c>
      <c r="B534" s="1541" t="s">
        <v>514</v>
      </c>
      <c r="C534" s="1541" t="s">
        <v>2559</v>
      </c>
      <c r="D534" s="1542">
        <v>0.04</v>
      </c>
      <c r="E534" s="1541" t="s">
        <v>512</v>
      </c>
      <c r="F534" s="1541">
        <v>9.6</v>
      </c>
      <c r="G534" s="1541" t="s">
        <v>2557</v>
      </c>
      <c r="H534" s="1541">
        <v>3</v>
      </c>
      <c r="I534" s="1511">
        <f t="shared" si="11"/>
        <v>1.1520000000000001</v>
      </c>
      <c r="J534" s="94"/>
      <c r="K534" s="94"/>
      <c r="L534" s="94"/>
      <c r="M534" s="94"/>
      <c r="N534" s="94"/>
      <c r="O534" s="93"/>
    </row>
    <row r="535" spans="1:15" x14ac:dyDescent="0.25">
      <c r="A535" s="1541">
        <v>60</v>
      </c>
      <c r="B535" s="1541" t="s">
        <v>2536</v>
      </c>
      <c r="C535" s="1541"/>
      <c r="D535" s="1542">
        <v>0.65</v>
      </c>
      <c r="E535" s="1541" t="s">
        <v>64</v>
      </c>
      <c r="F535" s="1541">
        <v>1</v>
      </c>
      <c r="G535" s="1541"/>
      <c r="H535" s="1541"/>
      <c r="I535" s="1511">
        <f t="shared" si="11"/>
        <v>0.65</v>
      </c>
      <c r="J535" s="94"/>
      <c r="K535" s="94"/>
      <c r="L535" s="94"/>
      <c r="M535" s="94"/>
      <c r="N535" s="94"/>
      <c r="O535" s="93"/>
    </row>
    <row r="536" spans="1:15" x14ac:dyDescent="0.25">
      <c r="A536" s="1541">
        <v>70</v>
      </c>
      <c r="B536" s="1541" t="s">
        <v>514</v>
      </c>
      <c r="C536" s="1541" t="s">
        <v>2558</v>
      </c>
      <c r="D536" s="1542">
        <v>0.04</v>
      </c>
      <c r="E536" s="1541" t="s">
        <v>512</v>
      </c>
      <c r="F536" s="1541">
        <v>0.2</v>
      </c>
      <c r="G536" s="1541" t="s">
        <v>2557</v>
      </c>
      <c r="H536" s="1541">
        <v>3</v>
      </c>
      <c r="I536" s="1511">
        <f t="shared" si="11"/>
        <v>2.4E-2</v>
      </c>
      <c r="J536" s="94"/>
      <c r="K536" s="94"/>
      <c r="L536" s="94"/>
      <c r="M536" s="94"/>
      <c r="N536" s="94"/>
      <c r="O536" s="93"/>
    </row>
    <row r="537" spans="1:15" x14ac:dyDescent="0.25">
      <c r="A537" s="98"/>
      <c r="B537" s="95"/>
      <c r="C537" s="95"/>
      <c r="D537" s="95"/>
      <c r="E537" s="95"/>
      <c r="F537" s="95"/>
      <c r="G537" s="95"/>
      <c r="H537" s="1448" t="s">
        <v>58</v>
      </c>
      <c r="I537" s="1447">
        <f>SUM(I530:I536)</f>
        <v>6.2980000000000009</v>
      </c>
      <c r="J537" s="95"/>
      <c r="K537" s="95"/>
      <c r="L537" s="95"/>
      <c r="M537" s="95"/>
      <c r="N537" s="95"/>
      <c r="O537" s="93"/>
    </row>
    <row r="538" spans="1:15" x14ac:dyDescent="0.25">
      <c r="A538" s="107"/>
      <c r="B538" s="94"/>
      <c r="C538" s="94"/>
      <c r="D538" s="94"/>
      <c r="E538" s="94"/>
      <c r="F538" s="94"/>
      <c r="G538" s="94"/>
      <c r="H538" s="94"/>
      <c r="I538" s="99"/>
      <c r="J538" s="94"/>
      <c r="K538" s="94"/>
      <c r="L538" s="94"/>
      <c r="M538" s="94"/>
      <c r="N538" s="94"/>
      <c r="O538" s="93"/>
    </row>
    <row r="539" spans="1:15" ht="15.75" thickBot="1" x14ac:dyDescent="0.3">
      <c r="A539" s="92"/>
      <c r="B539" s="91"/>
      <c r="C539" s="91"/>
      <c r="D539" s="91"/>
      <c r="E539" s="91"/>
      <c r="F539" s="91"/>
      <c r="G539" s="91"/>
      <c r="H539" s="91"/>
      <c r="I539" s="91"/>
      <c r="J539" s="91"/>
      <c r="K539" s="91"/>
      <c r="L539" s="91"/>
      <c r="M539" s="91"/>
      <c r="N539" s="91"/>
      <c r="O539" s="90"/>
    </row>
    <row r="540" spans="1:15" ht="15.75" thickBot="1" x14ac:dyDescent="0.3">
      <c r="A540" s="107"/>
      <c r="B540" s="94"/>
      <c r="C540" s="94"/>
      <c r="D540" s="94"/>
      <c r="E540" s="94"/>
      <c r="F540" s="94"/>
      <c r="G540" s="94"/>
      <c r="H540" s="94"/>
      <c r="I540" s="94"/>
      <c r="J540" s="94"/>
      <c r="K540" s="94"/>
      <c r="L540" s="94"/>
      <c r="M540" s="94"/>
      <c r="N540" s="94"/>
      <c r="O540" s="94"/>
    </row>
    <row r="541" spans="1:15" x14ac:dyDescent="0.25">
      <c r="A541" s="141"/>
      <c r="B541" s="140"/>
      <c r="C541" s="140"/>
      <c r="D541" s="140"/>
      <c r="E541" s="140"/>
      <c r="F541" s="140"/>
      <c r="G541" s="140"/>
      <c r="H541" s="140"/>
      <c r="I541" s="140"/>
      <c r="J541" s="140"/>
      <c r="K541" s="140"/>
      <c r="L541" s="140"/>
      <c r="M541" s="140"/>
      <c r="N541" s="140"/>
      <c r="O541" s="139"/>
    </row>
    <row r="542" spans="1:15" x14ac:dyDescent="0.25">
      <c r="A542" s="1454" t="s">
        <v>57</v>
      </c>
      <c r="B542" s="133" t="s">
        <v>523</v>
      </c>
      <c r="C542" s="94"/>
      <c r="D542" s="94"/>
      <c r="E542" s="94"/>
      <c r="F542" s="94"/>
      <c r="G542" s="94"/>
      <c r="H542" s="94"/>
      <c r="I542" s="94"/>
      <c r="J542" s="1456" t="s">
        <v>51</v>
      </c>
      <c r="K542" s="138">
        <v>81</v>
      </c>
      <c r="L542" s="94"/>
      <c r="M542" s="1454" t="s">
        <v>113</v>
      </c>
      <c r="N542" s="100">
        <f>SU_04001_m+SU_04001_p</f>
        <v>3.8036110707199997</v>
      </c>
      <c r="O542" s="93"/>
    </row>
    <row r="543" spans="1:15" x14ac:dyDescent="0.25">
      <c r="A543" s="1454" t="s">
        <v>125</v>
      </c>
      <c r="B543" s="133" t="s">
        <v>5</v>
      </c>
      <c r="C543" s="94"/>
      <c r="D543" s="1454" t="s">
        <v>122</v>
      </c>
      <c r="E543" s="547" t="s">
        <v>522</v>
      </c>
      <c r="F543" s="94"/>
      <c r="G543" s="94"/>
      <c r="H543" s="94"/>
      <c r="I543" s="94"/>
      <c r="J543" s="94"/>
      <c r="K543" s="94"/>
      <c r="L543" s="94"/>
      <c r="M543" s="1454" t="s">
        <v>124</v>
      </c>
      <c r="N543" s="136">
        <v>2</v>
      </c>
      <c r="O543" s="93"/>
    </row>
    <row r="544" spans="1:15" x14ac:dyDescent="0.25">
      <c r="A544" s="1454" t="s">
        <v>123</v>
      </c>
      <c r="B544" s="270" t="s">
        <v>2466</v>
      </c>
      <c r="C544" s="94"/>
      <c r="D544" s="1454" t="s">
        <v>119</v>
      </c>
      <c r="E544" s="94"/>
      <c r="F544" s="94"/>
      <c r="G544" s="94"/>
      <c r="H544" s="94"/>
      <c r="I544" s="94"/>
      <c r="J544" s="1455" t="s">
        <v>122</v>
      </c>
      <c r="K544" s="94"/>
      <c r="L544" s="94"/>
      <c r="M544" s="94"/>
      <c r="N544" s="94"/>
      <c r="O544" s="93"/>
    </row>
    <row r="545" spans="1:15" x14ac:dyDescent="0.25">
      <c r="A545" s="1454" t="s">
        <v>114</v>
      </c>
      <c r="B545" s="135" t="s">
        <v>2464</v>
      </c>
      <c r="C545" s="94"/>
      <c r="D545" s="1454" t="s">
        <v>116</v>
      </c>
      <c r="E545" s="94"/>
      <c r="F545" s="94"/>
      <c r="G545" s="94"/>
      <c r="H545" s="94"/>
      <c r="I545" s="94"/>
      <c r="J545" s="1455" t="s">
        <v>119</v>
      </c>
      <c r="K545" s="94"/>
      <c r="L545" s="94"/>
      <c r="M545" s="1454" t="s">
        <v>118</v>
      </c>
      <c r="N545" s="100">
        <f>N543*N542</f>
        <v>7.6072221414399994</v>
      </c>
      <c r="O545" s="93"/>
    </row>
    <row r="546" spans="1:15" x14ac:dyDescent="0.25">
      <c r="A546" s="1454" t="s">
        <v>121</v>
      </c>
      <c r="B546" s="269" t="s">
        <v>2644</v>
      </c>
      <c r="C546" s="94"/>
      <c r="D546" s="94"/>
      <c r="E546" s="94"/>
      <c r="F546" s="94"/>
      <c r="G546" s="94"/>
      <c r="H546" s="94"/>
      <c r="I546" s="94"/>
      <c r="J546" s="1455" t="s">
        <v>116</v>
      </c>
      <c r="K546" s="94"/>
      <c r="L546" s="94"/>
      <c r="M546" s="94"/>
      <c r="N546" s="94"/>
      <c r="O546" s="93"/>
    </row>
    <row r="547" spans="1:15" x14ac:dyDescent="0.25">
      <c r="A547" s="1454" t="s">
        <v>117</v>
      </c>
      <c r="B547" s="133" t="s">
        <v>23</v>
      </c>
      <c r="C547" s="94"/>
      <c r="D547" s="94"/>
      <c r="E547" s="94"/>
      <c r="F547" s="94"/>
      <c r="G547" s="94"/>
      <c r="H547" s="94"/>
      <c r="I547" s="94"/>
      <c r="J547" s="94"/>
      <c r="K547" s="94"/>
      <c r="L547" s="94"/>
      <c r="M547" s="94"/>
      <c r="N547" s="94"/>
      <c r="O547" s="93"/>
    </row>
    <row r="548" spans="1:15" x14ac:dyDescent="0.25">
      <c r="A548" s="1454" t="s">
        <v>115</v>
      </c>
      <c r="B548" s="133"/>
      <c r="C548" s="94"/>
      <c r="D548" s="94"/>
      <c r="E548" s="94"/>
      <c r="F548" s="94"/>
      <c r="G548" s="94"/>
      <c r="H548" s="94"/>
      <c r="I548" s="94"/>
      <c r="J548" s="94"/>
      <c r="K548" s="94"/>
      <c r="L548" s="94"/>
      <c r="M548" s="94"/>
      <c r="N548" s="94"/>
      <c r="O548" s="93"/>
    </row>
    <row r="549" spans="1:15" x14ac:dyDescent="0.25">
      <c r="A549" s="266"/>
      <c r="B549" s="265"/>
      <c r="C549" s="265"/>
      <c r="D549" s="265"/>
      <c r="E549" s="265"/>
      <c r="F549" s="94"/>
      <c r="G549" s="94"/>
      <c r="H549" s="94"/>
      <c r="I549" s="94"/>
      <c r="J549" s="94"/>
      <c r="K549" s="94"/>
      <c r="L549" s="94"/>
      <c r="M549" s="94"/>
      <c r="N549" s="94"/>
      <c r="O549" s="93"/>
    </row>
    <row r="550" spans="1:15" x14ac:dyDescent="0.25">
      <c r="A550" s="1453" t="s">
        <v>67</v>
      </c>
      <c r="B550" s="1452" t="s">
        <v>112</v>
      </c>
      <c r="C550" s="1452" t="s">
        <v>66</v>
      </c>
      <c r="D550" s="1452" t="s">
        <v>65</v>
      </c>
      <c r="E550" s="1452" t="s">
        <v>81</v>
      </c>
      <c r="F550" s="1465" t="s">
        <v>80</v>
      </c>
      <c r="G550" s="1465" t="s">
        <v>79</v>
      </c>
      <c r="H550" s="1465" t="s">
        <v>78</v>
      </c>
      <c r="I550" s="1465" t="s">
        <v>111</v>
      </c>
      <c r="J550" s="1465" t="s">
        <v>110</v>
      </c>
      <c r="K550" s="1465" t="s">
        <v>109</v>
      </c>
      <c r="L550" s="1465" t="s">
        <v>108</v>
      </c>
      <c r="M550" s="1465" t="s">
        <v>40</v>
      </c>
      <c r="N550" s="1465" t="s">
        <v>58</v>
      </c>
      <c r="O550" s="93"/>
    </row>
    <row r="551" spans="1:15" ht="30" x14ac:dyDescent="0.25">
      <c r="A551" s="1557">
        <v>10</v>
      </c>
      <c r="B551" s="1560" t="s">
        <v>1134</v>
      </c>
      <c r="C551" s="1557" t="s">
        <v>2638</v>
      </c>
      <c r="D551" s="1533">
        <v>4.2</v>
      </c>
      <c r="E551" s="1564">
        <v>26</v>
      </c>
      <c r="F551" s="1557" t="s">
        <v>68</v>
      </c>
      <c r="G551" s="1557"/>
      <c r="H551" s="1531"/>
      <c r="I551" s="1473" t="s">
        <v>2580</v>
      </c>
      <c r="J551" s="1563">
        <f>0.013^2*3.14</f>
        <v>5.3065999999999996E-4</v>
      </c>
      <c r="K551" s="1528">
        <v>5.8000000000000003E-2</v>
      </c>
      <c r="L551" s="1559">
        <v>2720</v>
      </c>
      <c r="M551" s="1558">
        <v>1</v>
      </c>
      <c r="N551" s="1511">
        <f>IF(J551="",D551*M551,D551*J551*K551*L551*M551)</f>
        <v>0.35161107071999997</v>
      </c>
      <c r="O551" s="143"/>
    </row>
    <row r="552" spans="1:15" x14ac:dyDescent="0.25">
      <c r="A552" s="98"/>
      <c r="B552" s="95"/>
      <c r="C552" s="95"/>
      <c r="D552" s="95"/>
      <c r="E552" s="95"/>
      <c r="F552" s="95"/>
      <c r="G552" s="95"/>
      <c r="H552" s="95"/>
      <c r="I552" s="95"/>
      <c r="J552" s="95"/>
      <c r="K552" s="95"/>
      <c r="L552" s="95"/>
      <c r="M552" s="1467" t="s">
        <v>58</v>
      </c>
      <c r="N552" s="1447">
        <f>SUM(N551:N551)</f>
        <v>0.35161107071999997</v>
      </c>
      <c r="O552" s="93"/>
    </row>
    <row r="553" spans="1:15" x14ac:dyDescent="0.25">
      <c r="A553" s="107"/>
      <c r="B553" s="94"/>
      <c r="C553" s="94"/>
      <c r="D553" s="94"/>
      <c r="E553" s="94"/>
      <c r="F553" s="94"/>
      <c r="G553" s="94"/>
      <c r="H553" s="94"/>
      <c r="I553" s="94"/>
      <c r="J553" s="94"/>
      <c r="K553" s="94"/>
      <c r="L553" s="94"/>
      <c r="M553" s="94"/>
      <c r="N553" s="94"/>
      <c r="O553" s="93"/>
    </row>
    <row r="554" spans="1:15" x14ac:dyDescent="0.25">
      <c r="A554" s="1466" t="s">
        <v>67</v>
      </c>
      <c r="B554" s="1465" t="s">
        <v>106</v>
      </c>
      <c r="C554" s="1465" t="s">
        <v>66</v>
      </c>
      <c r="D554" s="1465" t="s">
        <v>65</v>
      </c>
      <c r="E554" s="1465" t="s">
        <v>64</v>
      </c>
      <c r="F554" s="1465" t="s">
        <v>40</v>
      </c>
      <c r="G554" s="1465" t="s">
        <v>105</v>
      </c>
      <c r="H554" s="1465" t="s">
        <v>104</v>
      </c>
      <c r="I554" s="1465" t="s">
        <v>58</v>
      </c>
      <c r="J554" s="95"/>
      <c r="K554" s="95"/>
      <c r="L554" s="95"/>
      <c r="M554" s="95"/>
      <c r="N554" s="95"/>
      <c r="O554" s="93"/>
    </row>
    <row r="555" spans="1:15" ht="30" x14ac:dyDescent="0.25">
      <c r="A555" s="1546">
        <v>10</v>
      </c>
      <c r="B555" s="1461" t="s">
        <v>516</v>
      </c>
      <c r="C555" s="1547"/>
      <c r="D555" s="1567">
        <v>1.3</v>
      </c>
      <c r="E555" s="1461" t="s">
        <v>64</v>
      </c>
      <c r="F555" s="1547">
        <v>1</v>
      </c>
      <c r="G555" s="1547"/>
      <c r="H555" s="1547"/>
      <c r="I555" s="1566">
        <f t="shared" ref="I555:I560" si="12">IF(H555="",D555*F555,D555*F555*H555)</f>
        <v>1.3</v>
      </c>
      <c r="J555" s="142"/>
      <c r="K555" s="142"/>
      <c r="L555" s="142"/>
      <c r="M555" s="142"/>
      <c r="N555" s="142"/>
      <c r="O555" s="120"/>
    </row>
    <row r="556" spans="1:15" ht="30" x14ac:dyDescent="0.25">
      <c r="A556" s="1458">
        <v>20</v>
      </c>
      <c r="B556" s="1461" t="s">
        <v>514</v>
      </c>
      <c r="C556" s="1460" t="s">
        <v>2643</v>
      </c>
      <c r="D556" s="1507">
        <v>0.04</v>
      </c>
      <c r="E556" s="1458" t="s">
        <v>512</v>
      </c>
      <c r="F556" s="1474">
        <v>17</v>
      </c>
      <c r="G556" s="1461" t="s">
        <v>629</v>
      </c>
      <c r="H556" s="1545">
        <v>1</v>
      </c>
      <c r="I556" s="1511">
        <f t="shared" si="12"/>
        <v>0.68</v>
      </c>
      <c r="J556" s="94"/>
      <c r="K556" s="94"/>
      <c r="L556" s="94"/>
      <c r="M556" s="94"/>
      <c r="N556" s="94"/>
      <c r="O556" s="93"/>
    </row>
    <row r="557" spans="1:15" x14ac:dyDescent="0.25">
      <c r="A557" s="1546">
        <v>30</v>
      </c>
      <c r="B557" s="1461" t="s">
        <v>822</v>
      </c>
      <c r="C557" s="1547"/>
      <c r="D557" s="1567">
        <v>0.65</v>
      </c>
      <c r="E557" s="1461" t="s">
        <v>64</v>
      </c>
      <c r="F557" s="1547">
        <v>1</v>
      </c>
      <c r="G557" s="1547"/>
      <c r="H557" s="1547"/>
      <c r="I557" s="1566">
        <f t="shared" si="12"/>
        <v>0.65</v>
      </c>
      <c r="J557" s="99"/>
      <c r="K557" s="99"/>
      <c r="L557" s="99"/>
      <c r="M557" s="99"/>
      <c r="N557" s="99"/>
      <c r="O557" s="130"/>
    </row>
    <row r="558" spans="1:15" ht="30" x14ac:dyDescent="0.25">
      <c r="A558" s="1458">
        <v>40</v>
      </c>
      <c r="B558" s="1461" t="s">
        <v>514</v>
      </c>
      <c r="C558" s="1460" t="s">
        <v>2642</v>
      </c>
      <c r="D558" s="1507">
        <v>0.04</v>
      </c>
      <c r="E558" s="1458" t="s">
        <v>512</v>
      </c>
      <c r="F558" s="1474">
        <v>2</v>
      </c>
      <c r="G558" s="1461" t="s">
        <v>629</v>
      </c>
      <c r="H558" s="1545">
        <v>1</v>
      </c>
      <c r="I558" s="1511">
        <f t="shared" si="12"/>
        <v>0.08</v>
      </c>
      <c r="J558" s="94"/>
      <c r="K558" s="94"/>
      <c r="L558" s="94"/>
      <c r="M558" s="94"/>
      <c r="N558" s="94"/>
      <c r="O558" s="93"/>
    </row>
    <row r="559" spans="1:15" x14ac:dyDescent="0.25">
      <c r="A559" s="1546">
        <v>50</v>
      </c>
      <c r="B559" s="1461" t="s">
        <v>822</v>
      </c>
      <c r="C559" s="1547"/>
      <c r="D559" s="1567">
        <v>0.65</v>
      </c>
      <c r="E559" s="1461" t="s">
        <v>64</v>
      </c>
      <c r="F559" s="1547">
        <v>1</v>
      </c>
      <c r="G559" s="1547"/>
      <c r="H559" s="1547"/>
      <c r="I559" s="1566">
        <f t="shared" si="12"/>
        <v>0.65</v>
      </c>
      <c r="J559" s="94"/>
      <c r="K559" s="94"/>
      <c r="L559" s="94"/>
      <c r="M559" s="94"/>
      <c r="N559" s="94"/>
      <c r="O559" s="93"/>
    </row>
    <row r="560" spans="1:15" ht="30" x14ac:dyDescent="0.25">
      <c r="A560" s="1458">
        <v>60</v>
      </c>
      <c r="B560" s="1461" t="s">
        <v>514</v>
      </c>
      <c r="C560" s="1460" t="s">
        <v>2641</v>
      </c>
      <c r="D560" s="1507">
        <v>0.04</v>
      </c>
      <c r="E560" s="1458" t="s">
        <v>512</v>
      </c>
      <c r="F560" s="1474">
        <v>2.2999999999999998</v>
      </c>
      <c r="G560" s="1461" t="s">
        <v>629</v>
      </c>
      <c r="H560" s="1545">
        <v>1</v>
      </c>
      <c r="I560" s="1511">
        <f t="shared" si="12"/>
        <v>9.1999999999999998E-2</v>
      </c>
      <c r="J560" s="94"/>
      <c r="K560" s="94"/>
      <c r="L560" s="94"/>
      <c r="M560" s="94"/>
      <c r="N560" s="94"/>
      <c r="O560" s="93"/>
    </row>
    <row r="561" spans="1:15" x14ac:dyDescent="0.25">
      <c r="A561" s="98"/>
      <c r="B561" s="95"/>
      <c r="C561" s="95"/>
      <c r="D561" s="95"/>
      <c r="E561" s="95"/>
      <c r="F561" s="95"/>
      <c r="G561" s="95"/>
      <c r="H561" s="1448" t="s">
        <v>58</v>
      </c>
      <c r="I561" s="1447">
        <f>SUM(I555:I560)</f>
        <v>3.452</v>
      </c>
      <c r="J561" s="95"/>
      <c r="K561" s="95"/>
      <c r="L561" s="95"/>
      <c r="M561" s="95"/>
      <c r="N561" s="95"/>
      <c r="O561" s="93"/>
    </row>
    <row r="562" spans="1:15" ht="15.75" thickBot="1" x14ac:dyDescent="0.3">
      <c r="A562" s="92"/>
      <c r="B562" s="91"/>
      <c r="C562" s="91"/>
      <c r="D562" s="91"/>
      <c r="E562" s="91"/>
      <c r="F562" s="91"/>
      <c r="G562" s="91"/>
      <c r="H562" s="544"/>
      <c r="I562" s="544"/>
      <c r="J562" s="91"/>
      <c r="K562" s="91"/>
      <c r="L562" s="91"/>
      <c r="M562" s="91"/>
      <c r="N562" s="91"/>
      <c r="O562" s="90"/>
    </row>
    <row r="563" spans="1:15" ht="15.75" thickBot="1" x14ac:dyDescent="0.3"/>
    <row r="564" spans="1:15" x14ac:dyDescent="0.25">
      <c r="A564" s="141"/>
      <c r="B564" s="140"/>
      <c r="C564" s="140"/>
      <c r="D564" s="140"/>
      <c r="E564" s="140"/>
      <c r="F564" s="140"/>
      <c r="G564" s="140"/>
      <c r="H564" s="140"/>
      <c r="I564" s="140"/>
      <c r="J564" s="140"/>
      <c r="K564" s="140"/>
      <c r="L564" s="140"/>
      <c r="M564" s="140"/>
      <c r="N564" s="140"/>
      <c r="O564" s="139"/>
    </row>
    <row r="565" spans="1:15" x14ac:dyDescent="0.25">
      <c r="A565" s="1454" t="s">
        <v>57</v>
      </c>
      <c r="B565" s="133" t="s">
        <v>523</v>
      </c>
      <c r="C565" s="94"/>
      <c r="D565" s="94"/>
      <c r="E565" s="94"/>
      <c r="F565" s="94"/>
      <c r="G565" s="94"/>
      <c r="H565" s="94"/>
      <c r="I565" s="94"/>
      <c r="J565" s="1456" t="s">
        <v>51</v>
      </c>
      <c r="K565" s="138">
        <v>81</v>
      </c>
      <c r="L565" s="94"/>
      <c r="M565" s="1454" t="s">
        <v>113</v>
      </c>
      <c r="N565" s="100">
        <f>+SU_04002_m+SU_04002_p</f>
        <v>11.679055999999999</v>
      </c>
      <c r="O565" s="93"/>
    </row>
    <row r="566" spans="1:15" x14ac:dyDescent="0.25">
      <c r="A566" s="1454" t="s">
        <v>125</v>
      </c>
      <c r="B566" s="133" t="s">
        <v>5</v>
      </c>
      <c r="C566" s="94"/>
      <c r="D566" s="1454" t="s">
        <v>122</v>
      </c>
      <c r="E566" s="270" t="s">
        <v>2525</v>
      </c>
      <c r="F566" s="94"/>
      <c r="G566" s="94"/>
      <c r="H566" s="94"/>
      <c r="I566" s="94"/>
      <c r="J566" s="94"/>
      <c r="K566" s="94"/>
      <c r="L566" s="94"/>
      <c r="M566" s="1454" t="s">
        <v>124</v>
      </c>
      <c r="N566" s="136">
        <v>1</v>
      </c>
      <c r="O566" s="93"/>
    </row>
    <row r="567" spans="1:15" x14ac:dyDescent="0.25">
      <c r="A567" s="1454" t="s">
        <v>123</v>
      </c>
      <c r="B567" s="270" t="s">
        <v>2466</v>
      </c>
      <c r="C567" s="94"/>
      <c r="D567" s="1454" t="s">
        <v>119</v>
      </c>
      <c r="E567" s="94"/>
      <c r="F567" s="94"/>
      <c r="G567" s="94"/>
      <c r="H567" s="94"/>
      <c r="I567" s="94"/>
      <c r="J567" s="1455" t="s">
        <v>122</v>
      </c>
      <c r="K567" s="94"/>
      <c r="L567" s="94"/>
      <c r="M567" s="94"/>
      <c r="N567" s="94"/>
      <c r="O567" s="93"/>
    </row>
    <row r="568" spans="1:15" x14ac:dyDescent="0.25">
      <c r="A568" s="1570" t="s">
        <v>114</v>
      </c>
      <c r="B568" s="1569" t="s">
        <v>2463</v>
      </c>
      <c r="C568" s="94"/>
      <c r="D568" s="1454" t="s">
        <v>116</v>
      </c>
      <c r="E568" s="94"/>
      <c r="F568" s="94"/>
      <c r="G568" s="94"/>
      <c r="H568" s="94"/>
      <c r="I568" s="94"/>
      <c r="J568" s="1455" t="s">
        <v>119</v>
      </c>
      <c r="K568" s="94"/>
      <c r="L568" s="94"/>
      <c r="M568" s="1454" t="s">
        <v>118</v>
      </c>
      <c r="N568" s="100">
        <f>N566*N565</f>
        <v>11.679055999999999</v>
      </c>
      <c r="O568" s="93"/>
    </row>
    <row r="569" spans="1:15" x14ac:dyDescent="0.25">
      <c r="A569" s="1454" t="s">
        <v>121</v>
      </c>
      <c r="B569" s="269" t="s">
        <v>2640</v>
      </c>
      <c r="C569" s="94"/>
      <c r="D569" s="94"/>
      <c r="E569" s="94"/>
      <c r="F569" s="94"/>
      <c r="G569" s="94"/>
      <c r="H569" s="94"/>
      <c r="I569" s="94"/>
      <c r="J569" s="1455" t="s">
        <v>116</v>
      </c>
      <c r="K569" s="94"/>
      <c r="L569" s="94"/>
      <c r="M569" s="94"/>
      <c r="N569" s="94"/>
      <c r="O569" s="93"/>
    </row>
    <row r="570" spans="1:15" x14ac:dyDescent="0.25">
      <c r="A570" s="1454" t="s">
        <v>117</v>
      </c>
      <c r="B570" s="133" t="s">
        <v>23</v>
      </c>
      <c r="C570" s="94"/>
      <c r="D570" s="94"/>
      <c r="E570" s="94"/>
      <c r="F570" s="94"/>
      <c r="G570" s="94"/>
      <c r="H570" s="94"/>
      <c r="I570" s="94"/>
      <c r="J570" s="94"/>
      <c r="K570" s="94"/>
      <c r="L570" s="94"/>
      <c r="M570" s="94"/>
      <c r="N570" s="94"/>
      <c r="O570" s="93"/>
    </row>
    <row r="571" spans="1:15" x14ac:dyDescent="0.25">
      <c r="A571" s="1454" t="s">
        <v>115</v>
      </c>
      <c r="B571" s="133" t="s">
        <v>2639</v>
      </c>
      <c r="C571" s="94"/>
      <c r="D571" s="94"/>
      <c r="E571" s="94"/>
      <c r="F571" s="94"/>
      <c r="G571" s="94"/>
      <c r="H571" s="94"/>
      <c r="I571" s="94"/>
      <c r="J571" s="94"/>
      <c r="K571" s="94"/>
      <c r="L571" s="94"/>
      <c r="M571" s="94"/>
      <c r="N571" s="94"/>
      <c r="O571" s="93"/>
    </row>
    <row r="572" spans="1:15" x14ac:dyDescent="0.25">
      <c r="A572" s="266"/>
      <c r="B572" s="265"/>
      <c r="C572" s="265"/>
      <c r="D572" s="265"/>
      <c r="E572" s="265"/>
      <c r="F572" s="94"/>
      <c r="G572" s="94"/>
      <c r="H572" s="94"/>
      <c r="I572" s="94"/>
      <c r="J572" s="94"/>
      <c r="K572" s="94"/>
      <c r="L572" s="94"/>
      <c r="M572" s="94"/>
      <c r="N572" s="94"/>
      <c r="O572" s="93"/>
    </row>
    <row r="573" spans="1:15" x14ac:dyDescent="0.25">
      <c r="A573" s="1453" t="s">
        <v>67</v>
      </c>
      <c r="B573" s="1452" t="s">
        <v>112</v>
      </c>
      <c r="C573" s="1452" t="s">
        <v>66</v>
      </c>
      <c r="D573" s="1452" t="s">
        <v>65</v>
      </c>
      <c r="E573" s="1452" t="s">
        <v>81</v>
      </c>
      <c r="F573" s="1465" t="s">
        <v>80</v>
      </c>
      <c r="G573" s="1465" t="s">
        <v>79</v>
      </c>
      <c r="H573" s="1465" t="s">
        <v>78</v>
      </c>
      <c r="I573" s="1465" t="s">
        <v>111</v>
      </c>
      <c r="J573" s="1465" t="s">
        <v>110</v>
      </c>
      <c r="K573" s="1465" t="s">
        <v>109</v>
      </c>
      <c r="L573" s="1465" t="s">
        <v>108</v>
      </c>
      <c r="M573" s="1465" t="s">
        <v>40</v>
      </c>
      <c r="N573" s="1465" t="s">
        <v>58</v>
      </c>
      <c r="O573" s="93"/>
    </row>
    <row r="574" spans="1:15" ht="30" x14ac:dyDescent="0.25">
      <c r="A574" s="1557">
        <v>10</v>
      </c>
      <c r="B574" s="1560" t="s">
        <v>1134</v>
      </c>
      <c r="C574" s="1557" t="s">
        <v>2638</v>
      </c>
      <c r="D574" s="1533">
        <v>4.2</v>
      </c>
      <c r="E574" s="1564">
        <v>60</v>
      </c>
      <c r="F574" s="1557" t="s">
        <v>68</v>
      </c>
      <c r="G574" s="1557">
        <v>40</v>
      </c>
      <c r="H574" s="1531" t="s">
        <v>68</v>
      </c>
      <c r="I574" s="1473" t="s">
        <v>2637</v>
      </c>
      <c r="J574" s="1568">
        <f>0.06*0.04</f>
        <v>2.3999999999999998E-3</v>
      </c>
      <c r="K574" s="1528">
        <v>0.06</v>
      </c>
      <c r="L574" s="1559">
        <v>2720</v>
      </c>
      <c r="M574" s="1558">
        <v>1</v>
      </c>
      <c r="N574" s="1511">
        <f>IF(J574="",D574*M574,D574*J574*K574*L574*M574)</f>
        <v>1.6450559999999996</v>
      </c>
      <c r="O574" s="143"/>
    </row>
    <row r="575" spans="1:15" x14ac:dyDescent="0.25">
      <c r="A575" s="98"/>
      <c r="B575" s="95"/>
      <c r="C575" s="95"/>
      <c r="D575" s="95"/>
      <c r="E575" s="95"/>
      <c r="F575" s="95"/>
      <c r="G575" s="95"/>
      <c r="H575" s="95"/>
      <c r="I575" s="95"/>
      <c r="J575" s="95"/>
      <c r="K575" s="95"/>
      <c r="L575" s="95"/>
      <c r="M575" s="1467" t="s">
        <v>58</v>
      </c>
      <c r="N575" s="1447">
        <f>SUM(N574:N574)</f>
        <v>1.6450559999999996</v>
      </c>
      <c r="O575" s="93"/>
    </row>
    <row r="576" spans="1:15" x14ac:dyDescent="0.25">
      <c r="A576" s="678"/>
      <c r="B576" s="549"/>
      <c r="C576" s="549"/>
      <c r="D576" s="549"/>
      <c r="E576" s="549"/>
      <c r="F576" s="549"/>
      <c r="G576" s="549"/>
      <c r="H576" s="549"/>
      <c r="I576" s="549"/>
      <c r="J576" s="94"/>
      <c r="K576" s="94"/>
      <c r="L576" s="94"/>
      <c r="M576" s="94"/>
      <c r="N576" s="94"/>
      <c r="O576" s="93"/>
    </row>
    <row r="577" spans="1:15" x14ac:dyDescent="0.25">
      <c r="A577" s="1466" t="s">
        <v>67</v>
      </c>
      <c r="B577" s="1465" t="s">
        <v>106</v>
      </c>
      <c r="C577" s="1465" t="s">
        <v>66</v>
      </c>
      <c r="D577" s="1465" t="s">
        <v>65</v>
      </c>
      <c r="E577" s="1465" t="s">
        <v>64</v>
      </c>
      <c r="F577" s="1465" t="s">
        <v>40</v>
      </c>
      <c r="G577" s="1465" t="s">
        <v>105</v>
      </c>
      <c r="H577" s="1465" t="s">
        <v>104</v>
      </c>
      <c r="I577" s="1465" t="s">
        <v>58</v>
      </c>
      <c r="J577" s="95"/>
      <c r="K577" s="95"/>
      <c r="L577" s="95"/>
      <c r="M577" s="95"/>
      <c r="N577" s="95"/>
      <c r="O577" s="93"/>
    </row>
    <row r="578" spans="1:15" ht="30" x14ac:dyDescent="0.25">
      <c r="A578" s="1546">
        <v>10</v>
      </c>
      <c r="B578" s="1461" t="s">
        <v>516</v>
      </c>
      <c r="C578" s="1547"/>
      <c r="D578" s="1567">
        <v>1.3</v>
      </c>
      <c r="E578" s="1461" t="s">
        <v>64</v>
      </c>
      <c r="F578" s="1547">
        <v>1</v>
      </c>
      <c r="G578" s="1547"/>
      <c r="H578" s="1547"/>
      <c r="I578" s="1566">
        <f t="shared" ref="I578:I588" si="13">IF(H578="",D578*F578,D578*F578*H578)</f>
        <v>1.3</v>
      </c>
      <c r="J578" s="142"/>
      <c r="K578" s="142"/>
      <c r="L578" s="142"/>
      <c r="M578" s="142"/>
      <c r="N578" s="142"/>
      <c r="O578" s="120"/>
    </row>
    <row r="579" spans="1:15" ht="45" x14ac:dyDescent="0.25">
      <c r="A579" s="1458">
        <v>20</v>
      </c>
      <c r="B579" s="1461" t="s">
        <v>514</v>
      </c>
      <c r="C579" s="1460" t="s">
        <v>2636</v>
      </c>
      <c r="D579" s="1507">
        <v>0.04</v>
      </c>
      <c r="E579" s="1458" t="s">
        <v>512</v>
      </c>
      <c r="F579" s="1474">
        <v>104</v>
      </c>
      <c r="G579" s="1461" t="s">
        <v>629</v>
      </c>
      <c r="H579" s="1545">
        <v>1</v>
      </c>
      <c r="I579" s="1511">
        <f t="shared" si="13"/>
        <v>4.16</v>
      </c>
      <c r="J579" s="94"/>
      <c r="K579" s="94"/>
      <c r="L579" s="94"/>
      <c r="M579" s="94"/>
      <c r="N579" s="94"/>
      <c r="O579" s="93"/>
    </row>
    <row r="580" spans="1:15" x14ac:dyDescent="0.25">
      <c r="A580" s="1546">
        <v>30</v>
      </c>
      <c r="B580" s="1461" t="s">
        <v>822</v>
      </c>
      <c r="C580" s="1547"/>
      <c r="D580" s="1567">
        <v>0.65</v>
      </c>
      <c r="E580" s="1461" t="s">
        <v>64</v>
      </c>
      <c r="F580" s="1547">
        <v>1</v>
      </c>
      <c r="G580" s="1547"/>
      <c r="H580" s="1547"/>
      <c r="I580" s="1566">
        <f t="shared" si="13"/>
        <v>0.65</v>
      </c>
      <c r="J580" s="99"/>
      <c r="K580" s="99"/>
      <c r="L580" s="99"/>
      <c r="M580" s="99"/>
      <c r="N580" s="99"/>
      <c r="O580" s="130"/>
    </row>
    <row r="581" spans="1:15" ht="30" x14ac:dyDescent="0.25">
      <c r="A581" s="1458">
        <v>40</v>
      </c>
      <c r="B581" s="1461" t="s">
        <v>514</v>
      </c>
      <c r="C581" s="1460" t="s">
        <v>2635</v>
      </c>
      <c r="D581" s="1507">
        <v>0.04</v>
      </c>
      <c r="E581" s="1458" t="s">
        <v>512</v>
      </c>
      <c r="F581" s="1474">
        <v>2.2999999999999998</v>
      </c>
      <c r="G581" s="1461" t="s">
        <v>629</v>
      </c>
      <c r="H581" s="1545">
        <v>1</v>
      </c>
      <c r="I581" s="1511">
        <f t="shared" si="13"/>
        <v>9.1999999999999998E-2</v>
      </c>
      <c r="J581" s="94"/>
      <c r="K581" s="94"/>
      <c r="L581" s="94"/>
      <c r="M581" s="94"/>
      <c r="N581" s="94"/>
      <c r="O581" s="93"/>
    </row>
    <row r="582" spans="1:15" x14ac:dyDescent="0.25">
      <c r="A582" s="1546">
        <v>50</v>
      </c>
      <c r="B582" s="1461" t="s">
        <v>822</v>
      </c>
      <c r="C582" s="1547"/>
      <c r="D582" s="1567">
        <v>0.65</v>
      </c>
      <c r="E582" s="1461" t="s">
        <v>64</v>
      </c>
      <c r="F582" s="1547">
        <v>1</v>
      </c>
      <c r="G582" s="1547"/>
      <c r="H582" s="1547"/>
      <c r="I582" s="1566">
        <f t="shared" si="13"/>
        <v>0.65</v>
      </c>
      <c r="J582" s="94"/>
      <c r="K582" s="94"/>
      <c r="L582" s="94"/>
      <c r="M582" s="94"/>
      <c r="N582" s="94"/>
      <c r="O582" s="93"/>
    </row>
    <row r="583" spans="1:15" ht="30" x14ac:dyDescent="0.25">
      <c r="A583" s="1458">
        <v>60</v>
      </c>
      <c r="B583" s="1461" t="s">
        <v>514</v>
      </c>
      <c r="C583" s="1460" t="s">
        <v>2634</v>
      </c>
      <c r="D583" s="1507">
        <v>0.04</v>
      </c>
      <c r="E583" s="1458" t="s">
        <v>512</v>
      </c>
      <c r="F583" s="1474">
        <v>2.2999999999999998</v>
      </c>
      <c r="G583" s="1461" t="s">
        <v>629</v>
      </c>
      <c r="H583" s="1545">
        <v>1</v>
      </c>
      <c r="I583" s="1511">
        <f t="shared" si="13"/>
        <v>9.1999999999999998E-2</v>
      </c>
      <c r="J583" s="94"/>
      <c r="K583" s="94"/>
      <c r="L583" s="94"/>
      <c r="M583" s="94"/>
      <c r="N583" s="94"/>
      <c r="O583" s="93"/>
    </row>
    <row r="584" spans="1:15" x14ac:dyDescent="0.25">
      <c r="A584" s="1546">
        <v>70</v>
      </c>
      <c r="B584" s="1461" t="s">
        <v>822</v>
      </c>
      <c r="C584" s="1547"/>
      <c r="D584" s="1567">
        <v>0.65</v>
      </c>
      <c r="E584" s="1461" t="s">
        <v>64</v>
      </c>
      <c r="F584" s="1547">
        <v>1</v>
      </c>
      <c r="G584" s="1547"/>
      <c r="H584" s="1547"/>
      <c r="I584" s="1566">
        <f t="shared" si="13"/>
        <v>0.65</v>
      </c>
      <c r="J584" s="95"/>
      <c r="K584" s="95"/>
      <c r="L584" s="95"/>
      <c r="M584" s="95"/>
      <c r="N584" s="95"/>
      <c r="O584" s="93"/>
    </row>
    <row r="585" spans="1:15" ht="30" x14ac:dyDescent="0.25">
      <c r="A585" s="1458">
        <v>80</v>
      </c>
      <c r="B585" s="1461" t="s">
        <v>514</v>
      </c>
      <c r="C585" s="1460" t="s">
        <v>2633</v>
      </c>
      <c r="D585" s="1507">
        <v>0.04</v>
      </c>
      <c r="E585" s="1458" t="s">
        <v>512</v>
      </c>
      <c r="F585" s="1474">
        <v>6</v>
      </c>
      <c r="G585" s="1461" t="s">
        <v>629</v>
      </c>
      <c r="H585" s="1545">
        <v>1</v>
      </c>
      <c r="I585" s="1511">
        <f t="shared" si="13"/>
        <v>0.24</v>
      </c>
      <c r="J585" s="675"/>
      <c r="K585" s="94"/>
      <c r="L585" s="94"/>
      <c r="M585" s="94"/>
      <c r="N585" s="94"/>
      <c r="O585" s="93"/>
    </row>
    <row r="586" spans="1:15" x14ac:dyDescent="0.25">
      <c r="A586" s="1546">
        <v>90</v>
      </c>
      <c r="B586" s="1461" t="s">
        <v>822</v>
      </c>
      <c r="C586" s="1547"/>
      <c r="D586" s="1567">
        <v>0.65</v>
      </c>
      <c r="E586" s="1461" t="s">
        <v>64</v>
      </c>
      <c r="F586" s="1547">
        <v>1</v>
      </c>
      <c r="G586" s="1547"/>
      <c r="H586" s="1547"/>
      <c r="I586" s="1566">
        <f t="shared" si="13"/>
        <v>0.65</v>
      </c>
      <c r="J586" s="675"/>
      <c r="K586" s="94"/>
      <c r="L586" s="94"/>
      <c r="M586" s="94"/>
      <c r="N586" s="94"/>
      <c r="O586" s="93"/>
    </row>
    <row r="587" spans="1:15" ht="30" x14ac:dyDescent="0.25">
      <c r="A587" s="1458">
        <v>100</v>
      </c>
      <c r="B587" s="1461" t="s">
        <v>514</v>
      </c>
      <c r="C587" s="1460" t="s">
        <v>2632</v>
      </c>
      <c r="D587" s="1507">
        <v>0.04</v>
      </c>
      <c r="E587" s="1458" t="s">
        <v>512</v>
      </c>
      <c r="F587" s="1474">
        <v>30</v>
      </c>
      <c r="G587" s="1461" t="s">
        <v>629</v>
      </c>
      <c r="H587" s="1545">
        <v>1</v>
      </c>
      <c r="I587" s="1511">
        <f t="shared" si="13"/>
        <v>1.2</v>
      </c>
      <c r="J587" s="675"/>
      <c r="K587" s="94"/>
      <c r="L587" s="94"/>
      <c r="M587" s="94"/>
      <c r="N587" s="94"/>
      <c r="O587" s="93"/>
    </row>
    <row r="588" spans="1:15" ht="30" x14ac:dyDescent="0.25">
      <c r="A588" s="1546">
        <v>110</v>
      </c>
      <c r="B588" s="1461" t="s">
        <v>2631</v>
      </c>
      <c r="C588" s="1460" t="s">
        <v>2630</v>
      </c>
      <c r="D588" s="1507">
        <v>0.35</v>
      </c>
      <c r="E588" s="1458"/>
      <c r="F588" s="1474">
        <v>1</v>
      </c>
      <c r="G588" s="1461" t="s">
        <v>629</v>
      </c>
      <c r="H588" s="1545">
        <v>1</v>
      </c>
      <c r="I588" s="1511">
        <f t="shared" si="13"/>
        <v>0.35</v>
      </c>
      <c r="J588" s="675"/>
      <c r="K588" s="94"/>
      <c r="L588" s="94"/>
      <c r="M588" s="94"/>
      <c r="N588" s="94"/>
      <c r="O588" s="93"/>
    </row>
    <row r="589" spans="1:15" x14ac:dyDescent="0.25">
      <c r="A589" s="98"/>
      <c r="B589" s="95"/>
      <c r="C589" s="95"/>
      <c r="D589" s="95"/>
      <c r="E589" s="95"/>
      <c r="F589" s="95"/>
      <c r="G589" s="95"/>
      <c r="H589" s="1448" t="s">
        <v>58</v>
      </c>
      <c r="I589" s="1565">
        <f>SUM(I578:I588)</f>
        <v>10.033999999999999</v>
      </c>
      <c r="J589" s="94"/>
      <c r="K589" s="94"/>
      <c r="L589" s="94"/>
      <c r="M589" s="94"/>
      <c r="N589" s="94"/>
      <c r="O589" s="93"/>
    </row>
    <row r="590" spans="1:15" x14ac:dyDescent="0.25">
      <c r="A590" s="360"/>
      <c r="B590" s="99"/>
      <c r="C590" s="99"/>
      <c r="D590" s="99"/>
      <c r="E590" s="99"/>
      <c r="F590" s="99"/>
      <c r="G590" s="99"/>
      <c r="H590" s="359"/>
      <c r="I590" s="358"/>
      <c r="J590" s="99"/>
      <c r="K590" s="94"/>
      <c r="L590" s="94"/>
      <c r="M590" s="94"/>
      <c r="N590" s="94"/>
      <c r="O590" s="93"/>
    </row>
    <row r="591" spans="1:15" ht="15.75" thickBot="1" x14ac:dyDescent="0.3">
      <c r="A591" s="92"/>
      <c r="B591" s="91"/>
      <c r="C591" s="91"/>
      <c r="D591" s="91"/>
      <c r="E591" s="91"/>
      <c r="F591" s="91"/>
      <c r="G591" s="91"/>
      <c r="H591" s="91"/>
      <c r="I591" s="91"/>
      <c r="J591" s="91"/>
      <c r="K591" s="91"/>
      <c r="L591" s="91"/>
      <c r="M591" s="91"/>
      <c r="N591" s="91"/>
      <c r="O591" s="90"/>
    </row>
    <row r="592" spans="1:15" ht="15.75" thickBot="1" x14ac:dyDescent="0.3">
      <c r="A592" s="107"/>
      <c r="B592" s="94"/>
      <c r="C592" s="94"/>
      <c r="D592" s="94"/>
      <c r="E592" s="94"/>
      <c r="F592" s="94"/>
      <c r="G592" s="94"/>
      <c r="H592" s="94"/>
      <c r="I592" s="94"/>
      <c r="J592" s="94"/>
      <c r="K592" s="94"/>
      <c r="L592" s="94"/>
      <c r="M592" s="94"/>
      <c r="N592" s="94"/>
      <c r="O592" s="94"/>
    </row>
    <row r="593" spans="1:15" x14ac:dyDescent="0.25">
      <c r="A593" s="141"/>
      <c r="B593" s="140"/>
      <c r="C593" s="140"/>
      <c r="D593" s="140"/>
      <c r="E593" s="140"/>
      <c r="F593" s="140"/>
      <c r="G593" s="140"/>
      <c r="H593" s="140"/>
      <c r="I593" s="140"/>
      <c r="J593" s="140"/>
      <c r="K593" s="140"/>
      <c r="L593" s="140"/>
      <c r="M593" s="140"/>
      <c r="N593" s="140"/>
      <c r="O593" s="139"/>
    </row>
    <row r="594" spans="1:15" x14ac:dyDescent="0.25">
      <c r="A594" s="1454" t="s">
        <v>57</v>
      </c>
      <c r="B594" s="133" t="s">
        <v>523</v>
      </c>
      <c r="C594" s="94"/>
      <c r="D594" s="94"/>
      <c r="E594" s="94"/>
      <c r="F594" s="94"/>
      <c r="G594" s="94"/>
      <c r="H594" s="94"/>
      <c r="I594" s="94"/>
      <c r="J594" s="1456" t="s">
        <v>51</v>
      </c>
      <c r="K594" s="138">
        <v>81</v>
      </c>
      <c r="L594" s="94"/>
      <c r="M594" s="1454" t="s">
        <v>113</v>
      </c>
      <c r="N594" s="100">
        <f>SU_04003_m+SU_04003_p</f>
        <v>0.46456844800000002</v>
      </c>
      <c r="O594" s="93"/>
    </row>
    <row r="595" spans="1:15" x14ac:dyDescent="0.25">
      <c r="A595" s="1454" t="s">
        <v>125</v>
      </c>
      <c r="B595" s="133" t="s">
        <v>5</v>
      </c>
      <c r="C595" s="94"/>
      <c r="D595" s="1454" t="s">
        <v>122</v>
      </c>
      <c r="E595" s="547"/>
      <c r="F595" s="94"/>
      <c r="G595" s="94"/>
      <c r="H595" s="94"/>
      <c r="I595" s="94"/>
      <c r="J595" s="94"/>
      <c r="K595" s="94"/>
      <c r="L595" s="94"/>
      <c r="M595" s="1454" t="s">
        <v>124</v>
      </c>
      <c r="N595" s="136">
        <v>2</v>
      </c>
      <c r="O595" s="93"/>
    </row>
    <row r="596" spans="1:15" x14ac:dyDescent="0.25">
      <c r="A596" s="1454" t="s">
        <v>123</v>
      </c>
      <c r="B596" s="270" t="s">
        <v>2466</v>
      </c>
      <c r="C596" s="94"/>
      <c r="D596" s="1454" t="s">
        <v>119</v>
      </c>
      <c r="E596" s="94"/>
      <c r="F596" s="94"/>
      <c r="G596" s="94"/>
      <c r="H596" s="94"/>
      <c r="I596" s="94"/>
      <c r="J596" s="1455" t="s">
        <v>122</v>
      </c>
      <c r="K596" s="94"/>
      <c r="L596" s="94"/>
      <c r="M596" s="94"/>
      <c r="N596" s="94"/>
      <c r="O596" s="93"/>
    </row>
    <row r="597" spans="1:15" x14ac:dyDescent="0.25">
      <c r="A597" s="1454" t="s">
        <v>114</v>
      </c>
      <c r="B597" s="135" t="s">
        <v>2462</v>
      </c>
      <c r="C597" s="94"/>
      <c r="D597" s="1454" t="s">
        <v>116</v>
      </c>
      <c r="E597" s="94"/>
      <c r="F597" s="94"/>
      <c r="G597" s="94"/>
      <c r="H597" s="94"/>
      <c r="I597" s="94"/>
      <c r="J597" s="1455" t="s">
        <v>119</v>
      </c>
      <c r="K597" s="94"/>
      <c r="L597" s="94"/>
      <c r="M597" s="1454" t="s">
        <v>118</v>
      </c>
      <c r="N597" s="100">
        <f>N595*N594</f>
        <v>0.92913689600000005</v>
      </c>
      <c r="O597" s="93"/>
    </row>
    <row r="598" spans="1:15" x14ac:dyDescent="0.25">
      <c r="A598" s="1454" t="s">
        <v>121</v>
      </c>
      <c r="B598" s="269" t="s">
        <v>2629</v>
      </c>
      <c r="C598" s="94"/>
      <c r="D598" s="94"/>
      <c r="E598" s="94"/>
      <c r="F598" s="94"/>
      <c r="G598" s="94"/>
      <c r="H598" s="94"/>
      <c r="I598" s="94"/>
      <c r="J598" s="1455" t="s">
        <v>116</v>
      </c>
      <c r="K598" s="94"/>
      <c r="L598" s="94"/>
      <c r="M598" s="94"/>
      <c r="N598" s="94"/>
      <c r="O598" s="93"/>
    </row>
    <row r="599" spans="1:15" x14ac:dyDescent="0.25">
      <c r="A599" s="1454" t="s">
        <v>117</v>
      </c>
      <c r="B599" s="133" t="s">
        <v>23</v>
      </c>
      <c r="C599" s="94"/>
      <c r="D599" s="94"/>
      <c r="E599" s="94"/>
      <c r="F599" s="94"/>
      <c r="G599" s="94"/>
      <c r="H599" s="94"/>
      <c r="I599" s="94"/>
      <c r="J599" s="94"/>
      <c r="K599" s="94"/>
      <c r="L599" s="94"/>
      <c r="M599" s="94"/>
      <c r="N599" s="94"/>
      <c r="O599" s="93"/>
    </row>
    <row r="600" spans="1:15" x14ac:dyDescent="0.25">
      <c r="A600" s="1454" t="s">
        <v>115</v>
      </c>
      <c r="B600" s="133" t="s">
        <v>2628</v>
      </c>
      <c r="C600" s="94"/>
      <c r="D600" s="94"/>
      <c r="E600" s="94"/>
      <c r="F600" s="94"/>
      <c r="G600" s="94"/>
      <c r="H600" s="94"/>
      <c r="I600" s="94"/>
      <c r="J600" s="94"/>
      <c r="K600" s="94"/>
      <c r="L600" s="94"/>
      <c r="M600" s="94"/>
      <c r="N600" s="94"/>
      <c r="O600" s="93"/>
    </row>
    <row r="601" spans="1:15" x14ac:dyDescent="0.25">
      <c r="A601" s="266"/>
      <c r="B601" s="265"/>
      <c r="C601" s="265"/>
      <c r="D601" s="265"/>
      <c r="E601" s="265"/>
      <c r="F601" s="94"/>
      <c r="G601" s="94"/>
      <c r="H601" s="94"/>
      <c r="I601" s="94"/>
      <c r="J601" s="94"/>
      <c r="K601" s="94"/>
      <c r="L601" s="94"/>
      <c r="M601" s="94"/>
      <c r="N601" s="94"/>
      <c r="O601" s="93"/>
    </row>
    <row r="602" spans="1:15" x14ac:dyDescent="0.25">
      <c r="A602" s="1453" t="s">
        <v>67</v>
      </c>
      <c r="B602" s="1452" t="s">
        <v>112</v>
      </c>
      <c r="C602" s="1452" t="s">
        <v>66</v>
      </c>
      <c r="D602" s="1452" t="s">
        <v>65</v>
      </c>
      <c r="E602" s="1452" t="s">
        <v>81</v>
      </c>
      <c r="F602" s="1465" t="s">
        <v>80</v>
      </c>
      <c r="G602" s="1465" t="s">
        <v>79</v>
      </c>
      <c r="H602" s="1465" t="s">
        <v>78</v>
      </c>
      <c r="I602" s="1465" t="s">
        <v>111</v>
      </c>
      <c r="J602" s="1465" t="s">
        <v>110</v>
      </c>
      <c r="K602" s="1465" t="s">
        <v>109</v>
      </c>
      <c r="L602" s="1465" t="s">
        <v>108</v>
      </c>
      <c r="M602" s="1465" t="s">
        <v>40</v>
      </c>
      <c r="N602" s="1465" t="s">
        <v>58</v>
      </c>
      <c r="O602" s="93"/>
    </row>
    <row r="603" spans="1:15" ht="30" x14ac:dyDescent="0.25">
      <c r="A603" s="1557">
        <v>10</v>
      </c>
      <c r="B603" s="1560" t="s">
        <v>1134</v>
      </c>
      <c r="C603" s="1557" t="s">
        <v>2627</v>
      </c>
      <c r="D603" s="1533">
        <v>4.2</v>
      </c>
      <c r="E603" s="1564">
        <v>12</v>
      </c>
      <c r="F603" s="1557" t="s">
        <v>68</v>
      </c>
      <c r="G603" s="1557"/>
      <c r="H603" s="1531"/>
      <c r="I603" s="1473" t="s">
        <v>2626</v>
      </c>
      <c r="J603" s="1563">
        <f>3.14*0.006^2</f>
        <v>1.1304E-4</v>
      </c>
      <c r="K603" s="1528">
        <v>0.05</v>
      </c>
      <c r="L603" s="1559">
        <v>2720</v>
      </c>
      <c r="M603" s="1558">
        <v>1</v>
      </c>
      <c r="N603" s="1511">
        <f>IF(J603="",D603*M603,D603*J603*K603*L603*M603)</f>
        <v>6.4568448000000014E-2</v>
      </c>
      <c r="O603" s="143"/>
    </row>
    <row r="604" spans="1:15" x14ac:dyDescent="0.25">
      <c r="A604" s="98"/>
      <c r="B604" s="95"/>
      <c r="C604" s="95"/>
      <c r="D604" s="95"/>
      <c r="E604" s="95"/>
      <c r="F604" s="95"/>
      <c r="G604" s="95"/>
      <c r="H604" s="95"/>
      <c r="I604" s="95"/>
      <c r="J604" s="95"/>
      <c r="K604" s="95"/>
      <c r="L604" s="95"/>
      <c r="M604" s="1467" t="s">
        <v>58</v>
      </c>
      <c r="N604" s="1447">
        <f>SUM(N603:N603)</f>
        <v>6.4568448000000014E-2</v>
      </c>
      <c r="O604" s="93"/>
    </row>
    <row r="605" spans="1:15" x14ac:dyDescent="0.25">
      <c r="A605" s="107"/>
      <c r="B605" s="94"/>
      <c r="C605" s="94"/>
      <c r="D605" s="94"/>
      <c r="E605" s="94"/>
      <c r="F605" s="94"/>
      <c r="G605" s="94"/>
      <c r="H605" s="94"/>
      <c r="I605" s="94"/>
      <c r="J605" s="94"/>
      <c r="K605" s="94"/>
      <c r="L605" s="94"/>
      <c r="M605" s="94"/>
      <c r="N605" s="94"/>
      <c r="O605" s="93"/>
    </row>
    <row r="606" spans="1:15" x14ac:dyDescent="0.25">
      <c r="A606" s="1466" t="s">
        <v>67</v>
      </c>
      <c r="B606" s="1465" t="s">
        <v>106</v>
      </c>
      <c r="C606" s="1465" t="s">
        <v>66</v>
      </c>
      <c r="D606" s="1465" t="s">
        <v>65</v>
      </c>
      <c r="E606" s="1465" t="s">
        <v>64</v>
      </c>
      <c r="F606" s="1465" t="s">
        <v>40</v>
      </c>
      <c r="G606" s="1465" t="s">
        <v>105</v>
      </c>
      <c r="H606" s="1465" t="s">
        <v>104</v>
      </c>
      <c r="I606" s="1465" t="s">
        <v>58</v>
      </c>
      <c r="J606" s="95"/>
      <c r="K606" s="95"/>
      <c r="L606" s="95"/>
      <c r="M606" s="95"/>
      <c r="N606" s="95"/>
      <c r="O606" s="93"/>
    </row>
    <row r="607" spans="1:15" x14ac:dyDescent="0.25">
      <c r="A607" s="1458">
        <v>10</v>
      </c>
      <c r="B607" s="1461" t="s">
        <v>2625</v>
      </c>
      <c r="C607" s="1463"/>
      <c r="D607" s="1459">
        <v>0.4</v>
      </c>
      <c r="E607" s="1458" t="s">
        <v>101</v>
      </c>
      <c r="F607" s="1458">
        <v>1</v>
      </c>
      <c r="G607" s="1458"/>
      <c r="H607" s="1458"/>
      <c r="I607" s="1505">
        <f>IF(H607="",D607*F607,D607*F607*H607)</f>
        <v>0.4</v>
      </c>
      <c r="J607" s="142"/>
      <c r="K607" s="142"/>
      <c r="L607" s="142"/>
      <c r="M607" s="142"/>
      <c r="N607" s="142"/>
      <c r="O607" s="120"/>
    </row>
    <row r="608" spans="1:15" x14ac:dyDescent="0.25">
      <c r="A608" s="98"/>
      <c r="B608" s="95"/>
      <c r="C608" s="95"/>
      <c r="D608" s="95"/>
      <c r="E608" s="95"/>
      <c r="F608" s="95"/>
      <c r="G608" s="95"/>
      <c r="H608" s="1448" t="s">
        <v>58</v>
      </c>
      <c r="I608" s="1447">
        <f>SUM(I607:I607)</f>
        <v>0.4</v>
      </c>
      <c r="J608" s="95"/>
      <c r="K608" s="95"/>
      <c r="L608" s="95"/>
      <c r="M608" s="95"/>
      <c r="N608" s="95"/>
      <c r="O608" s="93"/>
    </row>
    <row r="609" spans="1:15" ht="15.75" thickBot="1" x14ac:dyDescent="0.3">
      <c r="A609" s="92"/>
      <c r="B609" s="91"/>
      <c r="C609" s="91"/>
      <c r="D609" s="91"/>
      <c r="E609" s="91"/>
      <c r="F609" s="91"/>
      <c r="G609" s="91"/>
      <c r="H609" s="544"/>
      <c r="I609" s="544"/>
      <c r="J609" s="91"/>
      <c r="K609" s="91"/>
      <c r="L609" s="91"/>
      <c r="M609" s="91"/>
      <c r="N609" s="91"/>
      <c r="O609" s="90"/>
    </row>
    <row r="610" spans="1:15" ht="15.75" thickBot="1" x14ac:dyDescent="0.3">
      <c r="A610" s="107"/>
      <c r="B610" s="94"/>
      <c r="C610" s="94"/>
      <c r="D610" s="94"/>
      <c r="E610" s="94"/>
      <c r="F610" s="94"/>
      <c r="G610" s="94"/>
      <c r="H610" s="675"/>
      <c r="I610" s="675"/>
      <c r="J610" s="94"/>
      <c r="K610" s="94"/>
      <c r="L610" s="94"/>
      <c r="M610" s="94"/>
      <c r="N610" s="94"/>
      <c r="O610" s="94"/>
    </row>
    <row r="611" spans="1:15" x14ac:dyDescent="0.25">
      <c r="A611" s="141"/>
      <c r="B611" s="140"/>
      <c r="C611" s="140"/>
      <c r="D611" s="140"/>
      <c r="E611" s="140"/>
      <c r="F611" s="140"/>
      <c r="G611" s="140"/>
      <c r="H611" s="140"/>
      <c r="I611" s="140"/>
      <c r="J611" s="272"/>
      <c r="K611" s="140"/>
      <c r="L611" s="140"/>
      <c r="M611" s="140"/>
      <c r="N611" s="140"/>
      <c r="O611" s="139"/>
    </row>
    <row r="612" spans="1:15" x14ac:dyDescent="0.25">
      <c r="A612" s="1454" t="s">
        <v>57</v>
      </c>
      <c r="B612" s="133" t="s">
        <v>523</v>
      </c>
      <c r="C612" s="94"/>
      <c r="D612" s="94"/>
      <c r="E612" s="94"/>
      <c r="F612" s="94"/>
      <c r="G612" s="94"/>
      <c r="H612" s="94"/>
      <c r="I612" s="94"/>
      <c r="J612" s="1456" t="s">
        <v>51</v>
      </c>
      <c r="K612" s="138">
        <v>81</v>
      </c>
      <c r="L612" s="94"/>
      <c r="M612" s="1454" t="s">
        <v>113</v>
      </c>
      <c r="N612" s="100">
        <f>SU_03004_m+SU_03004_p</f>
        <v>11.598131758522795</v>
      </c>
      <c r="O612" s="93"/>
    </row>
    <row r="613" spans="1:15" x14ac:dyDescent="0.25">
      <c r="A613" s="1454" t="s">
        <v>125</v>
      </c>
      <c r="B613" s="133" t="s">
        <v>5</v>
      </c>
      <c r="C613" s="94"/>
      <c r="D613" s="1454" t="s">
        <v>122</v>
      </c>
      <c r="E613" s="94"/>
      <c r="F613" s="94"/>
      <c r="G613" s="94"/>
      <c r="H613" s="94"/>
      <c r="I613" s="94"/>
      <c r="J613" s="94"/>
      <c r="K613" s="94"/>
      <c r="L613" s="94"/>
      <c r="M613" s="1454" t="s">
        <v>124</v>
      </c>
      <c r="N613" s="136">
        <v>1</v>
      </c>
      <c r="O613" s="93"/>
    </row>
    <row r="614" spans="1:15" x14ac:dyDescent="0.25">
      <c r="A614" s="1454" t="s">
        <v>123</v>
      </c>
      <c r="B614" s="270" t="s">
        <v>2466</v>
      </c>
      <c r="C614" s="94"/>
      <c r="D614" s="1454" t="s">
        <v>119</v>
      </c>
      <c r="E614" s="94"/>
      <c r="F614" s="94"/>
      <c r="G614" s="94"/>
      <c r="H614" s="94"/>
      <c r="I614" s="94"/>
      <c r="J614" s="1455" t="s">
        <v>122</v>
      </c>
      <c r="K614" s="94"/>
      <c r="L614" s="94"/>
      <c r="M614" s="94"/>
      <c r="N614" s="94"/>
      <c r="O614" s="93"/>
    </row>
    <row r="615" spans="1:15" x14ac:dyDescent="0.25">
      <c r="A615" s="1454" t="s">
        <v>114</v>
      </c>
      <c r="B615" s="135" t="s">
        <v>2461</v>
      </c>
      <c r="C615" s="94"/>
      <c r="D615" s="1454" t="s">
        <v>116</v>
      </c>
      <c r="E615" s="94"/>
      <c r="F615" s="94"/>
      <c r="G615" s="94"/>
      <c r="H615" s="94"/>
      <c r="I615" s="94"/>
      <c r="J615" s="1455" t="s">
        <v>119</v>
      </c>
      <c r="K615" s="94"/>
      <c r="L615" s="94"/>
      <c r="M615" s="1454" t="s">
        <v>118</v>
      </c>
      <c r="N615" s="100">
        <f>N613*N612</f>
        <v>11.598131758522795</v>
      </c>
      <c r="O615" s="93"/>
    </row>
    <row r="616" spans="1:15" x14ac:dyDescent="0.25">
      <c r="A616" s="1454" t="s">
        <v>121</v>
      </c>
      <c r="B616" s="269" t="s">
        <v>2624</v>
      </c>
      <c r="C616" s="94"/>
      <c r="D616" s="94"/>
      <c r="E616" s="94"/>
      <c r="F616" s="94"/>
      <c r="G616" s="94"/>
      <c r="H616" s="94"/>
      <c r="I616" s="94"/>
      <c r="J616" s="1455" t="s">
        <v>116</v>
      </c>
      <c r="K616" s="94"/>
      <c r="L616" s="94"/>
      <c r="M616" s="94"/>
      <c r="N616" s="94"/>
      <c r="O616" s="93"/>
    </row>
    <row r="617" spans="1:15" x14ac:dyDescent="0.25">
      <c r="A617" s="1454" t="s">
        <v>117</v>
      </c>
      <c r="B617" s="133" t="s">
        <v>23</v>
      </c>
      <c r="C617" s="94"/>
      <c r="D617" s="94"/>
      <c r="E617" s="94"/>
      <c r="F617" s="94"/>
      <c r="G617" s="94"/>
      <c r="H617" s="94"/>
      <c r="I617" s="94"/>
      <c r="J617" s="94"/>
      <c r="K617" s="94"/>
      <c r="L617" s="94"/>
      <c r="M617" s="94"/>
      <c r="N617" s="94"/>
      <c r="O617" s="93"/>
    </row>
    <row r="618" spans="1:15" x14ac:dyDescent="0.25">
      <c r="A618" s="1454" t="s">
        <v>115</v>
      </c>
      <c r="B618" s="133"/>
      <c r="C618" s="94"/>
      <c r="D618" s="94"/>
      <c r="E618" s="94"/>
      <c r="F618" s="94"/>
      <c r="G618" s="94"/>
      <c r="H618" s="94"/>
      <c r="I618" s="94"/>
      <c r="J618" s="94"/>
      <c r="K618" s="94"/>
      <c r="L618" s="94"/>
      <c r="M618" s="94"/>
      <c r="N618" s="94"/>
      <c r="O618" s="93"/>
    </row>
    <row r="619" spans="1:15" x14ac:dyDescent="0.25">
      <c r="A619" s="266"/>
      <c r="B619" s="265"/>
      <c r="C619" s="265"/>
      <c r="D619" s="265"/>
      <c r="E619" s="265"/>
      <c r="F619" s="94"/>
      <c r="G619" s="94"/>
      <c r="H619" s="94"/>
      <c r="I619" s="94"/>
      <c r="J619" s="94"/>
      <c r="K619" s="94"/>
      <c r="L619" s="94"/>
      <c r="M619" s="94"/>
      <c r="N619" s="94"/>
      <c r="O619" s="93"/>
    </row>
    <row r="620" spans="1:15" x14ac:dyDescent="0.25">
      <c r="A620" s="1453" t="s">
        <v>67</v>
      </c>
      <c r="B620" s="1452" t="s">
        <v>112</v>
      </c>
      <c r="C620" s="1452" t="s">
        <v>66</v>
      </c>
      <c r="D620" s="1452" t="s">
        <v>65</v>
      </c>
      <c r="E620" s="1452" t="s">
        <v>81</v>
      </c>
      <c r="F620" s="1465" t="s">
        <v>80</v>
      </c>
      <c r="G620" s="1465" t="s">
        <v>79</v>
      </c>
      <c r="H620" s="1465" t="s">
        <v>78</v>
      </c>
      <c r="I620" s="1465" t="s">
        <v>111</v>
      </c>
      <c r="J620" s="1465" t="s">
        <v>110</v>
      </c>
      <c r="K620" s="1465" t="s">
        <v>109</v>
      </c>
      <c r="L620" s="1465" t="s">
        <v>108</v>
      </c>
      <c r="M620" s="1465" t="s">
        <v>40</v>
      </c>
      <c r="N620" s="1465" t="s">
        <v>58</v>
      </c>
      <c r="O620" s="93"/>
    </row>
    <row r="621" spans="1:15" ht="30" x14ac:dyDescent="0.25">
      <c r="A621" s="1458">
        <v>10</v>
      </c>
      <c r="B621" s="1475" t="s">
        <v>1000</v>
      </c>
      <c r="C621" s="1508" t="s">
        <v>1240</v>
      </c>
      <c r="D621" s="1507">
        <v>200</v>
      </c>
      <c r="E621" s="1458">
        <v>16</v>
      </c>
      <c r="F621" s="1458" t="s">
        <v>68</v>
      </c>
      <c r="G621" s="1458">
        <v>2</v>
      </c>
      <c r="H621" s="1470" t="s">
        <v>68</v>
      </c>
      <c r="I621" s="1473" t="s">
        <v>2622</v>
      </c>
      <c r="J621" s="1472">
        <f>(1/4)*PI()*((E621*0.001)^2-(E621*0.001-2*G621*0.001)^2)</f>
        <v>8.7964594300514196E-5</v>
      </c>
      <c r="K621" s="1471">
        <v>0.216</v>
      </c>
      <c r="L621" s="1470">
        <v>2000</v>
      </c>
      <c r="M621" s="1469">
        <v>1</v>
      </c>
      <c r="N621" s="1505">
        <f>IF(J621="",D621*M621,D621*J621*K621*L621*M621)</f>
        <v>7.6001409475644266</v>
      </c>
      <c r="O621" s="143"/>
    </row>
    <row r="622" spans="1:15" x14ac:dyDescent="0.25">
      <c r="A622" s="98"/>
      <c r="B622" s="95"/>
      <c r="C622" s="95"/>
      <c r="D622" s="95"/>
      <c r="E622" s="95"/>
      <c r="F622" s="95"/>
      <c r="G622" s="95"/>
      <c r="H622" s="95"/>
      <c r="I622" s="95"/>
      <c r="J622" s="95"/>
      <c r="K622" s="95"/>
      <c r="L622" s="95"/>
      <c r="M622" s="1467" t="s">
        <v>58</v>
      </c>
      <c r="N622" s="1447">
        <f>SUM(N621:N621)</f>
        <v>7.6001409475644266</v>
      </c>
      <c r="O622" s="93"/>
    </row>
    <row r="623" spans="1:15" x14ac:dyDescent="0.25">
      <c r="A623" s="107"/>
      <c r="B623" s="94"/>
      <c r="C623" s="94"/>
      <c r="D623" s="94"/>
      <c r="E623" s="94"/>
      <c r="F623" s="94"/>
      <c r="G623" s="94"/>
      <c r="H623" s="94"/>
      <c r="I623" s="94"/>
      <c r="J623" s="94"/>
      <c r="K623" s="94"/>
      <c r="L623" s="94"/>
      <c r="M623" s="94"/>
      <c r="N623" s="94"/>
      <c r="O623" s="93"/>
    </row>
    <row r="624" spans="1:15" x14ac:dyDescent="0.25">
      <c r="A624" s="1466" t="s">
        <v>67</v>
      </c>
      <c r="B624" s="1465" t="s">
        <v>106</v>
      </c>
      <c r="C624" s="1465" t="s">
        <v>66</v>
      </c>
      <c r="D624" s="1465" t="s">
        <v>65</v>
      </c>
      <c r="E624" s="1465" t="s">
        <v>64</v>
      </c>
      <c r="F624" s="1465" t="s">
        <v>40</v>
      </c>
      <c r="G624" s="1465" t="s">
        <v>105</v>
      </c>
      <c r="H624" s="1465" t="s">
        <v>104</v>
      </c>
      <c r="I624" s="1465" t="s">
        <v>58</v>
      </c>
      <c r="J624" s="95"/>
      <c r="K624" s="95"/>
      <c r="L624" s="95"/>
      <c r="M624" s="95"/>
      <c r="N624" s="95"/>
      <c r="O624" s="93"/>
    </row>
    <row r="625" spans="1:15" ht="30" x14ac:dyDescent="0.25">
      <c r="A625" s="1544">
        <v>10</v>
      </c>
      <c r="B625" s="1461" t="s">
        <v>1280</v>
      </c>
      <c r="C625" s="1546" t="s">
        <v>1279</v>
      </c>
      <c r="D625" s="1507">
        <v>25</v>
      </c>
      <c r="E625" s="1461" t="s">
        <v>794</v>
      </c>
      <c r="F625" s="1544">
        <f>J621*K621*L621</f>
        <v>3.8000704737822133E-2</v>
      </c>
      <c r="G625" s="1544"/>
      <c r="H625" s="1544"/>
      <c r="I625" s="1511">
        <f>IF(H625="",D625*F625,D625*F625*H625)</f>
        <v>0.95001761844555332</v>
      </c>
      <c r="J625" s="142"/>
      <c r="K625" s="142"/>
      <c r="L625" s="142"/>
      <c r="M625" s="142"/>
      <c r="N625" s="142"/>
      <c r="O625" s="120"/>
    </row>
    <row r="626" spans="1:15" x14ac:dyDescent="0.25">
      <c r="A626" s="98"/>
      <c r="B626" s="95"/>
      <c r="C626" s="95"/>
      <c r="D626" s="95"/>
      <c r="E626" s="95"/>
      <c r="F626" s="95"/>
      <c r="G626" s="95"/>
      <c r="H626" s="1448" t="s">
        <v>58</v>
      </c>
      <c r="I626" s="1447">
        <f>SUM(I625:I625)</f>
        <v>0.95001761844555332</v>
      </c>
      <c r="J626" s="95"/>
      <c r="K626" s="95"/>
      <c r="L626" s="95"/>
      <c r="M626" s="95"/>
      <c r="N626" s="95"/>
      <c r="O626" s="93"/>
    </row>
    <row r="627" spans="1:15" x14ac:dyDescent="0.25">
      <c r="A627" s="107"/>
      <c r="B627" s="94"/>
      <c r="C627" s="94"/>
      <c r="D627" s="94"/>
      <c r="E627" s="94"/>
      <c r="F627" s="94"/>
      <c r="G627" s="94"/>
      <c r="H627" s="94"/>
      <c r="I627" s="99"/>
      <c r="J627" s="94"/>
      <c r="K627" s="94"/>
      <c r="L627" s="94"/>
      <c r="M627" s="94"/>
      <c r="N627" s="94"/>
      <c r="O627" s="93"/>
    </row>
    <row r="628" spans="1:15" x14ac:dyDescent="0.25">
      <c r="A628" s="107"/>
      <c r="B628" s="94"/>
      <c r="C628" s="94"/>
      <c r="D628" s="94"/>
      <c r="E628" s="94"/>
      <c r="F628" s="94"/>
      <c r="G628" s="94"/>
      <c r="H628" s="94"/>
      <c r="I628" s="99"/>
      <c r="J628" s="94"/>
      <c r="K628" s="94"/>
      <c r="L628" s="94"/>
      <c r="M628" s="94"/>
      <c r="N628" s="94"/>
      <c r="O628" s="93"/>
    </row>
    <row r="629" spans="1:15" x14ac:dyDescent="0.25">
      <c r="A629" s="107"/>
      <c r="B629" s="94"/>
      <c r="C629" s="94"/>
      <c r="D629" s="94"/>
      <c r="E629" s="94"/>
      <c r="F629" s="94"/>
      <c r="G629" s="94"/>
      <c r="H629" s="94"/>
      <c r="I629" s="99"/>
      <c r="J629" s="94"/>
      <c r="K629" s="94"/>
      <c r="L629" s="94"/>
      <c r="M629" s="94"/>
      <c r="N629" s="94"/>
      <c r="O629" s="93"/>
    </row>
    <row r="630" spans="1:15" ht="15.75" thickBot="1" x14ac:dyDescent="0.3">
      <c r="A630" s="92"/>
      <c r="B630" s="91"/>
      <c r="C630" s="91"/>
      <c r="D630" s="91"/>
      <c r="E630" s="91"/>
      <c r="F630" s="91"/>
      <c r="G630" s="91"/>
      <c r="H630" s="91"/>
      <c r="I630" s="91"/>
      <c r="J630" s="91"/>
      <c r="K630" s="91"/>
      <c r="L630" s="91"/>
      <c r="M630" s="91"/>
      <c r="N630" s="91"/>
      <c r="O630" s="90"/>
    </row>
    <row r="631" spans="1:15" ht="15.75" thickBot="1" x14ac:dyDescent="0.3"/>
    <row r="632" spans="1:15" x14ac:dyDescent="0.25">
      <c r="A632" s="141"/>
      <c r="B632" s="140"/>
      <c r="C632" s="140"/>
      <c r="D632" s="140"/>
      <c r="E632" s="140"/>
      <c r="F632" s="140"/>
      <c r="G632" s="140"/>
      <c r="H632" s="140"/>
      <c r="I632" s="140"/>
      <c r="J632" s="272"/>
      <c r="K632" s="140"/>
      <c r="L632" s="140"/>
      <c r="M632" s="140"/>
      <c r="N632" s="140"/>
      <c r="O632" s="139"/>
    </row>
    <row r="633" spans="1:15" x14ac:dyDescent="0.25">
      <c r="A633" s="1454" t="s">
        <v>57</v>
      </c>
      <c r="B633" s="133" t="s">
        <v>523</v>
      </c>
      <c r="C633" s="94"/>
      <c r="D633" s="94"/>
      <c r="E633" s="94"/>
      <c r="F633" s="94"/>
      <c r="G633" s="94"/>
      <c r="H633" s="94"/>
      <c r="I633" s="94"/>
      <c r="J633" s="1456" t="s">
        <v>51</v>
      </c>
      <c r="K633" s="138">
        <v>81</v>
      </c>
      <c r="L633" s="94"/>
      <c r="M633" s="1454" t="s">
        <v>113</v>
      </c>
      <c r="N633" s="100">
        <f>SU_04005_m+SU_04005_p</f>
        <v>7.4022206103882704</v>
      </c>
      <c r="O633" s="93"/>
    </row>
    <row r="634" spans="1:15" x14ac:dyDescent="0.25">
      <c r="A634" s="1454" t="s">
        <v>125</v>
      </c>
      <c r="B634" s="133" t="s">
        <v>5</v>
      </c>
      <c r="C634" s="94"/>
      <c r="D634" s="1454" t="s">
        <v>122</v>
      </c>
      <c r="E634" s="94"/>
      <c r="F634" s="94"/>
      <c r="G634" s="94"/>
      <c r="H634" s="94"/>
      <c r="I634" s="94"/>
      <c r="J634" s="94"/>
      <c r="K634" s="94"/>
      <c r="L634" s="94"/>
      <c r="M634" s="1454" t="s">
        <v>124</v>
      </c>
      <c r="N634" s="136">
        <v>1</v>
      </c>
      <c r="O634" s="93"/>
    </row>
    <row r="635" spans="1:15" x14ac:dyDescent="0.25">
      <c r="A635" s="1454" t="s">
        <v>123</v>
      </c>
      <c r="B635" s="270" t="s">
        <v>2466</v>
      </c>
      <c r="C635" s="94"/>
      <c r="D635" s="1454" t="s">
        <v>119</v>
      </c>
      <c r="E635" s="94"/>
      <c r="F635" s="94"/>
      <c r="G635" s="94"/>
      <c r="H635" s="94"/>
      <c r="I635" s="94"/>
      <c r="J635" s="1455" t="s">
        <v>122</v>
      </c>
      <c r="K635" s="94"/>
      <c r="L635" s="94"/>
      <c r="M635" s="94"/>
      <c r="N635" s="94"/>
      <c r="O635" s="93"/>
    </row>
    <row r="636" spans="1:15" x14ac:dyDescent="0.25">
      <c r="A636" s="1454" t="s">
        <v>114</v>
      </c>
      <c r="B636" s="135" t="s">
        <v>2460</v>
      </c>
      <c r="C636" s="94"/>
      <c r="D636" s="1454" t="s">
        <v>116</v>
      </c>
      <c r="E636" s="94"/>
      <c r="F636" s="94"/>
      <c r="G636" s="94"/>
      <c r="H636" s="94"/>
      <c r="I636" s="94"/>
      <c r="J636" s="1455" t="s">
        <v>119</v>
      </c>
      <c r="K636" s="94"/>
      <c r="L636" s="94"/>
      <c r="M636" s="1454" t="s">
        <v>118</v>
      </c>
      <c r="N636" s="100">
        <f>N634*N633</f>
        <v>7.4022206103882704</v>
      </c>
      <c r="O636" s="93"/>
    </row>
    <row r="637" spans="1:15" x14ac:dyDescent="0.25">
      <c r="A637" s="1454" t="s">
        <v>121</v>
      </c>
      <c r="B637" s="269" t="s">
        <v>2623</v>
      </c>
      <c r="C637" s="94"/>
      <c r="D637" s="94"/>
      <c r="E637" s="94"/>
      <c r="F637" s="94"/>
      <c r="G637" s="94"/>
      <c r="H637" s="94"/>
      <c r="I637" s="94"/>
      <c r="J637" s="1455" t="s">
        <v>116</v>
      </c>
      <c r="K637" s="94"/>
      <c r="L637" s="94"/>
      <c r="M637" s="94"/>
      <c r="N637" s="94"/>
      <c r="O637" s="93"/>
    </row>
    <row r="638" spans="1:15" x14ac:dyDescent="0.25">
      <c r="A638" s="1454" t="s">
        <v>117</v>
      </c>
      <c r="B638" s="133" t="s">
        <v>23</v>
      </c>
      <c r="C638" s="94"/>
      <c r="D638" s="94"/>
      <c r="E638" s="94"/>
      <c r="F638" s="94"/>
      <c r="G638" s="94"/>
      <c r="H638" s="94"/>
      <c r="I638" s="94"/>
      <c r="J638" s="94"/>
      <c r="K638" s="94"/>
      <c r="L638" s="94"/>
      <c r="M638" s="94"/>
      <c r="N638" s="94"/>
      <c r="O638" s="93"/>
    </row>
    <row r="639" spans="1:15" x14ac:dyDescent="0.25">
      <c r="A639" s="1454" t="s">
        <v>115</v>
      </c>
      <c r="B639" s="133"/>
      <c r="C639" s="94"/>
      <c r="D639" s="94"/>
      <c r="E639" s="94"/>
      <c r="F639" s="94"/>
      <c r="G639" s="94"/>
      <c r="H639" s="94"/>
      <c r="I639" s="94"/>
      <c r="J639" s="94"/>
      <c r="K639" s="94"/>
      <c r="L639" s="94"/>
      <c r="M639" s="94"/>
      <c r="N639" s="94"/>
      <c r="O639" s="93"/>
    </row>
    <row r="640" spans="1:15" ht="30" customHeight="1" x14ac:dyDescent="0.25">
      <c r="A640" s="266"/>
      <c r="B640" s="265"/>
      <c r="C640" s="265"/>
      <c r="D640" s="265"/>
      <c r="E640" s="265"/>
      <c r="F640" s="94"/>
      <c r="G640" s="94"/>
      <c r="H640" s="94"/>
      <c r="I640" s="94"/>
      <c r="J640" s="94"/>
      <c r="K640" s="94"/>
      <c r="L640" s="94"/>
      <c r="M640" s="94"/>
      <c r="N640" s="94"/>
      <c r="O640" s="93"/>
    </row>
    <row r="641" spans="1:15" x14ac:dyDescent="0.25">
      <c r="A641" s="1453" t="s">
        <v>67</v>
      </c>
      <c r="B641" s="1452" t="s">
        <v>112</v>
      </c>
      <c r="C641" s="1452" t="s">
        <v>66</v>
      </c>
      <c r="D641" s="1452" t="s">
        <v>65</v>
      </c>
      <c r="E641" s="1452" t="s">
        <v>81</v>
      </c>
      <c r="F641" s="1465" t="s">
        <v>80</v>
      </c>
      <c r="G641" s="1465" t="s">
        <v>79</v>
      </c>
      <c r="H641" s="1465" t="s">
        <v>78</v>
      </c>
      <c r="I641" s="1465" t="s">
        <v>111</v>
      </c>
      <c r="J641" s="1465" t="s">
        <v>110</v>
      </c>
      <c r="K641" s="1465" t="s">
        <v>109</v>
      </c>
      <c r="L641" s="1465" t="s">
        <v>108</v>
      </c>
      <c r="M641" s="1465" t="s">
        <v>40</v>
      </c>
      <c r="N641" s="1465" t="s">
        <v>58</v>
      </c>
      <c r="O641" s="93"/>
    </row>
    <row r="642" spans="1:15" ht="30" x14ac:dyDescent="0.25">
      <c r="A642" s="1458">
        <v>10</v>
      </c>
      <c r="B642" s="1475" t="s">
        <v>1000</v>
      </c>
      <c r="C642" s="1508" t="s">
        <v>1240</v>
      </c>
      <c r="D642" s="1507">
        <v>200</v>
      </c>
      <c r="E642" s="1458">
        <v>16</v>
      </c>
      <c r="F642" s="1458" t="s">
        <v>68</v>
      </c>
      <c r="G642" s="1458">
        <v>2</v>
      </c>
      <c r="H642" s="1470" t="s">
        <v>68</v>
      </c>
      <c r="I642" s="1473" t="s">
        <v>2622</v>
      </c>
      <c r="J642" s="1472">
        <f>(1/4)*PI()*((E642*0.001)^2-(E642*0.001-2*G642*0.001)^2)</f>
        <v>8.7964594300514196E-5</v>
      </c>
      <c r="K642" s="1471">
        <v>0.187</v>
      </c>
      <c r="L642" s="1470">
        <v>2000</v>
      </c>
      <c r="M642" s="1469">
        <v>1</v>
      </c>
      <c r="N642" s="1505">
        <f>IF(J642="",D642*M642,D642*J642*K642*L642*M642)</f>
        <v>6.5797516536784624</v>
      </c>
      <c r="O642" s="143"/>
    </row>
    <row r="643" spans="1:15" x14ac:dyDescent="0.25">
      <c r="A643" s="98"/>
      <c r="B643" s="95"/>
      <c r="C643" s="95"/>
      <c r="D643" s="95"/>
      <c r="E643" s="95"/>
      <c r="F643" s="95"/>
      <c r="G643" s="95"/>
      <c r="H643" s="95"/>
      <c r="I643" s="95"/>
      <c r="J643" s="95"/>
      <c r="K643" s="95"/>
      <c r="L643" s="95"/>
      <c r="M643" s="1467" t="s">
        <v>58</v>
      </c>
      <c r="N643" s="1447">
        <f>SUM(N642:N642)</f>
        <v>6.5797516536784624</v>
      </c>
      <c r="O643" s="93"/>
    </row>
    <row r="644" spans="1:15" x14ac:dyDescent="0.25">
      <c r="A644" s="107"/>
      <c r="B644" s="94"/>
      <c r="C644" s="94"/>
      <c r="D644" s="94"/>
      <c r="E644" s="94"/>
      <c r="F644" s="94"/>
      <c r="G644" s="94"/>
      <c r="H644" s="94"/>
      <c r="I644" s="94"/>
      <c r="J644" s="94"/>
      <c r="K644" s="94"/>
      <c r="L644" s="94"/>
      <c r="M644" s="94"/>
      <c r="N644" s="94"/>
      <c r="O644" s="93"/>
    </row>
    <row r="645" spans="1:15" x14ac:dyDescent="0.25">
      <c r="A645" s="1466" t="s">
        <v>67</v>
      </c>
      <c r="B645" s="1465" t="s">
        <v>106</v>
      </c>
      <c r="C645" s="1465" t="s">
        <v>66</v>
      </c>
      <c r="D645" s="1465" t="s">
        <v>65</v>
      </c>
      <c r="E645" s="1465" t="s">
        <v>64</v>
      </c>
      <c r="F645" s="1465" t="s">
        <v>40</v>
      </c>
      <c r="G645" s="1465" t="s">
        <v>105</v>
      </c>
      <c r="H645" s="1465" t="s">
        <v>104</v>
      </c>
      <c r="I645" s="1465" t="s">
        <v>58</v>
      </c>
      <c r="J645" s="95"/>
      <c r="K645" s="95"/>
      <c r="L645" s="95"/>
      <c r="M645" s="95"/>
      <c r="N645" s="95"/>
      <c r="O645" s="93"/>
    </row>
    <row r="646" spans="1:15" ht="30" x14ac:dyDescent="0.25">
      <c r="A646" s="1544">
        <v>10</v>
      </c>
      <c r="B646" s="1461" t="s">
        <v>1280</v>
      </c>
      <c r="C646" s="1546" t="s">
        <v>1279</v>
      </c>
      <c r="D646" s="1507">
        <v>25</v>
      </c>
      <c r="E646" s="1461" t="s">
        <v>794</v>
      </c>
      <c r="F646" s="1544">
        <f>J642*K642*L642</f>
        <v>3.2898758268392315E-2</v>
      </c>
      <c r="G646" s="1544"/>
      <c r="H646" s="1544"/>
      <c r="I646" s="1511">
        <f>IF(H646="",D646*F646,D646*F646*H646)</f>
        <v>0.82246895670980791</v>
      </c>
      <c r="J646" s="142"/>
      <c r="K646" s="142"/>
      <c r="L646" s="142"/>
      <c r="M646" s="142"/>
      <c r="N646" s="142"/>
      <c r="O646" s="120"/>
    </row>
    <row r="647" spans="1:15" x14ac:dyDescent="0.25">
      <c r="A647" s="98"/>
      <c r="B647" s="95"/>
      <c r="C647" s="95"/>
      <c r="D647" s="95"/>
      <c r="E647" s="95"/>
      <c r="F647" s="95"/>
      <c r="G647" s="95"/>
      <c r="H647" s="1448" t="s">
        <v>58</v>
      </c>
      <c r="I647" s="1447">
        <f>SUM(I646:I646)</f>
        <v>0.82246895670980791</v>
      </c>
      <c r="J647" s="95"/>
      <c r="K647" s="95"/>
      <c r="L647" s="95"/>
      <c r="M647" s="95"/>
      <c r="N647" s="95"/>
      <c r="O647" s="93"/>
    </row>
    <row r="648" spans="1:15" x14ac:dyDescent="0.25">
      <c r="A648" s="107"/>
      <c r="B648" s="94"/>
      <c r="C648" s="94"/>
      <c r="D648" s="94"/>
      <c r="E648" s="94"/>
      <c r="F648" s="94"/>
      <c r="G648" s="94"/>
      <c r="H648" s="94"/>
      <c r="I648" s="99"/>
      <c r="J648" s="94"/>
      <c r="K648" s="94"/>
      <c r="L648" s="94"/>
      <c r="M648" s="94"/>
      <c r="N648" s="94"/>
      <c r="O648" s="93"/>
    </row>
    <row r="649" spans="1:15" x14ac:dyDescent="0.25">
      <c r="A649" s="107"/>
      <c r="B649" s="94"/>
      <c r="C649" s="94"/>
      <c r="D649" s="94"/>
      <c r="E649" s="94"/>
      <c r="F649" s="94"/>
      <c r="G649" s="94"/>
      <c r="H649" s="94"/>
      <c r="I649" s="99"/>
      <c r="J649" s="94"/>
      <c r="K649" s="94"/>
      <c r="L649" s="94"/>
      <c r="M649" s="94"/>
      <c r="N649" s="94"/>
      <c r="O649" s="93"/>
    </row>
    <row r="650" spans="1:15" x14ac:dyDescent="0.25">
      <c r="A650" s="107"/>
      <c r="B650" s="94"/>
      <c r="C650" s="94"/>
      <c r="D650" s="94"/>
      <c r="E650" s="94"/>
      <c r="F650" s="94"/>
      <c r="G650" s="94"/>
      <c r="H650" s="94"/>
      <c r="I650" s="99"/>
      <c r="J650" s="94"/>
      <c r="K650" s="94"/>
      <c r="L650" s="94"/>
      <c r="M650" s="94"/>
      <c r="N650" s="94"/>
      <c r="O650" s="93"/>
    </row>
    <row r="651" spans="1:15" ht="15.75" thickBot="1" x14ac:dyDescent="0.3">
      <c r="A651" s="92"/>
      <c r="B651" s="91"/>
      <c r="C651" s="91"/>
      <c r="D651" s="91"/>
      <c r="E651" s="91"/>
      <c r="F651" s="91"/>
      <c r="G651" s="91"/>
      <c r="H651" s="91"/>
      <c r="I651" s="91"/>
      <c r="J651" s="91"/>
      <c r="K651" s="91"/>
      <c r="L651" s="91"/>
      <c r="M651" s="91"/>
      <c r="N651" s="91"/>
      <c r="O651" s="90"/>
    </row>
    <row r="652" spans="1:15" ht="15.75" thickBot="1" x14ac:dyDescent="0.3">
      <c r="A652" s="107"/>
      <c r="B652" s="94"/>
      <c r="C652" s="94"/>
      <c r="D652" s="94"/>
      <c r="E652" s="94"/>
      <c r="F652" s="94"/>
      <c r="G652" s="94"/>
      <c r="H652" s="94"/>
      <c r="I652" s="94"/>
      <c r="J652" s="94"/>
      <c r="K652" s="94"/>
      <c r="L652" s="94"/>
      <c r="M652" s="94"/>
      <c r="N652" s="94"/>
      <c r="O652" s="94"/>
    </row>
    <row r="653" spans="1:15" x14ac:dyDescent="0.25">
      <c r="A653" s="141"/>
      <c r="B653" s="140"/>
      <c r="C653" s="140"/>
      <c r="D653" s="140"/>
      <c r="E653" s="140"/>
      <c r="F653" s="140"/>
      <c r="G653" s="140"/>
      <c r="H653" s="140"/>
      <c r="I653" s="140"/>
      <c r="J653" s="272"/>
      <c r="K653" s="140"/>
      <c r="L653" s="140"/>
      <c r="M653" s="140"/>
      <c r="N653" s="140"/>
      <c r="O653" s="139"/>
    </row>
    <row r="654" spans="1:15" x14ac:dyDescent="0.25">
      <c r="A654" s="1454" t="s">
        <v>57</v>
      </c>
      <c r="B654" s="133" t="s">
        <v>523</v>
      </c>
      <c r="C654" s="94"/>
      <c r="D654" s="94"/>
      <c r="E654" s="94"/>
      <c r="F654" s="94"/>
      <c r="G654" s="94"/>
      <c r="H654" s="94"/>
      <c r="I654" s="94"/>
      <c r="J654" s="1456" t="s">
        <v>51</v>
      </c>
      <c r="K654" s="138">
        <v>81</v>
      </c>
      <c r="L654" s="94"/>
      <c r="M654" s="1454" t="s">
        <v>113</v>
      </c>
      <c r="N654" s="100">
        <f>SU_04006_m+SU_04006_p</f>
        <v>1.6884895769514321</v>
      </c>
      <c r="O654" s="93"/>
    </row>
    <row r="655" spans="1:15" x14ac:dyDescent="0.25">
      <c r="A655" s="1454" t="s">
        <v>125</v>
      </c>
      <c r="B655" s="133" t="s">
        <v>5</v>
      </c>
      <c r="C655" s="94"/>
      <c r="D655" s="1454" t="s">
        <v>122</v>
      </c>
      <c r="E655" s="94"/>
      <c r="F655" s="94"/>
      <c r="G655" s="94"/>
      <c r="H655" s="94"/>
      <c r="I655" s="94"/>
      <c r="J655" s="94"/>
      <c r="K655" s="94"/>
      <c r="L655" s="94"/>
      <c r="M655" s="1454" t="s">
        <v>124</v>
      </c>
      <c r="N655" s="136">
        <v>6</v>
      </c>
      <c r="O655" s="93"/>
    </row>
    <row r="656" spans="1:15" x14ac:dyDescent="0.25">
      <c r="A656" s="1454" t="s">
        <v>123</v>
      </c>
      <c r="B656" s="270" t="s">
        <v>2466</v>
      </c>
      <c r="C656" s="94"/>
      <c r="D656" s="1454" t="s">
        <v>119</v>
      </c>
      <c r="E656" s="94"/>
      <c r="F656" s="94"/>
      <c r="G656" s="94"/>
      <c r="H656" s="94"/>
      <c r="I656" s="94"/>
      <c r="J656" s="1455" t="s">
        <v>122</v>
      </c>
      <c r="K656" s="94"/>
      <c r="L656" s="94"/>
      <c r="M656" s="94"/>
      <c r="N656" s="94"/>
      <c r="O656" s="93"/>
    </row>
    <row r="657" spans="1:15" x14ac:dyDescent="0.25">
      <c r="A657" s="1454" t="s">
        <v>114</v>
      </c>
      <c r="B657" s="135" t="s">
        <v>1104</v>
      </c>
      <c r="C657" s="94"/>
      <c r="D657" s="1454" t="s">
        <v>116</v>
      </c>
      <c r="E657" s="94"/>
      <c r="F657" s="94"/>
      <c r="G657" s="94"/>
      <c r="H657" s="94"/>
      <c r="I657" s="94"/>
      <c r="J657" s="1455" t="s">
        <v>119</v>
      </c>
      <c r="K657" s="94"/>
      <c r="L657" s="94"/>
      <c r="M657" s="1454" t="s">
        <v>118</v>
      </c>
      <c r="N657" s="100">
        <f>N655*N654</f>
        <v>10.130937461708593</v>
      </c>
      <c r="O657" s="93"/>
    </row>
    <row r="658" spans="1:15" x14ac:dyDescent="0.25">
      <c r="A658" s="1454" t="s">
        <v>121</v>
      </c>
      <c r="B658" s="269" t="s">
        <v>2621</v>
      </c>
      <c r="C658" s="94"/>
      <c r="D658" s="94"/>
      <c r="E658" s="94"/>
      <c r="F658" s="94"/>
      <c r="G658" s="94"/>
      <c r="H658" s="94"/>
      <c r="I658" s="94"/>
      <c r="J658" s="1455" t="s">
        <v>116</v>
      </c>
      <c r="K658" s="94"/>
      <c r="L658" s="94"/>
      <c r="M658" s="94"/>
      <c r="N658" s="94"/>
      <c r="O658" s="93"/>
    </row>
    <row r="659" spans="1:15" x14ac:dyDescent="0.25">
      <c r="A659" s="1454" t="s">
        <v>117</v>
      </c>
      <c r="B659" s="133" t="s">
        <v>23</v>
      </c>
      <c r="C659" s="94"/>
      <c r="D659" s="94"/>
      <c r="E659" s="94"/>
      <c r="F659" s="94"/>
      <c r="G659" s="94"/>
      <c r="H659" s="94"/>
      <c r="I659" s="94"/>
      <c r="J659" s="94"/>
      <c r="K659" s="94"/>
      <c r="L659" s="94"/>
      <c r="M659" s="94"/>
      <c r="N659" s="94"/>
      <c r="O659" s="93"/>
    </row>
    <row r="660" spans="1:15" x14ac:dyDescent="0.25">
      <c r="A660" s="1454" t="s">
        <v>115</v>
      </c>
      <c r="B660" s="133"/>
      <c r="C660" s="94"/>
      <c r="D660" s="94"/>
      <c r="E660" s="94"/>
      <c r="F660" s="94"/>
      <c r="G660" s="94"/>
      <c r="H660" s="94"/>
      <c r="I660" s="94"/>
      <c r="J660" s="94"/>
      <c r="K660" s="94"/>
      <c r="L660" s="94"/>
      <c r="M660" s="94"/>
      <c r="N660" s="94"/>
      <c r="O660" s="93"/>
    </row>
    <row r="661" spans="1:15" x14ac:dyDescent="0.25">
      <c r="A661" s="266"/>
      <c r="B661" s="265"/>
      <c r="C661" s="265"/>
      <c r="D661" s="265"/>
      <c r="E661" s="265"/>
      <c r="F661" s="94"/>
      <c r="G661" s="94"/>
      <c r="H661" s="94"/>
      <c r="I661" s="94"/>
      <c r="J661" s="94"/>
      <c r="K661" s="94"/>
      <c r="L661" s="94"/>
      <c r="M661" s="94"/>
      <c r="N661" s="94"/>
      <c r="O661" s="93"/>
    </row>
    <row r="662" spans="1:15" x14ac:dyDescent="0.25">
      <c r="A662" s="1453" t="s">
        <v>67</v>
      </c>
      <c r="B662" s="1452" t="s">
        <v>112</v>
      </c>
      <c r="C662" s="1452" t="s">
        <v>66</v>
      </c>
      <c r="D662" s="1452" t="s">
        <v>65</v>
      </c>
      <c r="E662" s="1452" t="s">
        <v>81</v>
      </c>
      <c r="F662" s="1465" t="s">
        <v>80</v>
      </c>
      <c r="G662" s="1465" t="s">
        <v>79</v>
      </c>
      <c r="H662" s="1465" t="s">
        <v>78</v>
      </c>
      <c r="I662" s="1465" t="s">
        <v>111</v>
      </c>
      <c r="J662" s="1465" t="s">
        <v>110</v>
      </c>
      <c r="K662" s="1465" t="s">
        <v>109</v>
      </c>
      <c r="L662" s="1465" t="s">
        <v>108</v>
      </c>
      <c r="M662" s="1465" t="s">
        <v>40</v>
      </c>
      <c r="N662" s="1465" t="s">
        <v>58</v>
      </c>
      <c r="O662" s="93"/>
    </row>
    <row r="663" spans="1:15" ht="30" x14ac:dyDescent="0.25">
      <c r="A663" s="1458">
        <v>10</v>
      </c>
      <c r="B663" s="1460" t="s">
        <v>729</v>
      </c>
      <c r="C663" s="1508"/>
      <c r="D663" s="1459">
        <v>2.25</v>
      </c>
      <c r="E663" s="1458">
        <v>14</v>
      </c>
      <c r="F663" s="1458" t="s">
        <v>68</v>
      </c>
      <c r="G663" s="1458"/>
      <c r="H663" s="1470"/>
      <c r="I663" s="1473" t="s">
        <v>2620</v>
      </c>
      <c r="J663" s="1472">
        <f>PI()*0.007*0.007</f>
        <v>1.5393804002589986E-4</v>
      </c>
      <c r="K663" s="1471">
        <f>0.004</f>
        <v>4.0000000000000001E-3</v>
      </c>
      <c r="L663" s="1470">
        <v>7860</v>
      </c>
      <c r="M663" s="1469">
        <v>1</v>
      </c>
      <c r="N663" s="1505">
        <f>IF(J663="",D663*M663,D663*J663*K663*L663*M663)</f>
        <v>1.0889576951432157E-2</v>
      </c>
      <c r="O663" s="143"/>
    </row>
    <row r="664" spans="1:15" x14ac:dyDescent="0.25">
      <c r="A664" s="98"/>
      <c r="B664" s="95"/>
      <c r="C664" s="95"/>
      <c r="D664" s="95"/>
      <c r="E664" s="95"/>
      <c r="F664" s="95"/>
      <c r="G664" s="95"/>
      <c r="H664" s="95"/>
      <c r="I664" s="95"/>
      <c r="J664" s="95"/>
      <c r="K664" s="95"/>
      <c r="L664" s="95"/>
      <c r="M664" s="1467" t="s">
        <v>58</v>
      </c>
      <c r="N664" s="1447">
        <f>SUM(N663:N663)</f>
        <v>1.0889576951432157E-2</v>
      </c>
      <c r="O664" s="93"/>
    </row>
    <row r="665" spans="1:15" x14ac:dyDescent="0.25">
      <c r="A665" s="107"/>
      <c r="B665" s="94"/>
      <c r="C665" s="94"/>
      <c r="D665" s="94"/>
      <c r="E665" s="94"/>
      <c r="F665" s="94"/>
      <c r="G665" s="94"/>
      <c r="H665" s="94"/>
      <c r="I665" s="94"/>
      <c r="J665" s="94"/>
      <c r="K665" s="94"/>
      <c r="L665" s="94"/>
      <c r="M665" s="94"/>
      <c r="N665" s="94"/>
      <c r="O665" s="93"/>
    </row>
    <row r="666" spans="1:15" x14ac:dyDescent="0.25">
      <c r="A666" s="1466" t="s">
        <v>67</v>
      </c>
      <c r="B666" s="1465" t="s">
        <v>106</v>
      </c>
      <c r="C666" s="1465" t="s">
        <v>66</v>
      </c>
      <c r="D666" s="1465" t="s">
        <v>65</v>
      </c>
      <c r="E666" s="1465" t="s">
        <v>64</v>
      </c>
      <c r="F666" s="1465" t="s">
        <v>40</v>
      </c>
      <c r="G666" s="1465" t="s">
        <v>105</v>
      </c>
      <c r="H666" s="1465" t="s">
        <v>104</v>
      </c>
      <c r="I666" s="1465" t="s">
        <v>58</v>
      </c>
      <c r="J666" s="95"/>
      <c r="K666" s="95"/>
      <c r="L666" s="95"/>
      <c r="M666" s="95"/>
      <c r="N666" s="95"/>
      <c r="O666" s="93"/>
    </row>
    <row r="667" spans="1:15" ht="30" x14ac:dyDescent="0.25">
      <c r="A667" s="1544">
        <v>10</v>
      </c>
      <c r="B667" s="1461" t="s">
        <v>516</v>
      </c>
      <c r="C667" s="1546" t="s">
        <v>528</v>
      </c>
      <c r="D667" s="1507">
        <v>1.3</v>
      </c>
      <c r="E667" s="1461" t="s">
        <v>64</v>
      </c>
      <c r="F667" s="1544">
        <v>1</v>
      </c>
      <c r="G667" s="1544"/>
      <c r="H667" s="1544"/>
      <c r="I667" s="1511">
        <f>IF(H667="",D667*F667,D667*F667*H667)</f>
        <v>1.3</v>
      </c>
      <c r="J667" s="142"/>
      <c r="K667" s="142"/>
      <c r="L667" s="142"/>
      <c r="M667" s="142"/>
      <c r="N667" s="142"/>
      <c r="O667" s="120"/>
    </row>
    <row r="668" spans="1:15" ht="17.25" customHeight="1" x14ac:dyDescent="0.25">
      <c r="A668" s="1541">
        <v>20</v>
      </c>
      <c r="B668" s="1541" t="s">
        <v>514</v>
      </c>
      <c r="C668" s="1541" t="s">
        <v>1263</v>
      </c>
      <c r="D668" s="1542">
        <v>0.04</v>
      </c>
      <c r="E668" s="1541" t="s">
        <v>512</v>
      </c>
      <c r="F668" s="1541">
        <v>0.23</v>
      </c>
      <c r="G668" s="1541" t="s">
        <v>2557</v>
      </c>
      <c r="H668" s="1541">
        <v>3</v>
      </c>
      <c r="I668" s="1511">
        <f>IF(H668="",D668*F668,D668*F668*H668)</f>
        <v>2.76E-2</v>
      </c>
      <c r="J668" s="94"/>
      <c r="K668" s="94"/>
      <c r="L668" s="94"/>
      <c r="M668" s="94"/>
      <c r="N668" s="94"/>
      <c r="O668" s="93"/>
    </row>
    <row r="669" spans="1:15" x14ac:dyDescent="0.25">
      <c r="A669" s="1543">
        <v>30</v>
      </c>
      <c r="B669" s="1543" t="s">
        <v>2177</v>
      </c>
      <c r="C669" s="1543" t="s">
        <v>1252</v>
      </c>
      <c r="D669" s="1562">
        <v>0.35</v>
      </c>
      <c r="E669" s="1543" t="s">
        <v>294</v>
      </c>
      <c r="F669" s="1543">
        <v>1</v>
      </c>
      <c r="G669" s="1543"/>
      <c r="H669" s="1543"/>
      <c r="I669" s="1562">
        <f>D669*F669</f>
        <v>0.35</v>
      </c>
      <c r="J669" s="99"/>
      <c r="K669" s="99"/>
      <c r="L669" s="99"/>
      <c r="M669" s="99"/>
      <c r="N669" s="99"/>
      <c r="O669" s="130"/>
    </row>
    <row r="670" spans="1:15" x14ac:dyDescent="0.25">
      <c r="A670" s="98"/>
      <c r="B670" s="95"/>
      <c r="C670" s="95"/>
      <c r="D670" s="95"/>
      <c r="E670" s="95"/>
      <c r="F670" s="95"/>
      <c r="G670" s="95"/>
      <c r="H670" s="1448" t="s">
        <v>58</v>
      </c>
      <c r="I670" s="1447">
        <f>SUM(I667:I669)</f>
        <v>1.6776</v>
      </c>
      <c r="J670" s="95"/>
      <c r="K670" s="95"/>
      <c r="L670" s="95"/>
      <c r="M670" s="95"/>
      <c r="N670" s="95"/>
      <c r="O670" s="93"/>
    </row>
    <row r="671" spans="1:15" x14ac:dyDescent="0.25">
      <c r="A671" s="107"/>
      <c r="B671" s="94"/>
      <c r="C671" s="94"/>
      <c r="D671" s="94"/>
      <c r="E671" s="94"/>
      <c r="F671" s="94"/>
      <c r="G671" s="94"/>
      <c r="H671" s="94"/>
      <c r="I671" s="99"/>
      <c r="J671" s="94"/>
      <c r="K671" s="94"/>
      <c r="L671" s="94"/>
      <c r="M671" s="94"/>
      <c r="N671" s="94"/>
      <c r="O671" s="93"/>
    </row>
    <row r="672" spans="1:15" ht="15.75" thickBot="1" x14ac:dyDescent="0.3">
      <c r="A672" s="92"/>
      <c r="B672" s="91"/>
      <c r="C672" s="91"/>
      <c r="D672" s="91"/>
      <c r="E672" s="91"/>
      <c r="F672" s="91"/>
      <c r="G672" s="91"/>
      <c r="H672" s="91"/>
      <c r="I672" s="91"/>
      <c r="J672" s="91"/>
      <c r="K672" s="91"/>
      <c r="L672" s="91"/>
      <c r="M672" s="91"/>
      <c r="N672" s="91"/>
      <c r="O672" s="90"/>
    </row>
    <row r="673" spans="1:15" ht="15.75" thickBot="1" x14ac:dyDescent="0.3"/>
    <row r="674" spans="1:15" x14ac:dyDescent="0.25">
      <c r="A674" s="141"/>
      <c r="B674" s="140"/>
      <c r="C674" s="140"/>
      <c r="D674" s="140"/>
      <c r="E674" s="140"/>
      <c r="F674" s="140"/>
      <c r="G674" s="140"/>
      <c r="H674" s="140"/>
      <c r="I674" s="140"/>
      <c r="J674" s="272"/>
      <c r="K674" s="140"/>
      <c r="L674" s="140"/>
      <c r="M674" s="140"/>
      <c r="N674" s="140"/>
      <c r="O674" s="139"/>
    </row>
    <row r="675" spans="1:15" x14ac:dyDescent="0.25">
      <c r="A675" s="1454" t="s">
        <v>57</v>
      </c>
      <c r="B675" s="133" t="s">
        <v>523</v>
      </c>
      <c r="C675" s="94"/>
      <c r="D675" s="94"/>
      <c r="E675" s="94"/>
      <c r="F675" s="94"/>
      <c r="G675" s="94"/>
      <c r="H675" s="94"/>
      <c r="I675" s="94"/>
      <c r="J675" s="1456" t="s">
        <v>51</v>
      </c>
      <c r="K675" s="138">
        <v>81</v>
      </c>
      <c r="L675" s="94"/>
      <c r="M675" s="1454" t="s">
        <v>113</v>
      </c>
      <c r="N675" s="100">
        <f>SU_03007_m+SU_03007_p</f>
        <v>6.3175974999999989</v>
      </c>
      <c r="O675" s="93"/>
    </row>
    <row r="676" spans="1:15" x14ac:dyDescent="0.25">
      <c r="A676" s="1454" t="s">
        <v>125</v>
      </c>
      <c r="B676" s="133" t="s">
        <v>5</v>
      </c>
      <c r="C676" s="94"/>
      <c r="D676" s="1454" t="s">
        <v>122</v>
      </c>
      <c r="E676" s="270" t="s">
        <v>2525</v>
      </c>
      <c r="F676" s="94"/>
      <c r="G676" s="94"/>
      <c r="H676" s="94"/>
      <c r="I676" s="94"/>
      <c r="J676" s="94"/>
      <c r="K676" s="94"/>
      <c r="L676" s="94"/>
      <c r="M676" s="1454" t="s">
        <v>124</v>
      </c>
      <c r="N676" s="136">
        <v>1</v>
      </c>
      <c r="O676" s="93"/>
    </row>
    <row r="677" spans="1:15" x14ac:dyDescent="0.25">
      <c r="A677" s="1454" t="s">
        <v>123</v>
      </c>
      <c r="B677" s="270" t="s">
        <v>2466</v>
      </c>
      <c r="C677" s="94"/>
      <c r="D677" s="1454" t="s">
        <v>119</v>
      </c>
      <c r="E677" s="94"/>
      <c r="F677" s="94"/>
      <c r="G677" s="94"/>
      <c r="H677" s="94"/>
      <c r="I677" s="94"/>
      <c r="J677" s="1455" t="s">
        <v>122</v>
      </c>
      <c r="K677" s="94"/>
      <c r="L677" s="94"/>
      <c r="M677" s="94"/>
      <c r="N677" s="94"/>
      <c r="O677" s="93"/>
    </row>
    <row r="678" spans="1:15" x14ac:dyDescent="0.25">
      <c r="A678" s="1454" t="s">
        <v>114</v>
      </c>
      <c r="B678" s="135" t="s">
        <v>2459</v>
      </c>
      <c r="C678" s="94"/>
      <c r="D678" s="1454" t="s">
        <v>116</v>
      </c>
      <c r="E678" s="94"/>
      <c r="F678" s="94"/>
      <c r="G678" s="94"/>
      <c r="H678" s="94"/>
      <c r="I678" s="94"/>
      <c r="J678" s="1455" t="s">
        <v>119</v>
      </c>
      <c r="K678" s="94"/>
      <c r="L678" s="94"/>
      <c r="M678" s="1454" t="s">
        <v>118</v>
      </c>
      <c r="N678" s="100">
        <f>N676*N675</f>
        <v>6.3175974999999989</v>
      </c>
      <c r="O678" s="93"/>
    </row>
    <row r="679" spans="1:15" x14ac:dyDescent="0.25">
      <c r="A679" s="1454" t="s">
        <v>121</v>
      </c>
      <c r="B679" s="269" t="s">
        <v>2619</v>
      </c>
      <c r="C679" s="94"/>
      <c r="D679" s="94"/>
      <c r="E679" s="94"/>
      <c r="F679" s="94"/>
      <c r="G679" s="94"/>
      <c r="H679" s="94"/>
      <c r="I679" s="94"/>
      <c r="J679" s="1455" t="s">
        <v>116</v>
      </c>
      <c r="K679" s="94"/>
      <c r="L679" s="94"/>
      <c r="M679" s="94"/>
      <c r="N679" s="94"/>
      <c r="O679" s="93"/>
    </row>
    <row r="680" spans="1:15" x14ac:dyDescent="0.25">
      <c r="A680" s="1454" t="s">
        <v>117</v>
      </c>
      <c r="B680" s="133" t="s">
        <v>23</v>
      </c>
      <c r="C680" s="94"/>
      <c r="D680" s="94"/>
      <c r="E680" s="94"/>
      <c r="F680" s="94"/>
      <c r="G680" s="94"/>
      <c r="H680" s="94"/>
      <c r="I680" s="94"/>
      <c r="J680" s="94"/>
      <c r="K680" s="94"/>
      <c r="L680" s="94"/>
      <c r="M680" s="94"/>
      <c r="N680" s="94"/>
      <c r="O680" s="93"/>
    </row>
    <row r="681" spans="1:15" x14ac:dyDescent="0.25">
      <c r="A681" s="1454" t="s">
        <v>115</v>
      </c>
      <c r="B681" s="133" t="s">
        <v>2590</v>
      </c>
      <c r="C681" s="94"/>
      <c r="D681" s="94"/>
      <c r="E681" s="94"/>
      <c r="F681" s="94"/>
      <c r="G681" s="94"/>
      <c r="H681" s="94"/>
      <c r="I681" s="94"/>
      <c r="J681" s="94"/>
      <c r="K681" s="94"/>
      <c r="L681" s="94"/>
      <c r="M681" s="94"/>
      <c r="N681" s="94"/>
      <c r="O681" s="93"/>
    </row>
    <row r="682" spans="1:15" x14ac:dyDescent="0.25">
      <c r="A682" s="266"/>
      <c r="B682" s="265"/>
      <c r="C682" s="265"/>
      <c r="D682" s="265"/>
      <c r="E682" s="265"/>
      <c r="F682" s="94"/>
      <c r="G682" s="94"/>
      <c r="H682" s="94"/>
      <c r="I682" s="94"/>
      <c r="J682" s="94"/>
      <c r="K682" s="94"/>
      <c r="L682" s="94"/>
      <c r="M682" s="94"/>
      <c r="N682" s="94"/>
      <c r="O682" s="93"/>
    </row>
    <row r="683" spans="1:15" x14ac:dyDescent="0.25">
      <c r="A683" s="1453" t="s">
        <v>67</v>
      </c>
      <c r="B683" s="1452" t="s">
        <v>112</v>
      </c>
      <c r="C683" s="1452" t="s">
        <v>66</v>
      </c>
      <c r="D683" s="1452" t="s">
        <v>65</v>
      </c>
      <c r="E683" s="1452" t="s">
        <v>81</v>
      </c>
      <c r="F683" s="1465" t="s">
        <v>80</v>
      </c>
      <c r="G683" s="1465" t="s">
        <v>79</v>
      </c>
      <c r="H683" s="1465" t="s">
        <v>78</v>
      </c>
      <c r="I683" s="1465" t="s">
        <v>111</v>
      </c>
      <c r="J683" s="1465" t="s">
        <v>110</v>
      </c>
      <c r="K683" s="1465" t="s">
        <v>109</v>
      </c>
      <c r="L683" s="1465" t="s">
        <v>108</v>
      </c>
      <c r="M683" s="1465" t="s">
        <v>40</v>
      </c>
      <c r="N683" s="1465" t="s">
        <v>58</v>
      </c>
      <c r="O683" s="93"/>
    </row>
    <row r="684" spans="1:15" ht="30" x14ac:dyDescent="0.25">
      <c r="A684" s="1458">
        <v>10</v>
      </c>
      <c r="B684" s="1475" t="s">
        <v>519</v>
      </c>
      <c r="C684" s="1508" t="s">
        <v>2561</v>
      </c>
      <c r="D684" s="1507">
        <v>2.25</v>
      </c>
      <c r="E684" s="1458">
        <v>25</v>
      </c>
      <c r="F684" s="1458" t="s">
        <v>68</v>
      </c>
      <c r="G684" s="1458">
        <v>25</v>
      </c>
      <c r="H684" s="1470" t="s">
        <v>68</v>
      </c>
      <c r="I684" s="1473" t="s">
        <v>2611</v>
      </c>
      <c r="J684" s="1472">
        <f>0.025*0.025</f>
        <v>6.2500000000000012E-4</v>
      </c>
      <c r="K684" s="1471">
        <v>4.1000000000000002E-2</v>
      </c>
      <c r="L684" s="1470">
        <v>7860</v>
      </c>
      <c r="M684" s="1469">
        <v>1</v>
      </c>
      <c r="N684" s="1505">
        <f>IF(J684="",D684*M684,D684*J684*K684*L684*M684)</f>
        <v>0.4531781250000001</v>
      </c>
      <c r="O684" s="143"/>
    </row>
    <row r="685" spans="1:15" x14ac:dyDescent="0.25">
      <c r="A685" s="98"/>
      <c r="B685" s="95"/>
      <c r="C685" s="95"/>
      <c r="D685" s="95"/>
      <c r="E685" s="95"/>
      <c r="F685" s="95"/>
      <c r="G685" s="95"/>
      <c r="H685" s="95"/>
      <c r="I685" s="95"/>
      <c r="J685" s="95"/>
      <c r="K685" s="95"/>
      <c r="L685" s="95"/>
      <c r="M685" s="1467" t="s">
        <v>58</v>
      </c>
      <c r="N685" s="1447">
        <f>SUM(N684:N684)</f>
        <v>0.4531781250000001</v>
      </c>
      <c r="O685" s="93"/>
    </row>
    <row r="686" spans="1:15" x14ac:dyDescent="0.25">
      <c r="A686" s="107"/>
      <c r="B686" s="94"/>
      <c r="C686" s="94"/>
      <c r="D686" s="94"/>
      <c r="E686" s="94"/>
      <c r="F686" s="94"/>
      <c r="G686" s="94"/>
      <c r="H686" s="94"/>
      <c r="I686" s="94"/>
      <c r="J686" s="94"/>
      <c r="K686" s="94"/>
      <c r="L686" s="94"/>
      <c r="M686" s="94"/>
      <c r="N686" s="94"/>
      <c r="O686" s="93"/>
    </row>
    <row r="687" spans="1:15" x14ac:dyDescent="0.25">
      <c r="A687" s="1466" t="s">
        <v>67</v>
      </c>
      <c r="B687" s="1465" t="s">
        <v>106</v>
      </c>
      <c r="C687" s="1465" t="s">
        <v>66</v>
      </c>
      <c r="D687" s="1465" t="s">
        <v>65</v>
      </c>
      <c r="E687" s="1465" t="s">
        <v>64</v>
      </c>
      <c r="F687" s="1465" t="s">
        <v>40</v>
      </c>
      <c r="G687" s="1465" t="s">
        <v>105</v>
      </c>
      <c r="H687" s="1465" t="s">
        <v>104</v>
      </c>
      <c r="I687" s="1465" t="s">
        <v>58</v>
      </c>
      <c r="J687" s="95"/>
      <c r="K687" s="95"/>
      <c r="L687" s="95"/>
      <c r="M687" s="95"/>
      <c r="N687" s="95"/>
      <c r="O687" s="93"/>
    </row>
    <row r="688" spans="1:15" ht="30" x14ac:dyDescent="0.25">
      <c r="A688" s="1544">
        <v>10</v>
      </c>
      <c r="B688" s="1461" t="s">
        <v>516</v>
      </c>
      <c r="C688" s="1547" t="s">
        <v>528</v>
      </c>
      <c r="D688" s="1507">
        <v>1.3</v>
      </c>
      <c r="E688" s="1461" t="s">
        <v>64</v>
      </c>
      <c r="F688" s="1544">
        <v>1</v>
      </c>
      <c r="G688" s="1544"/>
      <c r="H688" s="1544"/>
      <c r="I688" s="1511">
        <f t="shared" ref="I688:I694" si="14">IF(H688="",D688*F688,D688*F688*H688)</f>
        <v>1.3</v>
      </c>
      <c r="J688" s="95"/>
      <c r="K688" s="95"/>
      <c r="L688" s="95"/>
      <c r="M688" s="95"/>
      <c r="N688" s="95"/>
      <c r="O688" s="93"/>
    </row>
    <row r="689" spans="1:15" x14ac:dyDescent="0.25">
      <c r="A689" s="1541">
        <v>20</v>
      </c>
      <c r="B689" s="1541" t="s">
        <v>514</v>
      </c>
      <c r="C689" s="1541" t="s">
        <v>1263</v>
      </c>
      <c r="D689" s="1542">
        <v>0.04</v>
      </c>
      <c r="E689" s="1541" t="s">
        <v>512</v>
      </c>
      <c r="F689" s="1541">
        <v>14.4</v>
      </c>
      <c r="G689" s="1541" t="s">
        <v>2557</v>
      </c>
      <c r="H689" s="1541">
        <v>3</v>
      </c>
      <c r="I689" s="1511">
        <f t="shared" si="14"/>
        <v>1.7280000000000002</v>
      </c>
      <c r="J689" s="142"/>
      <c r="K689" s="142"/>
      <c r="L689" s="142"/>
      <c r="M689" s="142"/>
      <c r="N689" s="142"/>
      <c r="O689" s="120"/>
    </row>
    <row r="690" spans="1:15" x14ac:dyDescent="0.25">
      <c r="A690" s="1543">
        <v>30</v>
      </c>
      <c r="B690" s="1545" t="s">
        <v>2177</v>
      </c>
      <c r="C690" s="1545" t="s">
        <v>1252</v>
      </c>
      <c r="D690" s="1561">
        <v>0.35</v>
      </c>
      <c r="E690" s="1545" t="s">
        <v>294</v>
      </c>
      <c r="F690" s="1543">
        <v>1</v>
      </c>
      <c r="G690" s="1543"/>
      <c r="H690" s="1543"/>
      <c r="I690" s="1511">
        <f t="shared" si="14"/>
        <v>0.35</v>
      </c>
      <c r="J690" s="94"/>
      <c r="K690" s="94"/>
      <c r="L690" s="94"/>
      <c r="M690" s="94"/>
      <c r="N690" s="94"/>
      <c r="O690" s="93"/>
    </row>
    <row r="691" spans="1:15" x14ac:dyDescent="0.25">
      <c r="A691" s="1541">
        <v>40</v>
      </c>
      <c r="B691" s="1541" t="s">
        <v>2536</v>
      </c>
      <c r="C691" s="1541"/>
      <c r="D691" s="1542">
        <v>0.65</v>
      </c>
      <c r="E691" s="1541" t="s">
        <v>64</v>
      </c>
      <c r="F691" s="1541">
        <v>1</v>
      </c>
      <c r="G691" s="1541"/>
      <c r="H691" s="1541"/>
      <c r="I691" s="1511">
        <f t="shared" si="14"/>
        <v>0.65</v>
      </c>
      <c r="J691" s="99"/>
      <c r="K691" s="99"/>
      <c r="L691" s="99"/>
      <c r="M691" s="99"/>
      <c r="N691" s="99"/>
      <c r="O691" s="130"/>
    </row>
    <row r="692" spans="1:15" x14ac:dyDescent="0.25">
      <c r="A692" s="1541">
        <v>50</v>
      </c>
      <c r="B692" s="1541" t="s">
        <v>514</v>
      </c>
      <c r="C692" s="1541" t="s">
        <v>2559</v>
      </c>
      <c r="D692" s="1542">
        <v>0.04</v>
      </c>
      <c r="E692" s="1541" t="s">
        <v>512</v>
      </c>
      <c r="F692" s="1541">
        <v>9.3000000000000007</v>
      </c>
      <c r="G692" s="1541" t="s">
        <v>2557</v>
      </c>
      <c r="H692" s="1541">
        <v>3</v>
      </c>
      <c r="I692" s="1511">
        <f t="shared" si="14"/>
        <v>1.1160000000000001</v>
      </c>
      <c r="J692" s="94"/>
      <c r="K692" s="94"/>
      <c r="L692" s="94"/>
      <c r="M692" s="94"/>
      <c r="N692" s="94"/>
      <c r="O692" s="93"/>
    </row>
    <row r="693" spans="1:15" x14ac:dyDescent="0.25">
      <c r="A693" s="1541">
        <v>60</v>
      </c>
      <c r="B693" s="1541" t="s">
        <v>2536</v>
      </c>
      <c r="C693" s="1541"/>
      <c r="D693" s="1542">
        <v>0.65</v>
      </c>
      <c r="E693" s="1541" t="s">
        <v>64</v>
      </c>
      <c r="F693" s="1541">
        <v>1</v>
      </c>
      <c r="G693" s="1541"/>
      <c r="H693" s="1541"/>
      <c r="I693" s="1511">
        <f t="shared" si="14"/>
        <v>0.65</v>
      </c>
      <c r="J693" s="94"/>
      <c r="K693" s="94"/>
      <c r="L693" s="94"/>
      <c r="M693" s="94"/>
      <c r="N693" s="94"/>
      <c r="O693" s="93"/>
    </row>
    <row r="694" spans="1:15" x14ac:dyDescent="0.25">
      <c r="A694" s="1541">
        <v>70</v>
      </c>
      <c r="B694" s="1541" t="s">
        <v>514</v>
      </c>
      <c r="C694" s="1541" t="s">
        <v>2618</v>
      </c>
      <c r="D694" s="1542">
        <v>0.04</v>
      </c>
      <c r="E694" s="1541" t="s">
        <v>512</v>
      </c>
      <c r="F694" s="1541">
        <v>1.5</v>
      </c>
      <c r="G694" s="1541" t="s">
        <v>2557</v>
      </c>
      <c r="H694" s="1541">
        <v>3</v>
      </c>
      <c r="I694" s="1511">
        <f t="shared" si="14"/>
        <v>0.18</v>
      </c>
      <c r="J694" s="94"/>
      <c r="K694" s="94"/>
      <c r="L694" s="94"/>
      <c r="M694" s="94"/>
      <c r="N694" s="94"/>
      <c r="O694" s="93"/>
    </row>
    <row r="695" spans="1:15" x14ac:dyDescent="0.25">
      <c r="A695" s="98"/>
      <c r="B695" s="95"/>
      <c r="C695" s="95"/>
      <c r="D695" s="95"/>
      <c r="E695" s="95"/>
      <c r="F695" s="95"/>
      <c r="G695" s="95"/>
      <c r="H695" s="1448" t="s">
        <v>58</v>
      </c>
      <c r="I695" s="1447">
        <f>SUM(I688:I694)</f>
        <v>5.9740000000000002</v>
      </c>
      <c r="J695" s="95"/>
      <c r="K695" s="95"/>
      <c r="L695" s="95"/>
      <c r="M695" s="95"/>
      <c r="N695" s="95"/>
      <c r="O695" s="93"/>
    </row>
    <row r="696" spans="1:15" ht="15.75" thickBot="1" x14ac:dyDescent="0.3">
      <c r="A696" s="92"/>
      <c r="B696" s="91"/>
      <c r="C696" s="91"/>
      <c r="D696" s="91"/>
      <c r="E696" s="91"/>
      <c r="F696" s="91"/>
      <c r="G696" s="91"/>
      <c r="H696" s="91"/>
      <c r="I696" s="91"/>
      <c r="J696" s="91"/>
      <c r="K696" s="91"/>
      <c r="L696" s="91"/>
      <c r="M696" s="91"/>
      <c r="N696" s="91"/>
      <c r="O696" s="90"/>
    </row>
    <row r="697" spans="1:15" ht="15.75" thickBot="1" x14ac:dyDescent="0.3"/>
    <row r="698" spans="1:15" x14ac:dyDescent="0.25">
      <c r="A698" s="141"/>
      <c r="B698" s="140"/>
      <c r="C698" s="140"/>
      <c r="D698" s="140"/>
      <c r="E698" s="140"/>
      <c r="F698" s="140"/>
      <c r="G698" s="140"/>
      <c r="H698" s="140"/>
      <c r="I698" s="140"/>
      <c r="J698" s="272"/>
      <c r="K698" s="140"/>
      <c r="L698" s="140"/>
      <c r="M698" s="140"/>
      <c r="N698" s="140"/>
      <c r="O698" s="139"/>
    </row>
    <row r="699" spans="1:15" x14ac:dyDescent="0.25">
      <c r="A699" s="1454" t="s">
        <v>57</v>
      </c>
      <c r="B699" s="133" t="s">
        <v>523</v>
      </c>
      <c r="C699" s="94"/>
      <c r="D699" s="94"/>
      <c r="E699" s="94"/>
      <c r="F699" s="94"/>
      <c r="G699" s="94"/>
      <c r="H699" s="94"/>
      <c r="I699" s="94"/>
      <c r="J699" s="1456" t="s">
        <v>51</v>
      </c>
      <c r="K699" s="138">
        <v>81</v>
      </c>
      <c r="L699" s="94"/>
      <c r="M699" s="1454" t="s">
        <v>113</v>
      </c>
      <c r="N699" s="100">
        <f>SU_04008_m+SU_04008_p</f>
        <v>6.3321250000000004</v>
      </c>
      <c r="O699" s="93"/>
    </row>
    <row r="700" spans="1:15" x14ac:dyDescent="0.25">
      <c r="A700" s="1454" t="s">
        <v>125</v>
      </c>
      <c r="B700" s="133" t="s">
        <v>5</v>
      </c>
      <c r="C700" s="94"/>
      <c r="D700" s="1454" t="s">
        <v>122</v>
      </c>
      <c r="E700" s="270" t="s">
        <v>2525</v>
      </c>
      <c r="F700" s="94"/>
      <c r="G700" s="94"/>
      <c r="H700" s="94"/>
      <c r="I700" s="94"/>
      <c r="J700" s="94"/>
      <c r="K700" s="94"/>
      <c r="L700" s="94"/>
      <c r="M700" s="1454" t="s">
        <v>124</v>
      </c>
      <c r="N700" s="136">
        <v>1</v>
      </c>
      <c r="O700" s="93"/>
    </row>
    <row r="701" spans="1:15" x14ac:dyDescent="0.25">
      <c r="A701" s="1454" t="s">
        <v>123</v>
      </c>
      <c r="B701" s="270" t="s">
        <v>2466</v>
      </c>
      <c r="C701" s="94"/>
      <c r="D701" s="1454" t="s">
        <v>119</v>
      </c>
      <c r="E701" s="94"/>
      <c r="F701" s="94"/>
      <c r="G701" s="94"/>
      <c r="H701" s="94"/>
      <c r="I701" s="94"/>
      <c r="J701" s="1455" t="s">
        <v>122</v>
      </c>
      <c r="K701" s="94"/>
      <c r="L701" s="94"/>
      <c r="M701" s="94"/>
      <c r="N701" s="94"/>
      <c r="O701" s="93"/>
    </row>
    <row r="702" spans="1:15" x14ac:dyDescent="0.25">
      <c r="A702" s="1454" t="s">
        <v>114</v>
      </c>
      <c r="B702" s="135" t="s">
        <v>2458</v>
      </c>
      <c r="C702" s="94"/>
      <c r="D702" s="1454" t="s">
        <v>116</v>
      </c>
      <c r="E702" s="94"/>
      <c r="F702" s="94"/>
      <c r="G702" s="94"/>
      <c r="H702" s="94"/>
      <c r="I702" s="94"/>
      <c r="J702" s="1455" t="s">
        <v>119</v>
      </c>
      <c r="K702" s="94"/>
      <c r="L702" s="94"/>
      <c r="M702" s="1454" t="s">
        <v>118</v>
      </c>
      <c r="N702" s="100">
        <f>N700*N699</f>
        <v>6.3321250000000004</v>
      </c>
      <c r="O702" s="93"/>
    </row>
    <row r="703" spans="1:15" x14ac:dyDescent="0.25">
      <c r="A703" s="1454" t="s">
        <v>121</v>
      </c>
      <c r="B703" s="269" t="s">
        <v>2617</v>
      </c>
      <c r="C703" s="94"/>
      <c r="D703" s="94"/>
      <c r="E703" s="94"/>
      <c r="F703" s="94"/>
      <c r="G703" s="94"/>
      <c r="H703" s="94"/>
      <c r="I703" s="94"/>
      <c r="J703" s="1455" t="s">
        <v>116</v>
      </c>
      <c r="K703" s="94"/>
      <c r="L703" s="94"/>
      <c r="M703" s="94"/>
      <c r="N703" s="94"/>
      <c r="O703" s="93"/>
    </row>
    <row r="704" spans="1:15" x14ac:dyDescent="0.25">
      <c r="A704" s="1454" t="s">
        <v>117</v>
      </c>
      <c r="B704" s="133" t="s">
        <v>23</v>
      </c>
      <c r="C704" s="94"/>
      <c r="D704" s="94"/>
      <c r="E704" s="94"/>
      <c r="F704" s="94"/>
      <c r="G704" s="94"/>
      <c r="H704" s="94"/>
      <c r="I704" s="94"/>
      <c r="J704" s="94"/>
      <c r="K704" s="94"/>
      <c r="L704" s="94"/>
      <c r="M704" s="94"/>
      <c r="N704" s="94"/>
      <c r="O704" s="93"/>
    </row>
    <row r="705" spans="1:15" x14ac:dyDescent="0.25">
      <c r="A705" s="1454" t="s">
        <v>115</v>
      </c>
      <c r="B705" s="194" t="s">
        <v>2590</v>
      </c>
      <c r="C705" s="94"/>
      <c r="D705" s="94"/>
      <c r="E705" s="94"/>
      <c r="F705" s="94"/>
      <c r="G705" s="94"/>
      <c r="H705" s="94"/>
      <c r="I705" s="94"/>
      <c r="J705" s="94"/>
      <c r="K705" s="94"/>
      <c r="L705" s="94"/>
      <c r="M705" s="94"/>
      <c r="N705" s="94"/>
      <c r="O705" s="93"/>
    </row>
    <row r="706" spans="1:15" x14ac:dyDescent="0.25">
      <c r="A706" s="266"/>
      <c r="B706" s="265"/>
      <c r="C706" s="265"/>
      <c r="D706" s="265"/>
      <c r="E706" s="265"/>
      <c r="F706" s="94"/>
      <c r="G706" s="94"/>
      <c r="H706" s="94"/>
      <c r="I706" s="94"/>
      <c r="J706" s="94"/>
      <c r="K706" s="94"/>
      <c r="L706" s="94"/>
      <c r="M706" s="94"/>
      <c r="N706" s="94"/>
      <c r="O706" s="93"/>
    </row>
    <row r="707" spans="1:15" x14ac:dyDescent="0.25">
      <c r="A707" s="1453" t="s">
        <v>67</v>
      </c>
      <c r="B707" s="1452" t="s">
        <v>112</v>
      </c>
      <c r="C707" s="1452" t="s">
        <v>66</v>
      </c>
      <c r="D707" s="1452" t="s">
        <v>65</v>
      </c>
      <c r="E707" s="1452" t="s">
        <v>81</v>
      </c>
      <c r="F707" s="1465" t="s">
        <v>80</v>
      </c>
      <c r="G707" s="1465" t="s">
        <v>79</v>
      </c>
      <c r="H707" s="1465" t="s">
        <v>78</v>
      </c>
      <c r="I707" s="1465" t="s">
        <v>111</v>
      </c>
      <c r="J707" s="1465" t="s">
        <v>110</v>
      </c>
      <c r="K707" s="1465" t="s">
        <v>109</v>
      </c>
      <c r="L707" s="1465" t="s">
        <v>108</v>
      </c>
      <c r="M707" s="1465" t="s">
        <v>40</v>
      </c>
      <c r="N707" s="1465" t="s">
        <v>58</v>
      </c>
      <c r="O707" s="93"/>
    </row>
    <row r="708" spans="1:15" ht="30" x14ac:dyDescent="0.25">
      <c r="A708" s="1458">
        <v>10</v>
      </c>
      <c r="B708" s="1475" t="s">
        <v>519</v>
      </c>
      <c r="C708" s="1508" t="s">
        <v>2561</v>
      </c>
      <c r="D708" s="1507">
        <v>2.25</v>
      </c>
      <c r="E708" s="1458">
        <v>25</v>
      </c>
      <c r="F708" s="1458" t="s">
        <v>68</v>
      </c>
      <c r="G708" s="1458">
        <v>25</v>
      </c>
      <c r="H708" s="1470" t="s">
        <v>68</v>
      </c>
      <c r="I708" s="1473" t="s">
        <v>2611</v>
      </c>
      <c r="J708" s="1472">
        <f>0.025*0.025</f>
        <v>6.2500000000000012E-4</v>
      </c>
      <c r="K708" s="1471">
        <v>0.04</v>
      </c>
      <c r="L708" s="1470">
        <v>7860</v>
      </c>
      <c r="M708" s="1469">
        <v>1</v>
      </c>
      <c r="N708" s="1505">
        <f>IF(J708="",D708*M708,D708*J708*K708*L708*M708)</f>
        <v>0.44212500000000016</v>
      </c>
      <c r="O708" s="143"/>
    </row>
    <row r="709" spans="1:15" x14ac:dyDescent="0.25">
      <c r="A709" s="98"/>
      <c r="B709" s="95"/>
      <c r="C709" s="95"/>
      <c r="D709" s="95"/>
      <c r="E709" s="95"/>
      <c r="F709" s="95"/>
      <c r="G709" s="95"/>
      <c r="H709" s="95"/>
      <c r="I709" s="95"/>
      <c r="J709" s="95"/>
      <c r="K709" s="95"/>
      <c r="L709" s="95"/>
      <c r="M709" s="1467" t="s">
        <v>58</v>
      </c>
      <c r="N709" s="1447">
        <f>SUM(N708:N708)</f>
        <v>0.44212500000000016</v>
      </c>
      <c r="O709" s="93"/>
    </row>
    <row r="710" spans="1:15" x14ac:dyDescent="0.25">
      <c r="A710" s="107"/>
      <c r="B710" s="94"/>
      <c r="C710" s="94"/>
      <c r="D710" s="94"/>
      <c r="E710" s="94"/>
      <c r="F710" s="94"/>
      <c r="G710" s="94"/>
      <c r="H710" s="94"/>
      <c r="I710" s="94"/>
      <c r="J710" s="94"/>
      <c r="K710" s="94"/>
      <c r="L710" s="94"/>
      <c r="M710" s="94"/>
      <c r="N710" s="94"/>
      <c r="O710" s="93"/>
    </row>
    <row r="711" spans="1:15" x14ac:dyDescent="0.25">
      <c r="A711" s="1466" t="s">
        <v>67</v>
      </c>
      <c r="B711" s="1465" t="s">
        <v>106</v>
      </c>
      <c r="C711" s="1465" t="s">
        <v>66</v>
      </c>
      <c r="D711" s="1465" t="s">
        <v>65</v>
      </c>
      <c r="E711" s="1465" t="s">
        <v>64</v>
      </c>
      <c r="F711" s="1465" t="s">
        <v>40</v>
      </c>
      <c r="G711" s="1465" t="s">
        <v>105</v>
      </c>
      <c r="H711" s="1465" t="s">
        <v>104</v>
      </c>
      <c r="I711" s="1465" t="s">
        <v>58</v>
      </c>
      <c r="J711" s="95"/>
      <c r="K711" s="95"/>
      <c r="L711" s="95"/>
      <c r="M711" s="95"/>
      <c r="N711" s="95"/>
      <c r="O711" s="93"/>
    </row>
    <row r="712" spans="1:15" ht="30" x14ac:dyDescent="0.25">
      <c r="A712" s="1544">
        <v>10</v>
      </c>
      <c r="B712" s="1461" t="s">
        <v>516</v>
      </c>
      <c r="C712" s="1547" t="s">
        <v>528</v>
      </c>
      <c r="D712" s="1507">
        <v>1.3</v>
      </c>
      <c r="E712" s="1461" t="s">
        <v>64</v>
      </c>
      <c r="F712" s="1545">
        <v>1</v>
      </c>
      <c r="G712" s="1545"/>
      <c r="H712" s="1545"/>
      <c r="I712" s="1511">
        <f t="shared" ref="I712:I718" si="15">IF(H712="",D712*F712,D712*F712*H712)</f>
        <v>1.3</v>
      </c>
      <c r="J712" s="95"/>
      <c r="K712" s="95"/>
      <c r="L712" s="95"/>
      <c r="M712" s="95"/>
      <c r="N712" s="95"/>
      <c r="O712" s="93"/>
    </row>
    <row r="713" spans="1:15" x14ac:dyDescent="0.25">
      <c r="A713" s="1541">
        <v>20</v>
      </c>
      <c r="B713" s="1541" t="s">
        <v>514</v>
      </c>
      <c r="C713" s="1541" t="s">
        <v>1263</v>
      </c>
      <c r="D713" s="1542">
        <v>0.04</v>
      </c>
      <c r="E713" s="1541" t="s">
        <v>512</v>
      </c>
      <c r="F713" s="1541">
        <v>14.8</v>
      </c>
      <c r="G713" s="1541" t="s">
        <v>2557</v>
      </c>
      <c r="H713" s="1541">
        <v>3</v>
      </c>
      <c r="I713" s="1511">
        <f t="shared" si="15"/>
        <v>1.7760000000000002</v>
      </c>
      <c r="J713" s="142"/>
      <c r="K713" s="142"/>
      <c r="L713" s="142"/>
      <c r="M713" s="142"/>
      <c r="N713" s="142"/>
      <c r="O713" s="120"/>
    </row>
    <row r="714" spans="1:15" x14ac:dyDescent="0.25">
      <c r="A714" s="1543">
        <v>30</v>
      </c>
      <c r="B714" s="1545" t="s">
        <v>2177</v>
      </c>
      <c r="C714" s="1545" t="s">
        <v>1252</v>
      </c>
      <c r="D714" s="1561">
        <v>0.35</v>
      </c>
      <c r="E714" s="1545" t="s">
        <v>294</v>
      </c>
      <c r="F714" s="1545">
        <v>1</v>
      </c>
      <c r="G714" s="1545"/>
      <c r="H714" s="1545"/>
      <c r="I714" s="1511">
        <f t="shared" si="15"/>
        <v>0.35</v>
      </c>
      <c r="J714" s="94"/>
      <c r="K714" s="94"/>
      <c r="L714" s="94"/>
      <c r="M714" s="94"/>
      <c r="N714" s="94"/>
      <c r="O714" s="93"/>
    </row>
    <row r="715" spans="1:15" x14ac:dyDescent="0.25">
      <c r="A715" s="1541">
        <v>40</v>
      </c>
      <c r="B715" s="1541" t="s">
        <v>2536</v>
      </c>
      <c r="C715" s="1541"/>
      <c r="D715" s="1542">
        <v>0.65</v>
      </c>
      <c r="E715" s="1541" t="s">
        <v>64</v>
      </c>
      <c r="F715" s="1541">
        <v>1</v>
      </c>
      <c r="G715" s="1541"/>
      <c r="H715" s="1541"/>
      <c r="I715" s="1511">
        <f t="shared" si="15"/>
        <v>0.65</v>
      </c>
      <c r="J715" s="99"/>
      <c r="K715" s="99"/>
      <c r="L715" s="99"/>
      <c r="M715" s="99"/>
      <c r="N715" s="99"/>
      <c r="O715" s="130"/>
    </row>
    <row r="716" spans="1:15" x14ac:dyDescent="0.25">
      <c r="A716" s="1541">
        <v>50</v>
      </c>
      <c r="B716" s="1541" t="s">
        <v>514</v>
      </c>
      <c r="C716" s="1541" t="s">
        <v>2559</v>
      </c>
      <c r="D716" s="1542">
        <v>0.04</v>
      </c>
      <c r="E716" s="1541" t="s">
        <v>512</v>
      </c>
      <c r="F716" s="1541">
        <v>9.1999999999999993</v>
      </c>
      <c r="G716" s="1541" t="s">
        <v>2557</v>
      </c>
      <c r="H716" s="1541">
        <v>3</v>
      </c>
      <c r="I716" s="1511">
        <f t="shared" si="15"/>
        <v>1.1040000000000001</v>
      </c>
      <c r="J716" s="94"/>
      <c r="K716" s="94"/>
      <c r="L716" s="94"/>
      <c r="M716" s="94"/>
      <c r="N716" s="94"/>
      <c r="O716" s="93"/>
    </row>
    <row r="717" spans="1:15" x14ac:dyDescent="0.25">
      <c r="A717" s="1541">
        <v>60</v>
      </c>
      <c r="B717" s="1541" t="s">
        <v>2536</v>
      </c>
      <c r="C717" s="1541"/>
      <c r="D717" s="1542">
        <v>0.65</v>
      </c>
      <c r="E717" s="1541" t="s">
        <v>64</v>
      </c>
      <c r="F717" s="1541">
        <v>1</v>
      </c>
      <c r="G717" s="1541"/>
      <c r="H717" s="1541"/>
      <c r="I717" s="1511">
        <f t="shared" si="15"/>
        <v>0.65</v>
      </c>
      <c r="J717" s="94"/>
      <c r="K717" s="94"/>
      <c r="L717" s="94"/>
      <c r="M717" s="94"/>
      <c r="N717" s="94"/>
      <c r="O717" s="93"/>
    </row>
    <row r="718" spans="1:15" x14ac:dyDescent="0.25">
      <c r="A718" s="1541">
        <v>70</v>
      </c>
      <c r="B718" s="1541" t="s">
        <v>514</v>
      </c>
      <c r="C718" s="1541" t="s">
        <v>2616</v>
      </c>
      <c r="D718" s="1542">
        <v>0.04</v>
      </c>
      <c r="E718" s="1541" t="s">
        <v>512</v>
      </c>
      <c r="F718" s="1541">
        <v>0.5</v>
      </c>
      <c r="G718" s="1541" t="s">
        <v>2557</v>
      </c>
      <c r="H718" s="1541">
        <v>3</v>
      </c>
      <c r="I718" s="1511">
        <f t="shared" si="15"/>
        <v>0.06</v>
      </c>
      <c r="J718" s="94"/>
      <c r="K718" s="94"/>
      <c r="L718" s="94"/>
      <c r="M718" s="94"/>
      <c r="N718" s="94"/>
      <c r="O718" s="93"/>
    </row>
    <row r="719" spans="1:15" x14ac:dyDescent="0.25">
      <c r="A719" s="98"/>
      <c r="B719" s="95"/>
      <c r="C719" s="95"/>
      <c r="D719" s="95"/>
      <c r="E719" s="95"/>
      <c r="F719" s="95"/>
      <c r="G719" s="95"/>
      <c r="H719" s="1448" t="s">
        <v>58</v>
      </c>
      <c r="I719" s="1447">
        <f>SUM(I712:I718)</f>
        <v>5.8900000000000006</v>
      </c>
      <c r="J719" s="95"/>
      <c r="K719" s="95"/>
      <c r="L719" s="95"/>
      <c r="M719" s="95"/>
      <c r="N719" s="95"/>
      <c r="O719" s="93"/>
    </row>
    <row r="720" spans="1:15" x14ac:dyDescent="0.25">
      <c r="A720" s="107"/>
      <c r="B720" s="94"/>
      <c r="C720" s="94"/>
      <c r="D720" s="94"/>
      <c r="E720" s="94"/>
      <c r="F720" s="94"/>
      <c r="G720" s="94"/>
      <c r="H720" s="94"/>
      <c r="I720" s="99"/>
      <c r="J720" s="94"/>
      <c r="K720" s="94"/>
      <c r="L720" s="94"/>
      <c r="M720" s="94"/>
      <c r="N720" s="94"/>
      <c r="O720" s="93"/>
    </row>
    <row r="721" spans="1:15" ht="15.75" thickBot="1" x14ac:dyDescent="0.3">
      <c r="A721" s="92"/>
      <c r="B721" s="91"/>
      <c r="C721" s="91"/>
      <c r="D721" s="91"/>
      <c r="E721" s="91"/>
      <c r="F721" s="91"/>
      <c r="G721" s="91"/>
      <c r="H721" s="91"/>
      <c r="I721" s="91"/>
      <c r="J721" s="91"/>
      <c r="K721" s="91"/>
      <c r="L721" s="91"/>
      <c r="M721" s="91"/>
      <c r="N721" s="91"/>
      <c r="O721" s="90"/>
    </row>
    <row r="722" spans="1:15" ht="15.75" thickBot="1" x14ac:dyDescent="0.3">
      <c r="A722" s="107"/>
      <c r="B722" s="94"/>
      <c r="C722" s="94"/>
      <c r="D722" s="94"/>
      <c r="E722" s="94"/>
      <c r="F722" s="94"/>
      <c r="G722" s="94"/>
      <c r="H722" s="94"/>
      <c r="I722" s="94"/>
      <c r="J722" s="94"/>
      <c r="K722" s="94"/>
      <c r="L722" s="94"/>
      <c r="M722" s="94"/>
      <c r="N722" s="94"/>
      <c r="O722" s="94"/>
    </row>
    <row r="723" spans="1:15" x14ac:dyDescent="0.25">
      <c r="A723" s="141"/>
      <c r="B723" s="140"/>
      <c r="C723" s="140"/>
      <c r="D723" s="140"/>
      <c r="E723" s="140"/>
      <c r="F723" s="140"/>
      <c r="G723" s="140"/>
      <c r="H723" s="140"/>
      <c r="I723" s="140"/>
      <c r="J723" s="272"/>
      <c r="K723" s="140"/>
      <c r="L723" s="140"/>
      <c r="M723" s="140"/>
      <c r="N723" s="140"/>
      <c r="O723" s="139"/>
    </row>
    <row r="724" spans="1:15" x14ac:dyDescent="0.25">
      <c r="A724" s="1454" t="s">
        <v>57</v>
      </c>
      <c r="B724" s="133" t="s">
        <v>523</v>
      </c>
      <c r="C724" s="94"/>
      <c r="D724" s="94"/>
      <c r="E724" s="94"/>
      <c r="F724" s="94"/>
      <c r="G724" s="94"/>
      <c r="H724" s="94"/>
      <c r="I724" s="94"/>
      <c r="J724" s="1456" t="s">
        <v>51</v>
      </c>
      <c r="K724" s="138">
        <v>81</v>
      </c>
      <c r="L724" s="94"/>
      <c r="M724" s="1454" t="s">
        <v>113</v>
      </c>
      <c r="N724" s="100">
        <f>SU_05001_m</f>
        <v>305</v>
      </c>
      <c r="O724" s="93"/>
    </row>
    <row r="725" spans="1:15" x14ac:dyDescent="0.25">
      <c r="A725" s="1454" t="s">
        <v>125</v>
      </c>
      <c r="B725" s="133" t="s">
        <v>5</v>
      </c>
      <c r="C725" s="94"/>
      <c r="D725" s="1454" t="s">
        <v>122</v>
      </c>
      <c r="E725" s="94"/>
      <c r="F725" s="94"/>
      <c r="G725" s="94"/>
      <c r="H725" s="94"/>
      <c r="I725" s="94"/>
      <c r="J725" s="94"/>
      <c r="K725" s="94"/>
      <c r="L725" s="94"/>
      <c r="M725" s="1454" t="s">
        <v>124</v>
      </c>
      <c r="N725" s="136">
        <v>1</v>
      </c>
      <c r="O725" s="93"/>
    </row>
    <row r="726" spans="1:15" x14ac:dyDescent="0.25">
      <c r="A726" s="1454" t="s">
        <v>123</v>
      </c>
      <c r="B726" s="270" t="str">
        <f>'SU Assemblies'!B246</f>
        <v>Front suspension</v>
      </c>
      <c r="C726" s="94"/>
      <c r="D726" s="1454" t="s">
        <v>119</v>
      </c>
      <c r="E726" s="94"/>
      <c r="F726" s="94"/>
      <c r="G726" s="94"/>
      <c r="H726" s="94"/>
      <c r="I726" s="94"/>
      <c r="J726" s="1455" t="s">
        <v>122</v>
      </c>
      <c r="K726" s="94"/>
      <c r="L726" s="94"/>
      <c r="M726" s="94"/>
      <c r="N726" s="94"/>
      <c r="O726" s="93"/>
    </row>
    <row r="727" spans="1:15" x14ac:dyDescent="0.25">
      <c r="A727" s="1454" t="s">
        <v>114</v>
      </c>
      <c r="B727" s="135" t="s">
        <v>2601</v>
      </c>
      <c r="C727" s="94"/>
      <c r="D727" s="1454" t="s">
        <v>116</v>
      </c>
      <c r="E727" s="94"/>
      <c r="F727" s="94"/>
      <c r="G727" s="94"/>
      <c r="H727" s="94"/>
      <c r="I727" s="94"/>
      <c r="J727" s="1455" t="s">
        <v>119</v>
      </c>
      <c r="K727" s="94"/>
      <c r="L727" s="94"/>
      <c r="M727" s="1454" t="s">
        <v>118</v>
      </c>
      <c r="N727" s="100">
        <f>N725*N724</f>
        <v>305</v>
      </c>
      <c r="O727" s="93"/>
    </row>
    <row r="728" spans="1:15" x14ac:dyDescent="0.25">
      <c r="A728" s="1454" t="s">
        <v>121</v>
      </c>
      <c r="B728" s="269" t="s">
        <v>2615</v>
      </c>
      <c r="C728" s="94"/>
      <c r="D728" s="94"/>
      <c r="E728" s="94"/>
      <c r="F728" s="94"/>
      <c r="G728" s="94"/>
      <c r="H728" s="94"/>
      <c r="I728" s="94"/>
      <c r="J728" s="1455" t="s">
        <v>116</v>
      </c>
      <c r="K728" s="94"/>
      <c r="L728" s="94"/>
      <c r="M728" s="94"/>
      <c r="N728" s="94"/>
      <c r="O728" s="93"/>
    </row>
    <row r="729" spans="1:15" ht="33" customHeight="1" x14ac:dyDescent="0.25">
      <c r="A729" s="1454" t="s">
        <v>117</v>
      </c>
      <c r="B729" s="133" t="s">
        <v>23</v>
      </c>
      <c r="C729" s="94"/>
      <c r="D729" s="94"/>
      <c r="E729" s="94"/>
      <c r="F729" s="94"/>
      <c r="G729" s="94"/>
      <c r="H729" s="94"/>
      <c r="I729" s="94"/>
      <c r="J729" s="94"/>
      <c r="K729" s="94"/>
      <c r="L729" s="94"/>
      <c r="M729" s="94"/>
      <c r="N729" s="94"/>
      <c r="O729" s="93"/>
    </row>
    <row r="730" spans="1:15" x14ac:dyDescent="0.25">
      <c r="A730" s="1454" t="s">
        <v>115</v>
      </c>
      <c r="B730" s="133" t="s">
        <v>2599</v>
      </c>
      <c r="C730" s="94"/>
      <c r="D730" s="94"/>
      <c r="E730" s="94"/>
      <c r="F730" s="94"/>
      <c r="G730" s="94"/>
      <c r="H730" s="94"/>
      <c r="I730" s="94"/>
      <c r="J730" s="94"/>
      <c r="K730" s="94"/>
      <c r="L730" s="94"/>
      <c r="M730" s="94"/>
      <c r="N730" s="94"/>
      <c r="O730" s="93"/>
    </row>
    <row r="731" spans="1:15" x14ac:dyDescent="0.25">
      <c r="A731" s="266"/>
      <c r="B731" s="265"/>
      <c r="C731" s="265"/>
      <c r="D731" s="265"/>
      <c r="E731" s="265"/>
      <c r="F731" s="94"/>
      <c r="G731" s="94"/>
      <c r="H731" s="94"/>
      <c r="I731" s="94"/>
      <c r="J731" s="94"/>
      <c r="K731" s="94"/>
      <c r="L731" s="94"/>
      <c r="M731" s="94"/>
      <c r="N731" s="94"/>
      <c r="O731" s="93"/>
    </row>
    <row r="732" spans="1:15" x14ac:dyDescent="0.25">
      <c r="A732" s="1453" t="s">
        <v>67</v>
      </c>
      <c r="B732" s="1452" t="s">
        <v>112</v>
      </c>
      <c r="C732" s="1452" t="s">
        <v>66</v>
      </c>
      <c r="D732" s="1452" t="s">
        <v>65</v>
      </c>
      <c r="E732" s="1452" t="s">
        <v>81</v>
      </c>
      <c r="F732" s="1465" t="s">
        <v>80</v>
      </c>
      <c r="G732" s="1465" t="s">
        <v>79</v>
      </c>
      <c r="H732" s="1465" t="s">
        <v>78</v>
      </c>
      <c r="I732" s="1465" t="s">
        <v>111</v>
      </c>
      <c r="J732" s="1465" t="s">
        <v>110</v>
      </c>
      <c r="K732" s="1465" t="s">
        <v>109</v>
      </c>
      <c r="L732" s="1465" t="s">
        <v>108</v>
      </c>
      <c r="M732" s="1465" t="s">
        <v>40</v>
      </c>
      <c r="N732" s="1465" t="s">
        <v>58</v>
      </c>
      <c r="O732" s="93"/>
    </row>
    <row r="733" spans="1:15" x14ac:dyDescent="0.25">
      <c r="A733" s="1557">
        <v>10</v>
      </c>
      <c r="B733" s="1560" t="s">
        <v>2598</v>
      </c>
      <c r="C733" s="1557" t="s">
        <v>2597</v>
      </c>
      <c r="D733" s="1533">
        <v>305</v>
      </c>
      <c r="E733" s="1557"/>
      <c r="F733" s="1557"/>
      <c r="G733" s="1557"/>
      <c r="H733" s="1531"/>
      <c r="I733" s="1556"/>
      <c r="J733" s="1555"/>
      <c r="K733" s="1528"/>
      <c r="L733" s="1559"/>
      <c r="M733" s="1558">
        <v>1</v>
      </c>
      <c r="N733" s="1468">
        <f>IF(J733="",D733*M733,D733*J733*K733*L733*M733)</f>
        <v>305</v>
      </c>
      <c r="O733" s="143"/>
    </row>
    <row r="734" spans="1:15" x14ac:dyDescent="0.25">
      <c r="A734" s="98"/>
      <c r="B734" s="95"/>
      <c r="C734" s="95"/>
      <c r="D734" s="95"/>
      <c r="E734" s="95"/>
      <c r="F734" s="95"/>
      <c r="G734" s="95"/>
      <c r="H734" s="95"/>
      <c r="I734" s="95"/>
      <c r="J734" s="95"/>
      <c r="K734" s="95"/>
      <c r="L734" s="95"/>
      <c r="M734" s="1467" t="s">
        <v>58</v>
      </c>
      <c r="N734" s="1447">
        <f>SUM(N733:N733)</f>
        <v>305</v>
      </c>
      <c r="O734" s="93"/>
    </row>
    <row r="735" spans="1:15" x14ac:dyDescent="0.25">
      <c r="A735" s="107"/>
      <c r="B735" s="94"/>
      <c r="C735" s="94"/>
      <c r="D735" s="94"/>
      <c r="E735" s="94"/>
      <c r="F735" s="94"/>
      <c r="G735" s="94"/>
      <c r="H735" s="94"/>
      <c r="I735" s="94"/>
      <c r="J735" s="94"/>
      <c r="K735" s="94"/>
      <c r="L735" s="94"/>
      <c r="M735" s="94"/>
      <c r="N735" s="94"/>
      <c r="O735" s="93"/>
    </row>
    <row r="736" spans="1:15" ht="15.75" thickBot="1" x14ac:dyDescent="0.3">
      <c r="A736" s="92"/>
      <c r="B736" s="91"/>
      <c r="C736" s="91"/>
      <c r="D736" s="91"/>
      <c r="E736" s="91"/>
      <c r="F736" s="91"/>
      <c r="G736" s="91"/>
      <c r="H736" s="91"/>
      <c r="I736" s="91"/>
      <c r="J736" s="91"/>
      <c r="K736" s="91"/>
      <c r="L736" s="91"/>
      <c r="M736" s="91"/>
      <c r="N736" s="91"/>
      <c r="O736" s="90"/>
    </row>
    <row r="737" spans="1:15" ht="15.75" thickBot="1" x14ac:dyDescent="0.3"/>
    <row r="738" spans="1:15" x14ac:dyDescent="0.25">
      <c r="A738" s="141"/>
      <c r="B738" s="140"/>
      <c r="C738" s="140"/>
      <c r="D738" s="140"/>
      <c r="E738" s="140"/>
      <c r="F738" s="140"/>
      <c r="G738" s="140"/>
      <c r="H738" s="140"/>
      <c r="I738" s="140"/>
      <c r="J738" s="272"/>
      <c r="K738" s="140"/>
      <c r="L738" s="140"/>
      <c r="M738" s="140"/>
      <c r="N738" s="140"/>
      <c r="O738" s="139"/>
    </row>
    <row r="739" spans="1:15" x14ac:dyDescent="0.25">
      <c r="A739" s="1454" t="s">
        <v>57</v>
      </c>
      <c r="B739" s="133" t="s">
        <v>523</v>
      </c>
      <c r="C739" s="94"/>
      <c r="D739" s="94"/>
      <c r="E739" s="94"/>
      <c r="F739" s="94"/>
      <c r="G739" s="94"/>
      <c r="H739" s="94"/>
      <c r="I739" s="94"/>
      <c r="J739" s="1456" t="s">
        <v>51</v>
      </c>
      <c r="K739" s="138">
        <v>81</v>
      </c>
      <c r="L739" s="94"/>
      <c r="M739" s="1454" t="s">
        <v>113</v>
      </c>
      <c r="N739" s="100">
        <f>SU_05002_m</f>
        <v>25</v>
      </c>
      <c r="O739" s="93"/>
    </row>
    <row r="740" spans="1:15" x14ac:dyDescent="0.25">
      <c r="A740" s="1454" t="s">
        <v>125</v>
      </c>
      <c r="B740" s="133" t="s">
        <v>5</v>
      </c>
      <c r="C740" s="94"/>
      <c r="D740" s="1454" t="s">
        <v>122</v>
      </c>
      <c r="E740" s="94"/>
      <c r="F740" s="94"/>
      <c r="G740" s="94"/>
      <c r="H740" s="94"/>
      <c r="I740" s="94"/>
      <c r="J740" s="94"/>
      <c r="K740" s="94"/>
      <c r="L740" s="94"/>
      <c r="M740" s="1454" t="s">
        <v>124</v>
      </c>
      <c r="N740" s="136">
        <v>1</v>
      </c>
      <c r="O740" s="93"/>
    </row>
    <row r="741" spans="1:15" x14ac:dyDescent="0.25">
      <c r="A741" s="1454" t="s">
        <v>123</v>
      </c>
      <c r="B741" s="270" t="str">
        <f>'SU Assemblies'!B246</f>
        <v>Front suspension</v>
      </c>
      <c r="C741" s="94"/>
      <c r="D741" s="1454" t="s">
        <v>119</v>
      </c>
      <c r="E741" s="94"/>
      <c r="F741" s="94"/>
      <c r="G741" s="94"/>
      <c r="H741" s="94"/>
      <c r="I741" s="94"/>
      <c r="J741" s="1455" t="s">
        <v>122</v>
      </c>
      <c r="K741" s="94"/>
      <c r="L741" s="94"/>
      <c r="M741" s="94"/>
      <c r="N741" s="94"/>
      <c r="O741" s="93"/>
    </row>
    <row r="742" spans="1:15" x14ac:dyDescent="0.25">
      <c r="A742" s="1454" t="s">
        <v>114</v>
      </c>
      <c r="B742" s="135" t="s">
        <v>2596</v>
      </c>
      <c r="C742" s="94"/>
      <c r="D742" s="1454" t="s">
        <v>116</v>
      </c>
      <c r="E742" s="94"/>
      <c r="F742" s="94"/>
      <c r="G742" s="94"/>
      <c r="H742" s="94"/>
      <c r="I742" s="94"/>
      <c r="J742" s="1455" t="s">
        <v>119</v>
      </c>
      <c r="K742" s="94"/>
      <c r="L742" s="94"/>
      <c r="M742" s="1454" t="s">
        <v>118</v>
      </c>
      <c r="N742" s="100">
        <f>N740*N739</f>
        <v>25</v>
      </c>
      <c r="O742" s="93"/>
    </row>
    <row r="743" spans="1:15" x14ac:dyDescent="0.25">
      <c r="A743" s="1454" t="s">
        <v>121</v>
      </c>
      <c r="B743" s="269" t="s">
        <v>2614</v>
      </c>
      <c r="C743" s="94"/>
      <c r="D743" s="94"/>
      <c r="E743" s="94"/>
      <c r="F743" s="94"/>
      <c r="G743" s="94"/>
      <c r="H743" s="94"/>
      <c r="I743" s="94"/>
      <c r="J743" s="1455" t="s">
        <v>116</v>
      </c>
      <c r="K743" s="94"/>
      <c r="L743" s="94"/>
      <c r="M743" s="94"/>
      <c r="N743" s="94"/>
      <c r="O743" s="93"/>
    </row>
    <row r="744" spans="1:15" x14ac:dyDescent="0.25">
      <c r="A744" s="1454" t="s">
        <v>117</v>
      </c>
      <c r="B744" s="133" t="s">
        <v>23</v>
      </c>
      <c r="C744" s="94"/>
      <c r="D744" s="94"/>
      <c r="E744" s="94"/>
      <c r="F744" s="94"/>
      <c r="G744" s="94"/>
      <c r="H744" s="94"/>
      <c r="I744" s="94"/>
      <c r="J744" s="94"/>
      <c r="K744" s="94"/>
      <c r="L744" s="94"/>
      <c r="M744" s="94"/>
      <c r="N744" s="94"/>
      <c r="O744" s="93"/>
    </row>
    <row r="745" spans="1:15" x14ac:dyDescent="0.25">
      <c r="A745" s="1454" t="s">
        <v>115</v>
      </c>
      <c r="B745" s="133"/>
      <c r="C745" s="94"/>
      <c r="D745" s="94"/>
      <c r="E745" s="94"/>
      <c r="F745" s="94"/>
      <c r="G745" s="94"/>
      <c r="H745" s="94"/>
      <c r="I745" s="94"/>
      <c r="J745" s="94"/>
      <c r="K745" s="94"/>
      <c r="L745" s="94"/>
      <c r="M745" s="94"/>
      <c r="N745" s="94"/>
      <c r="O745" s="93"/>
    </row>
    <row r="746" spans="1:15" x14ac:dyDescent="0.25">
      <c r="A746" s="266"/>
      <c r="B746" s="265"/>
      <c r="C746" s="265"/>
      <c r="D746" s="265"/>
      <c r="E746" s="265"/>
      <c r="F746" s="94"/>
      <c r="G746" s="94"/>
      <c r="H746" s="94"/>
      <c r="I746" s="94"/>
      <c r="J746" s="94"/>
      <c r="K746" s="94"/>
      <c r="L746" s="94"/>
      <c r="M746" s="94"/>
      <c r="N746" s="94"/>
      <c r="O746" s="93"/>
    </row>
    <row r="747" spans="1:15" x14ac:dyDescent="0.25">
      <c r="A747" s="1453" t="s">
        <v>67</v>
      </c>
      <c r="B747" s="1452" t="s">
        <v>112</v>
      </c>
      <c r="C747" s="1452" t="s">
        <v>66</v>
      </c>
      <c r="D747" s="1452" t="s">
        <v>65</v>
      </c>
      <c r="E747" s="1452" t="s">
        <v>81</v>
      </c>
      <c r="F747" s="1465" t="s">
        <v>80</v>
      </c>
      <c r="G747" s="1465" t="s">
        <v>79</v>
      </c>
      <c r="H747" s="1465" t="s">
        <v>78</v>
      </c>
      <c r="I747" s="1465" t="s">
        <v>111</v>
      </c>
      <c r="J747" s="1465" t="s">
        <v>110</v>
      </c>
      <c r="K747" s="1465" t="s">
        <v>109</v>
      </c>
      <c r="L747" s="1465" t="s">
        <v>108</v>
      </c>
      <c r="M747" s="1465" t="s">
        <v>40</v>
      </c>
      <c r="N747" s="1465" t="s">
        <v>58</v>
      </c>
      <c r="O747" s="93"/>
    </row>
    <row r="748" spans="1:15" ht="30" x14ac:dyDescent="0.25">
      <c r="A748" s="1557">
        <v>10</v>
      </c>
      <c r="B748" s="1475" t="s">
        <v>2594</v>
      </c>
      <c r="C748" s="1460" t="s">
        <v>2593</v>
      </c>
      <c r="D748" s="1533">
        <v>25</v>
      </c>
      <c r="E748" s="1557"/>
      <c r="F748" s="1557"/>
      <c r="G748" s="1557"/>
      <c r="H748" s="1531"/>
      <c r="I748" s="1556"/>
      <c r="J748" s="1555"/>
      <c r="K748" s="1528"/>
      <c r="L748" s="1554"/>
      <c r="M748" s="1544">
        <v>1</v>
      </c>
      <c r="N748" s="1468">
        <f>IF(J748="",D748*M748,D748*J748*K748*L748*M748)</f>
        <v>25</v>
      </c>
      <c r="O748" s="143"/>
    </row>
    <row r="749" spans="1:15" x14ac:dyDescent="0.25">
      <c r="A749" s="98"/>
      <c r="B749" s="95"/>
      <c r="C749" s="95"/>
      <c r="D749" s="95"/>
      <c r="E749" s="95"/>
      <c r="F749" s="95"/>
      <c r="G749" s="95"/>
      <c r="H749" s="95"/>
      <c r="I749" s="95"/>
      <c r="J749" s="95"/>
      <c r="K749" s="95"/>
      <c r="L749" s="95"/>
      <c r="M749" s="1467" t="s">
        <v>58</v>
      </c>
      <c r="N749" s="1447">
        <f>SUM(N748:N748)</f>
        <v>25</v>
      </c>
      <c r="O749" s="93"/>
    </row>
    <row r="750" spans="1:15" x14ac:dyDescent="0.25">
      <c r="A750" s="107"/>
      <c r="B750" s="94"/>
      <c r="C750" s="94"/>
      <c r="D750" s="94"/>
      <c r="E750" s="94"/>
      <c r="F750" s="94"/>
      <c r="G750" s="94"/>
      <c r="H750" s="94"/>
      <c r="I750" s="94"/>
      <c r="J750" s="94"/>
      <c r="K750" s="94"/>
      <c r="L750" s="94"/>
      <c r="M750" s="94"/>
      <c r="N750" s="94"/>
      <c r="O750" s="93"/>
    </row>
    <row r="751" spans="1:15" ht="15.75" thickBot="1" x14ac:dyDescent="0.3">
      <c r="A751" s="92"/>
      <c r="B751" s="91"/>
      <c r="C751" s="91"/>
      <c r="D751" s="91"/>
      <c r="E751" s="91"/>
      <c r="F751" s="91"/>
      <c r="G751" s="91"/>
      <c r="H751" s="91"/>
      <c r="I751" s="91"/>
      <c r="J751" s="91"/>
      <c r="K751" s="91"/>
      <c r="L751" s="91"/>
      <c r="M751" s="91"/>
      <c r="N751" s="91"/>
      <c r="O751" s="90"/>
    </row>
    <row r="752" spans="1:15" ht="15.75" thickBot="1" x14ac:dyDescent="0.3"/>
    <row r="753" spans="1:15" x14ac:dyDescent="0.25">
      <c r="A753" s="141"/>
      <c r="B753" s="140"/>
      <c r="C753" s="140"/>
      <c r="D753" s="140"/>
      <c r="E753" s="140"/>
      <c r="F753" s="140"/>
      <c r="G753" s="140"/>
      <c r="H753" s="140"/>
      <c r="I753" s="140"/>
      <c r="J753" s="272"/>
      <c r="K753" s="140"/>
      <c r="L753" s="140"/>
      <c r="M753" s="140"/>
      <c r="N753" s="140"/>
      <c r="O753" s="139"/>
    </row>
    <row r="754" spans="1:15" x14ac:dyDescent="0.25">
      <c r="A754" s="1454" t="s">
        <v>57</v>
      </c>
      <c r="B754" s="133" t="s">
        <v>523</v>
      </c>
      <c r="C754" s="94"/>
      <c r="D754" s="94"/>
      <c r="E754" s="94"/>
      <c r="F754" s="94"/>
      <c r="G754" s="94"/>
      <c r="H754" s="94"/>
      <c r="I754" s="94"/>
      <c r="J754" s="1456" t="s">
        <v>51</v>
      </c>
      <c r="K754" s="138">
        <v>81</v>
      </c>
      <c r="L754" s="94"/>
      <c r="M754" s="1454" t="s">
        <v>113</v>
      </c>
      <c r="N754" s="100">
        <f>SU_05003_m+SU_05003_p</f>
        <v>8.1179218750000004</v>
      </c>
      <c r="O754" s="93"/>
    </row>
    <row r="755" spans="1:15" x14ac:dyDescent="0.25">
      <c r="A755" s="1454" t="s">
        <v>125</v>
      </c>
      <c r="B755" s="133" t="s">
        <v>5</v>
      </c>
      <c r="C755" s="94"/>
      <c r="D755" s="1454" t="s">
        <v>122</v>
      </c>
      <c r="E755" s="270" t="s">
        <v>522</v>
      </c>
      <c r="F755" s="94"/>
      <c r="G755" s="94"/>
      <c r="H755" s="94"/>
      <c r="I755" s="94"/>
      <c r="J755" s="94"/>
      <c r="K755" s="94"/>
      <c r="L755" s="94"/>
      <c r="M755" s="1454" t="s">
        <v>124</v>
      </c>
      <c r="N755" s="136">
        <v>1</v>
      </c>
      <c r="O755" s="93"/>
    </row>
    <row r="756" spans="1:15" x14ac:dyDescent="0.25">
      <c r="A756" s="1454" t="s">
        <v>123</v>
      </c>
      <c r="B756" s="270" t="str">
        <f>'SU Assemblies'!B246</f>
        <v>Front suspension</v>
      </c>
      <c r="C756" s="94"/>
      <c r="D756" s="1454" t="s">
        <v>119</v>
      </c>
      <c r="E756" s="94"/>
      <c r="F756" s="94"/>
      <c r="G756" s="94"/>
      <c r="H756" s="94"/>
      <c r="I756" s="94"/>
      <c r="J756" s="1455" t="s">
        <v>122</v>
      </c>
      <c r="K756" s="94"/>
      <c r="L756" s="94"/>
      <c r="M756" s="94"/>
      <c r="N756" s="94"/>
      <c r="O756" s="93"/>
    </row>
    <row r="757" spans="1:15" x14ac:dyDescent="0.25">
      <c r="A757" s="1454" t="s">
        <v>114</v>
      </c>
      <c r="B757" s="135" t="s">
        <v>2613</v>
      </c>
      <c r="C757" s="94"/>
      <c r="D757" s="1454" t="s">
        <v>116</v>
      </c>
      <c r="E757" s="94"/>
      <c r="F757" s="94"/>
      <c r="G757" s="94"/>
      <c r="H757" s="94"/>
      <c r="I757" s="94"/>
      <c r="J757" s="1455" t="s">
        <v>119</v>
      </c>
      <c r="K757" s="94"/>
      <c r="L757" s="94"/>
      <c r="M757" s="1454" t="s">
        <v>118</v>
      </c>
      <c r="N757" s="100">
        <f>N755*N754</f>
        <v>8.1179218750000004</v>
      </c>
      <c r="O757" s="93"/>
    </row>
    <row r="758" spans="1:15" x14ac:dyDescent="0.25">
      <c r="A758" s="1454" t="s">
        <v>121</v>
      </c>
      <c r="B758" s="269" t="s">
        <v>2612</v>
      </c>
      <c r="C758" s="94"/>
      <c r="D758" s="94"/>
      <c r="E758" s="94"/>
      <c r="F758" s="94"/>
      <c r="G758" s="94"/>
      <c r="H758" s="94"/>
      <c r="I758" s="94"/>
      <c r="J758" s="1455" t="s">
        <v>116</v>
      </c>
      <c r="K758" s="94"/>
      <c r="L758" s="94"/>
      <c r="M758" s="94"/>
      <c r="N758" s="94"/>
      <c r="O758" s="93"/>
    </row>
    <row r="759" spans="1:15" x14ac:dyDescent="0.25">
      <c r="A759" s="1454" t="s">
        <v>117</v>
      </c>
      <c r="B759" s="133" t="s">
        <v>23</v>
      </c>
      <c r="C759" s="94"/>
      <c r="D759" s="94"/>
      <c r="E759" s="94"/>
      <c r="F759" s="94"/>
      <c r="G759" s="94"/>
      <c r="H759" s="94"/>
      <c r="I759" s="94"/>
      <c r="J759" s="94"/>
      <c r="K759" s="94"/>
      <c r="L759" s="94"/>
      <c r="M759" s="94"/>
      <c r="N759" s="94"/>
      <c r="O759" s="93"/>
    </row>
    <row r="760" spans="1:15" x14ac:dyDescent="0.25">
      <c r="A760" s="1454" t="s">
        <v>115</v>
      </c>
      <c r="B760" s="194" t="s">
        <v>2590</v>
      </c>
      <c r="C760" s="94"/>
      <c r="D760" s="94"/>
      <c r="E760" s="94"/>
      <c r="F760" s="94"/>
      <c r="G760" s="94"/>
      <c r="H760" s="94"/>
      <c r="I760" s="94"/>
      <c r="J760" s="94"/>
      <c r="K760" s="94"/>
      <c r="L760" s="94"/>
      <c r="M760" s="94"/>
      <c r="N760" s="94"/>
      <c r="O760" s="93"/>
    </row>
    <row r="761" spans="1:15" x14ac:dyDescent="0.25">
      <c r="A761" s="266"/>
      <c r="B761" s="265"/>
      <c r="C761" s="265"/>
      <c r="D761" s="265"/>
      <c r="E761" s="265"/>
      <c r="F761" s="94"/>
      <c r="G761" s="94"/>
      <c r="H761" s="94"/>
      <c r="I761" s="94"/>
      <c r="J761" s="94"/>
      <c r="K761" s="94"/>
      <c r="L761" s="94"/>
      <c r="M761" s="94"/>
      <c r="N761" s="94"/>
      <c r="O761" s="93"/>
    </row>
    <row r="762" spans="1:15" x14ac:dyDescent="0.25">
      <c r="A762" s="1453" t="s">
        <v>67</v>
      </c>
      <c r="B762" s="1452" t="s">
        <v>112</v>
      </c>
      <c r="C762" s="1452" t="s">
        <v>66</v>
      </c>
      <c r="D762" s="1452" t="s">
        <v>65</v>
      </c>
      <c r="E762" s="1452" t="s">
        <v>81</v>
      </c>
      <c r="F762" s="1465" t="s">
        <v>80</v>
      </c>
      <c r="G762" s="1465" t="s">
        <v>79</v>
      </c>
      <c r="H762" s="1465" t="s">
        <v>78</v>
      </c>
      <c r="I762" s="1465" t="s">
        <v>111</v>
      </c>
      <c r="J762" s="1465" t="s">
        <v>110</v>
      </c>
      <c r="K762" s="1465" t="s">
        <v>109</v>
      </c>
      <c r="L762" s="1465" t="s">
        <v>108</v>
      </c>
      <c r="M762" s="1465" t="s">
        <v>40</v>
      </c>
      <c r="N762" s="1465" t="s">
        <v>58</v>
      </c>
      <c r="O762" s="93"/>
    </row>
    <row r="763" spans="1:15" ht="30" x14ac:dyDescent="0.25">
      <c r="A763" s="1458">
        <v>10</v>
      </c>
      <c r="B763" s="1475" t="s">
        <v>519</v>
      </c>
      <c r="C763" s="1508" t="s">
        <v>2561</v>
      </c>
      <c r="D763" s="1507">
        <v>2.25</v>
      </c>
      <c r="E763" s="1458">
        <v>25</v>
      </c>
      <c r="F763" s="1458" t="s">
        <v>68</v>
      </c>
      <c r="G763" s="1458">
        <v>25</v>
      </c>
      <c r="H763" s="1470" t="s">
        <v>68</v>
      </c>
      <c r="I763" s="1473" t="s">
        <v>2611</v>
      </c>
      <c r="J763" s="1476">
        <f>0.025*0.025</f>
        <v>6.2500000000000012E-4</v>
      </c>
      <c r="K763" s="1471">
        <v>5.5E-2</v>
      </c>
      <c r="L763" s="1549">
        <v>7860</v>
      </c>
      <c r="M763" s="1469">
        <v>1</v>
      </c>
      <c r="N763" s="1468">
        <f>IF(J763="",D763*M763,D763*J763*K763*L763*M763)</f>
        <v>0.60792187500000017</v>
      </c>
      <c r="O763" s="143"/>
    </row>
    <row r="764" spans="1:15" x14ac:dyDescent="0.25">
      <c r="A764" s="98"/>
      <c r="B764" s="95"/>
      <c r="C764" s="95"/>
      <c r="D764" s="95"/>
      <c r="E764" s="95"/>
      <c r="F764" s="95"/>
      <c r="G764" s="95"/>
      <c r="H764" s="95"/>
      <c r="I764" s="95"/>
      <c r="J764" s="95"/>
      <c r="K764" s="95"/>
      <c r="L764" s="95"/>
      <c r="M764" s="1467" t="s">
        <v>58</v>
      </c>
      <c r="N764" s="1447">
        <f>SUM(N763:N763)</f>
        <v>0.60792187500000017</v>
      </c>
      <c r="O764" s="93"/>
    </row>
    <row r="765" spans="1:15" x14ac:dyDescent="0.25">
      <c r="A765" s="107"/>
      <c r="B765" s="94"/>
      <c r="C765" s="94"/>
      <c r="D765" s="94"/>
      <c r="E765" s="94"/>
      <c r="F765" s="94"/>
      <c r="G765" s="94"/>
      <c r="H765" s="94"/>
      <c r="I765" s="94"/>
      <c r="J765" s="94"/>
      <c r="K765" s="94"/>
      <c r="L765" s="94"/>
      <c r="M765" s="94"/>
      <c r="N765" s="94"/>
      <c r="O765" s="93"/>
    </row>
    <row r="766" spans="1:15" x14ac:dyDescent="0.25">
      <c r="A766" s="1466" t="s">
        <v>67</v>
      </c>
      <c r="B766" s="1465" t="s">
        <v>106</v>
      </c>
      <c r="C766" s="1465" t="s">
        <v>66</v>
      </c>
      <c r="D766" s="1465" t="s">
        <v>65</v>
      </c>
      <c r="E766" s="1465" t="s">
        <v>64</v>
      </c>
      <c r="F766" s="1465" t="s">
        <v>40</v>
      </c>
      <c r="G766" s="1465" t="s">
        <v>105</v>
      </c>
      <c r="H766" s="1465" t="s">
        <v>104</v>
      </c>
      <c r="I766" s="1465" t="s">
        <v>58</v>
      </c>
      <c r="J766" s="95"/>
      <c r="K766" s="95"/>
      <c r="L766" s="95"/>
      <c r="M766" s="95"/>
      <c r="N766" s="95"/>
      <c r="O766" s="93"/>
    </row>
    <row r="767" spans="1:15" ht="30" x14ac:dyDescent="0.25">
      <c r="A767" s="1497">
        <v>10</v>
      </c>
      <c r="B767" s="1498" t="s">
        <v>516</v>
      </c>
      <c r="C767" s="1503" t="s">
        <v>528</v>
      </c>
      <c r="D767" s="1501">
        <v>1.3</v>
      </c>
      <c r="E767" s="1498" t="s">
        <v>64</v>
      </c>
      <c r="F767" s="1497">
        <v>1</v>
      </c>
      <c r="G767" s="1497"/>
      <c r="H767" s="1497"/>
      <c r="I767" s="1462">
        <f t="shared" ref="I767:I773" si="16">IF(H767="",D767*F767,D767*F767*H767)</f>
        <v>1.3</v>
      </c>
      <c r="J767" s="142"/>
      <c r="K767" s="142"/>
      <c r="L767" s="142"/>
      <c r="M767" s="142"/>
      <c r="N767" s="142"/>
      <c r="O767" s="120"/>
    </row>
    <row r="768" spans="1:15" x14ac:dyDescent="0.25">
      <c r="A768" s="1550">
        <v>20</v>
      </c>
      <c r="B768" s="1550" t="s">
        <v>514</v>
      </c>
      <c r="C768" s="1550" t="s">
        <v>1263</v>
      </c>
      <c r="D768" s="1551">
        <v>0.04</v>
      </c>
      <c r="E768" s="1550" t="s">
        <v>512</v>
      </c>
      <c r="F768" s="1550">
        <v>17.2</v>
      </c>
      <c r="G768" s="1553" t="s">
        <v>2557</v>
      </c>
      <c r="H768" s="1550">
        <v>3</v>
      </c>
      <c r="I768" s="1462">
        <f t="shared" si="16"/>
        <v>2.0640000000000001</v>
      </c>
      <c r="J768" s="142"/>
      <c r="K768" s="142"/>
      <c r="L768" s="142"/>
      <c r="M768" s="142"/>
      <c r="N768" s="142"/>
      <c r="O768" s="120"/>
    </row>
    <row r="769" spans="1:15" x14ac:dyDescent="0.25">
      <c r="A769" s="1497">
        <v>30</v>
      </c>
      <c r="B769" s="1497" t="s">
        <v>2177</v>
      </c>
      <c r="C769" s="1497" t="s">
        <v>1252</v>
      </c>
      <c r="D769" s="1552">
        <v>0.35</v>
      </c>
      <c r="E769" s="1497" t="s">
        <v>294</v>
      </c>
      <c r="F769" s="1497">
        <v>1</v>
      </c>
      <c r="G769" s="1497"/>
      <c r="H769" s="1497"/>
      <c r="I769" s="1462">
        <f t="shared" si="16"/>
        <v>0.35</v>
      </c>
      <c r="J769" s="142"/>
      <c r="K769" s="142"/>
      <c r="L769" s="142"/>
      <c r="M769" s="142"/>
      <c r="N769" s="142"/>
      <c r="O769" s="120"/>
    </row>
    <row r="770" spans="1:15" x14ac:dyDescent="0.25">
      <c r="A770" s="1550">
        <v>40</v>
      </c>
      <c r="B770" s="1550" t="s">
        <v>2536</v>
      </c>
      <c r="C770" s="1550"/>
      <c r="D770" s="1551">
        <v>0.65</v>
      </c>
      <c r="E770" s="1550" t="s">
        <v>64</v>
      </c>
      <c r="F770" s="1550">
        <v>1</v>
      </c>
      <c r="G770" s="1550"/>
      <c r="H770" s="1550"/>
      <c r="I770" s="1462">
        <f t="shared" si="16"/>
        <v>0.65</v>
      </c>
      <c r="J770" s="142"/>
      <c r="K770" s="142"/>
      <c r="L770" s="142"/>
      <c r="M770" s="142"/>
      <c r="N770" s="142"/>
      <c r="O770" s="120"/>
    </row>
    <row r="771" spans="1:15" x14ac:dyDescent="0.25">
      <c r="A771" s="1550">
        <v>50</v>
      </c>
      <c r="B771" s="1550" t="s">
        <v>514</v>
      </c>
      <c r="C771" s="1550" t="s">
        <v>2559</v>
      </c>
      <c r="D771" s="1551">
        <v>0.04</v>
      </c>
      <c r="E771" s="1550" t="s">
        <v>512</v>
      </c>
      <c r="F771" s="1550">
        <v>18.3</v>
      </c>
      <c r="G771" s="1550" t="s">
        <v>2557</v>
      </c>
      <c r="H771" s="1550">
        <v>3</v>
      </c>
      <c r="I771" s="1462">
        <f t="shared" si="16"/>
        <v>2.1960000000000002</v>
      </c>
      <c r="J771" s="94"/>
      <c r="K771" s="94"/>
      <c r="L771" s="94"/>
      <c r="M771" s="94"/>
      <c r="N771" s="94"/>
      <c r="O771" s="93"/>
    </row>
    <row r="772" spans="1:15" x14ac:dyDescent="0.25">
      <c r="A772" s="1550">
        <v>60</v>
      </c>
      <c r="B772" s="1550" t="s">
        <v>2536</v>
      </c>
      <c r="C772" s="1550"/>
      <c r="D772" s="1551">
        <v>0.65</v>
      </c>
      <c r="E772" s="1550" t="s">
        <v>64</v>
      </c>
      <c r="F772" s="1550">
        <v>1</v>
      </c>
      <c r="G772" s="1550"/>
      <c r="H772" s="1550"/>
      <c r="I772" s="1468">
        <f t="shared" si="16"/>
        <v>0.65</v>
      </c>
      <c r="J772" s="99"/>
      <c r="K772" s="99"/>
      <c r="L772" s="99"/>
      <c r="M772" s="99"/>
      <c r="N772" s="99"/>
      <c r="O772" s="130"/>
    </row>
    <row r="773" spans="1:15" x14ac:dyDescent="0.25">
      <c r="A773" s="1550">
        <v>70</v>
      </c>
      <c r="B773" s="1550" t="s">
        <v>514</v>
      </c>
      <c r="C773" s="1550" t="s">
        <v>2558</v>
      </c>
      <c r="D773" s="1551">
        <v>0.04</v>
      </c>
      <c r="E773" s="1550" t="s">
        <v>512</v>
      </c>
      <c r="F773" s="1550">
        <v>2.5</v>
      </c>
      <c r="G773" s="1550" t="s">
        <v>2557</v>
      </c>
      <c r="H773" s="1550">
        <v>3</v>
      </c>
      <c r="I773" s="1468">
        <f t="shared" si="16"/>
        <v>0.30000000000000004</v>
      </c>
      <c r="J773" s="94"/>
      <c r="K773" s="94"/>
      <c r="L773" s="94"/>
      <c r="M773" s="94"/>
      <c r="N773" s="94"/>
      <c r="O773" s="93"/>
    </row>
    <row r="774" spans="1:15" x14ac:dyDescent="0.25">
      <c r="A774" s="98"/>
      <c r="B774" s="95"/>
      <c r="C774" s="95"/>
      <c r="D774" s="95"/>
      <c r="E774" s="95"/>
      <c r="F774" s="95"/>
      <c r="G774" s="95"/>
      <c r="H774" s="1448" t="s">
        <v>58</v>
      </c>
      <c r="I774" s="1447">
        <f>SUM(I767:I773)</f>
        <v>7.5100000000000007</v>
      </c>
      <c r="J774" s="95"/>
      <c r="K774" s="95"/>
      <c r="L774" s="95"/>
      <c r="M774" s="95"/>
      <c r="N774" s="95"/>
      <c r="O774" s="93"/>
    </row>
    <row r="775" spans="1:15" x14ac:dyDescent="0.25">
      <c r="A775" s="107"/>
      <c r="B775" s="94"/>
      <c r="C775" s="94"/>
      <c r="D775" s="94"/>
      <c r="E775" s="94"/>
      <c r="F775" s="94"/>
      <c r="G775" s="94"/>
      <c r="H775" s="94"/>
      <c r="I775" s="99"/>
      <c r="J775" s="94"/>
      <c r="K775" s="94"/>
      <c r="L775" s="94"/>
      <c r="M775" s="94"/>
      <c r="N775" s="94"/>
      <c r="O775" s="93"/>
    </row>
    <row r="776" spans="1:15" ht="15.75" thickBot="1" x14ac:dyDescent="0.3">
      <c r="A776" s="92"/>
      <c r="B776" s="91"/>
      <c r="C776" s="91"/>
      <c r="D776" s="91"/>
      <c r="E776" s="91"/>
      <c r="F776" s="91"/>
      <c r="G776" s="91"/>
      <c r="H776" s="91"/>
      <c r="I776" s="91"/>
      <c r="J776" s="91"/>
      <c r="K776" s="91"/>
      <c r="L776" s="91"/>
      <c r="M776" s="91"/>
      <c r="N776" s="91"/>
      <c r="O776" s="90"/>
    </row>
    <row r="777" spans="1:15" ht="15.75" thickBot="1" x14ac:dyDescent="0.3"/>
    <row r="778" spans="1:15" x14ac:dyDescent="0.25">
      <c r="A778" s="141"/>
      <c r="B778" s="140"/>
      <c r="C778" s="140"/>
      <c r="D778" s="140"/>
      <c r="E778" s="140"/>
      <c r="F778" s="140"/>
      <c r="G778" s="140"/>
      <c r="H778" s="140"/>
      <c r="I778" s="140"/>
      <c r="J778" s="272"/>
      <c r="K778" s="140"/>
      <c r="L778" s="140"/>
      <c r="M778" s="140"/>
      <c r="N778" s="140"/>
      <c r="O778" s="139"/>
    </row>
    <row r="779" spans="1:15" x14ac:dyDescent="0.25">
      <c r="A779" s="1454" t="s">
        <v>57</v>
      </c>
      <c r="B779" s="133" t="s">
        <v>523</v>
      </c>
      <c r="C779" s="94"/>
      <c r="D779" s="94"/>
      <c r="E779" s="94"/>
      <c r="F779" s="94"/>
      <c r="G779" s="94"/>
      <c r="H779" s="94"/>
      <c r="I779" s="94"/>
      <c r="J779" s="1456" t="s">
        <v>51</v>
      </c>
      <c r="K779" s="138">
        <v>81</v>
      </c>
      <c r="L779" s="94"/>
      <c r="M779" s="1454" t="s">
        <v>113</v>
      </c>
      <c r="N779" s="100">
        <f>SU_05004_m+SU_05004_p</f>
        <v>1.6884895769514321</v>
      </c>
      <c r="O779" s="93"/>
    </row>
    <row r="780" spans="1:15" x14ac:dyDescent="0.25">
      <c r="A780" s="1454" t="s">
        <v>125</v>
      </c>
      <c r="B780" s="133" t="s">
        <v>5</v>
      </c>
      <c r="C780" s="94"/>
      <c r="D780" s="1454" t="s">
        <v>122</v>
      </c>
      <c r="E780" s="94"/>
      <c r="F780" s="94"/>
      <c r="G780" s="94"/>
      <c r="H780" s="94"/>
      <c r="I780" s="94"/>
      <c r="J780" s="94"/>
      <c r="K780" s="94"/>
      <c r="L780" s="94"/>
      <c r="M780" s="1454" t="s">
        <v>124</v>
      </c>
      <c r="N780" s="136">
        <v>4</v>
      </c>
      <c r="O780" s="93"/>
    </row>
    <row r="781" spans="1:15" x14ac:dyDescent="0.25">
      <c r="A781" s="1454" t="s">
        <v>123</v>
      </c>
      <c r="B781" s="270" t="str">
        <f>'SU Assemblies'!B246</f>
        <v>Front suspension</v>
      </c>
      <c r="C781" s="94"/>
      <c r="D781" s="1454" t="s">
        <v>119</v>
      </c>
      <c r="E781" s="94"/>
      <c r="F781" s="94"/>
      <c r="G781" s="94"/>
      <c r="H781" s="94"/>
      <c r="I781" s="94"/>
      <c r="J781" s="1455" t="s">
        <v>122</v>
      </c>
      <c r="K781" s="94"/>
      <c r="L781" s="94"/>
      <c r="M781" s="94"/>
      <c r="N781" s="94"/>
      <c r="O781" s="93"/>
    </row>
    <row r="782" spans="1:15" x14ac:dyDescent="0.25">
      <c r="A782" s="1454" t="s">
        <v>114</v>
      </c>
      <c r="B782" s="135" t="s">
        <v>1104</v>
      </c>
      <c r="C782" s="94"/>
      <c r="D782" s="1454" t="s">
        <v>116</v>
      </c>
      <c r="E782" s="94"/>
      <c r="F782" s="94"/>
      <c r="G782" s="94"/>
      <c r="H782" s="94"/>
      <c r="I782" s="94"/>
      <c r="J782" s="1455" t="s">
        <v>119</v>
      </c>
      <c r="K782" s="94"/>
      <c r="L782" s="94"/>
      <c r="M782" s="1454" t="s">
        <v>118</v>
      </c>
      <c r="N782" s="100">
        <f>N780*N779</f>
        <v>6.7539583078057284</v>
      </c>
      <c r="O782" s="93"/>
    </row>
    <row r="783" spans="1:15" x14ac:dyDescent="0.25">
      <c r="A783" s="1454" t="s">
        <v>121</v>
      </c>
      <c r="B783" s="269" t="s">
        <v>2610</v>
      </c>
      <c r="C783" s="94"/>
      <c r="D783" s="94"/>
      <c r="E783" s="94"/>
      <c r="F783" s="94"/>
      <c r="G783" s="94"/>
      <c r="H783" s="94"/>
      <c r="I783" s="94"/>
      <c r="J783" s="1455" t="s">
        <v>116</v>
      </c>
      <c r="K783" s="94"/>
      <c r="L783" s="94"/>
      <c r="M783" s="94"/>
      <c r="N783" s="94"/>
      <c r="O783" s="93"/>
    </row>
    <row r="784" spans="1:15" x14ac:dyDescent="0.25">
      <c r="A784" s="1454" t="s">
        <v>117</v>
      </c>
      <c r="B784" s="133" t="s">
        <v>23</v>
      </c>
      <c r="C784" s="94"/>
      <c r="D784" s="94"/>
      <c r="E784" s="94"/>
      <c r="F784" s="94"/>
      <c r="G784" s="94"/>
      <c r="H784" s="94"/>
      <c r="I784" s="94"/>
      <c r="J784" s="94"/>
      <c r="K784" s="94"/>
      <c r="L784" s="94"/>
      <c r="M784" s="94"/>
      <c r="N784" s="94"/>
      <c r="O784" s="93"/>
    </row>
    <row r="785" spans="1:15" x14ac:dyDescent="0.25">
      <c r="A785" s="1454" t="s">
        <v>115</v>
      </c>
      <c r="B785" s="133" t="s">
        <v>2587</v>
      </c>
      <c r="C785" s="94"/>
      <c r="D785" s="94"/>
      <c r="E785" s="94"/>
      <c r="F785" s="94"/>
      <c r="G785" s="94"/>
      <c r="H785" s="94"/>
      <c r="I785" s="94"/>
      <c r="J785" s="94"/>
      <c r="K785" s="94"/>
      <c r="L785" s="94"/>
      <c r="M785" s="94"/>
      <c r="N785" s="94"/>
      <c r="O785" s="93"/>
    </row>
    <row r="786" spans="1:15" x14ac:dyDescent="0.25">
      <c r="A786" s="266"/>
      <c r="B786" s="265"/>
      <c r="C786" s="265"/>
      <c r="D786" s="265"/>
      <c r="E786" s="265"/>
      <c r="F786" s="94"/>
      <c r="G786" s="94"/>
      <c r="H786" s="94"/>
      <c r="I786" s="94"/>
      <c r="J786" s="94"/>
      <c r="K786" s="94"/>
      <c r="L786" s="94"/>
      <c r="M786" s="94"/>
      <c r="N786" s="94"/>
      <c r="O786" s="93"/>
    </row>
    <row r="787" spans="1:15" x14ac:dyDescent="0.25">
      <c r="A787" s="1453" t="s">
        <v>67</v>
      </c>
      <c r="B787" s="1452" t="s">
        <v>112</v>
      </c>
      <c r="C787" s="1452" t="s">
        <v>66</v>
      </c>
      <c r="D787" s="1452" t="s">
        <v>65</v>
      </c>
      <c r="E787" s="1452" t="s">
        <v>81</v>
      </c>
      <c r="F787" s="1465" t="s">
        <v>80</v>
      </c>
      <c r="G787" s="1465" t="s">
        <v>79</v>
      </c>
      <c r="H787" s="1465" t="s">
        <v>78</v>
      </c>
      <c r="I787" s="1465" t="s">
        <v>111</v>
      </c>
      <c r="J787" s="1465" t="s">
        <v>110</v>
      </c>
      <c r="K787" s="1465" t="s">
        <v>109</v>
      </c>
      <c r="L787" s="1465" t="s">
        <v>108</v>
      </c>
      <c r="M787" s="1465" t="s">
        <v>40</v>
      </c>
      <c r="N787" s="1465" t="s">
        <v>58</v>
      </c>
      <c r="O787" s="93"/>
    </row>
    <row r="788" spans="1:15" x14ac:dyDescent="0.25">
      <c r="A788" s="1458">
        <v>10</v>
      </c>
      <c r="B788" s="1460" t="s">
        <v>729</v>
      </c>
      <c r="C788" s="1508"/>
      <c r="D788" s="1459">
        <v>2.25</v>
      </c>
      <c r="E788" s="1458">
        <v>14</v>
      </c>
      <c r="F788" s="1458" t="s">
        <v>68</v>
      </c>
      <c r="G788" s="1458"/>
      <c r="H788" s="1470"/>
      <c r="I788" s="1473" t="s">
        <v>1064</v>
      </c>
      <c r="J788" s="1476">
        <f>PI()*0.007*0.007</f>
        <v>1.5393804002589986E-4</v>
      </c>
      <c r="K788" s="1471">
        <f>0.004</f>
        <v>4.0000000000000001E-3</v>
      </c>
      <c r="L788" s="1516">
        <v>7860</v>
      </c>
      <c r="M788" s="1469">
        <v>1</v>
      </c>
      <c r="N788" s="1468">
        <f>IF(J788="",D788*M788,D788*J788*K788*L788*M788)</f>
        <v>1.0889576951432157E-2</v>
      </c>
      <c r="O788" s="143"/>
    </row>
    <row r="789" spans="1:15" x14ac:dyDescent="0.25">
      <c r="A789" s="98"/>
      <c r="B789" s="95"/>
      <c r="C789" s="95"/>
      <c r="D789" s="95"/>
      <c r="E789" s="95"/>
      <c r="F789" s="95"/>
      <c r="G789" s="95"/>
      <c r="H789" s="95"/>
      <c r="I789" s="95"/>
      <c r="J789" s="95"/>
      <c r="K789" s="95"/>
      <c r="L789" s="95"/>
      <c r="M789" s="1467" t="s">
        <v>58</v>
      </c>
      <c r="N789" s="1447">
        <f>SUM(N788:N788)</f>
        <v>1.0889576951432157E-2</v>
      </c>
      <c r="O789" s="93"/>
    </row>
    <row r="790" spans="1:15" x14ac:dyDescent="0.25">
      <c r="A790" s="107"/>
      <c r="B790" s="94"/>
      <c r="C790" s="94"/>
      <c r="D790" s="94"/>
      <c r="E790" s="94"/>
      <c r="F790" s="94"/>
      <c r="G790" s="94"/>
      <c r="H790" s="94"/>
      <c r="I790" s="94"/>
      <c r="J790" s="94"/>
      <c r="K790" s="94"/>
      <c r="L790" s="94"/>
      <c r="M790" s="94"/>
      <c r="N790" s="94"/>
      <c r="O790" s="93"/>
    </row>
    <row r="791" spans="1:15" x14ac:dyDescent="0.25">
      <c r="A791" s="1466" t="s">
        <v>67</v>
      </c>
      <c r="B791" s="1465" t="s">
        <v>106</v>
      </c>
      <c r="C791" s="1465" t="s">
        <v>66</v>
      </c>
      <c r="D791" s="1465" t="s">
        <v>65</v>
      </c>
      <c r="E791" s="1465" t="s">
        <v>64</v>
      </c>
      <c r="F791" s="1465" t="s">
        <v>40</v>
      </c>
      <c r="G791" s="1465" t="s">
        <v>105</v>
      </c>
      <c r="H791" s="1465" t="s">
        <v>104</v>
      </c>
      <c r="I791" s="1465" t="s">
        <v>58</v>
      </c>
      <c r="J791" s="95"/>
      <c r="K791" s="95"/>
      <c r="L791" s="95"/>
      <c r="M791" s="95"/>
      <c r="N791" s="95"/>
      <c r="O791" s="93"/>
    </row>
    <row r="792" spans="1:15" ht="30" x14ac:dyDescent="0.25">
      <c r="A792" s="1497">
        <v>10</v>
      </c>
      <c r="B792" s="1498" t="s">
        <v>516</v>
      </c>
      <c r="C792" s="1503" t="s">
        <v>528</v>
      </c>
      <c r="D792" s="1501">
        <v>1.3</v>
      </c>
      <c r="E792" s="1498" t="s">
        <v>64</v>
      </c>
      <c r="F792" s="1497">
        <v>1</v>
      </c>
      <c r="G792" s="1497"/>
      <c r="H792" s="1497"/>
      <c r="I792" s="1462">
        <f>IF(H792="",D792*F792,D792*F792*H792)</f>
        <v>1.3</v>
      </c>
      <c r="J792" s="142"/>
      <c r="K792" s="142"/>
      <c r="L792" s="142"/>
      <c r="M792" s="142"/>
      <c r="N792" s="142"/>
      <c r="O792" s="120"/>
    </row>
    <row r="793" spans="1:15" x14ac:dyDescent="0.25">
      <c r="A793" s="1550">
        <v>20</v>
      </c>
      <c r="B793" s="1550" t="s">
        <v>514</v>
      </c>
      <c r="C793" s="1550" t="s">
        <v>1263</v>
      </c>
      <c r="D793" s="1551">
        <v>0.04</v>
      </c>
      <c r="E793" s="1550" t="s">
        <v>512</v>
      </c>
      <c r="F793" s="1550">
        <v>0.23</v>
      </c>
      <c r="G793" s="1553" t="s">
        <v>724</v>
      </c>
      <c r="H793" s="1550">
        <v>3</v>
      </c>
      <c r="I793" s="1462">
        <f>IF(H793="",D793*F793,D793*F793*H793)</f>
        <v>2.76E-2</v>
      </c>
      <c r="J793" s="94"/>
      <c r="K793" s="94"/>
      <c r="L793" s="94"/>
      <c r="M793" s="94"/>
      <c r="N793" s="94"/>
      <c r="O793" s="93"/>
    </row>
    <row r="794" spans="1:15" x14ac:dyDescent="0.25">
      <c r="A794" s="1497">
        <v>30</v>
      </c>
      <c r="B794" s="1497" t="s">
        <v>2177</v>
      </c>
      <c r="C794" s="1497" t="s">
        <v>1252</v>
      </c>
      <c r="D794" s="1552">
        <v>0.35</v>
      </c>
      <c r="E794" s="1497" t="s">
        <v>294</v>
      </c>
      <c r="F794" s="1497">
        <v>1</v>
      </c>
      <c r="G794" s="1497"/>
      <c r="H794" s="1497"/>
      <c r="I794" s="1468">
        <f>IF(H794="",D794*F794,D794*F794*H794)</f>
        <v>0.35</v>
      </c>
      <c r="J794" s="99"/>
      <c r="K794" s="99"/>
      <c r="L794" s="99"/>
      <c r="M794" s="99"/>
      <c r="N794" s="99"/>
      <c r="O794" s="130"/>
    </row>
    <row r="795" spans="1:15" x14ac:dyDescent="0.25">
      <c r="A795" s="98"/>
      <c r="B795" s="95"/>
      <c r="C795" s="95"/>
      <c r="D795" s="95"/>
      <c r="E795" s="95"/>
      <c r="F795" s="95"/>
      <c r="G795" s="95"/>
      <c r="H795" s="1448" t="s">
        <v>58</v>
      </c>
      <c r="I795" s="1447">
        <f>SUM(I792:I794)</f>
        <v>1.6776</v>
      </c>
      <c r="J795" s="95"/>
      <c r="K795" s="95"/>
      <c r="L795" s="95"/>
      <c r="M795" s="95"/>
      <c r="N795" s="95"/>
      <c r="O795" s="93"/>
    </row>
    <row r="796" spans="1:15" x14ac:dyDescent="0.25">
      <c r="A796" s="107"/>
      <c r="B796" s="94"/>
      <c r="C796" s="94"/>
      <c r="D796" s="94"/>
      <c r="E796" s="94"/>
      <c r="F796" s="94"/>
      <c r="G796" s="94"/>
      <c r="H796" s="94"/>
      <c r="I796" s="99"/>
      <c r="J796" s="94"/>
      <c r="K796" s="94"/>
      <c r="L796" s="94"/>
      <c r="M796" s="94"/>
      <c r="N796" s="94"/>
      <c r="O796" s="93"/>
    </row>
    <row r="797" spans="1:15" ht="15.75" thickBot="1" x14ac:dyDescent="0.3">
      <c r="A797" s="92"/>
      <c r="B797" s="91"/>
      <c r="C797" s="91"/>
      <c r="D797" s="91"/>
      <c r="E797" s="91"/>
      <c r="F797" s="91"/>
      <c r="G797" s="91"/>
      <c r="H797" s="91"/>
      <c r="I797" s="91"/>
      <c r="J797" s="91"/>
      <c r="K797" s="91"/>
      <c r="L797" s="91"/>
      <c r="M797" s="91"/>
      <c r="N797" s="91"/>
      <c r="O797" s="90"/>
    </row>
    <row r="798" spans="1:15" ht="15.75" thickBot="1" x14ac:dyDescent="0.3">
      <c r="A798" s="94"/>
      <c r="B798" s="94"/>
      <c r="C798" s="94"/>
      <c r="D798" s="94"/>
      <c r="E798" s="94"/>
      <c r="F798" s="94"/>
      <c r="G798" s="94"/>
      <c r="H798" s="94"/>
      <c r="I798" s="94"/>
      <c r="J798" s="94"/>
      <c r="K798" s="94"/>
      <c r="L798" s="94"/>
      <c r="M798" s="94"/>
      <c r="N798" s="94"/>
      <c r="O798" s="94"/>
    </row>
    <row r="799" spans="1:15" x14ac:dyDescent="0.25">
      <c r="A799" s="141"/>
      <c r="B799" s="140"/>
      <c r="C799" s="140"/>
      <c r="D799" s="140"/>
      <c r="E799" s="140"/>
      <c r="F799" s="140"/>
      <c r="G799" s="140"/>
      <c r="H799" s="140"/>
      <c r="I799" s="140"/>
      <c r="J799" s="272"/>
      <c r="K799" s="140"/>
      <c r="L799" s="140"/>
      <c r="M799" s="140"/>
      <c r="N799" s="140"/>
      <c r="O799" s="139"/>
    </row>
    <row r="800" spans="1:15" x14ac:dyDescent="0.25">
      <c r="A800" s="1454" t="s">
        <v>57</v>
      </c>
      <c r="B800" s="133" t="s">
        <v>523</v>
      </c>
      <c r="C800" s="94"/>
      <c r="D800" s="94"/>
      <c r="E800" s="94"/>
      <c r="F800" s="94"/>
      <c r="G800" s="94"/>
      <c r="H800" s="94"/>
      <c r="I800" s="94"/>
      <c r="J800" s="1456" t="s">
        <v>51</v>
      </c>
      <c r="K800" s="138">
        <v>81</v>
      </c>
      <c r="L800" s="94"/>
      <c r="M800" s="1454" t="s">
        <v>113</v>
      </c>
      <c r="N800" s="100">
        <f>SU_06001_m+SU_06001_p</f>
        <v>5.4529940000000003</v>
      </c>
      <c r="O800" s="93"/>
    </row>
    <row r="801" spans="1:15" x14ac:dyDescent="0.25">
      <c r="A801" s="1454" t="s">
        <v>125</v>
      </c>
      <c r="B801" s="133" t="s">
        <v>5</v>
      </c>
      <c r="C801" s="94"/>
      <c r="D801" s="1454" t="s">
        <v>122</v>
      </c>
      <c r="E801" s="270" t="s">
        <v>522</v>
      </c>
      <c r="F801" s="94"/>
      <c r="G801" s="94"/>
      <c r="H801" s="94"/>
      <c r="I801" s="94"/>
      <c r="J801" s="94"/>
      <c r="K801" s="94"/>
      <c r="L801" s="94"/>
      <c r="M801" s="1454" t="s">
        <v>124</v>
      </c>
      <c r="N801" s="136">
        <v>2</v>
      </c>
      <c r="O801" s="93"/>
    </row>
    <row r="802" spans="1:15" x14ac:dyDescent="0.25">
      <c r="A802" s="1454" t="s">
        <v>123</v>
      </c>
      <c r="B802" s="270" t="str">
        <f>'SU Assemblies'!B288</f>
        <v>Front rocker</v>
      </c>
      <c r="C802" s="94"/>
      <c r="D802" s="1454" t="s">
        <v>119</v>
      </c>
      <c r="E802" s="94"/>
      <c r="F802" s="94"/>
      <c r="G802" s="94"/>
      <c r="H802" s="94"/>
      <c r="I802" s="94"/>
      <c r="J802" s="1455" t="s">
        <v>122</v>
      </c>
      <c r="K802" s="94"/>
      <c r="L802" s="94"/>
      <c r="M802" s="94"/>
      <c r="N802" s="94"/>
      <c r="O802" s="93"/>
    </row>
    <row r="803" spans="1:15" x14ac:dyDescent="0.25">
      <c r="A803" s="1454" t="s">
        <v>114</v>
      </c>
      <c r="B803" s="135" t="s">
        <v>2585</v>
      </c>
      <c r="C803" s="94"/>
      <c r="D803" s="1454" t="s">
        <v>116</v>
      </c>
      <c r="E803" s="94"/>
      <c r="F803" s="94"/>
      <c r="G803" s="94"/>
      <c r="H803" s="94"/>
      <c r="I803" s="94"/>
      <c r="J803" s="1455" t="s">
        <v>119</v>
      </c>
      <c r="K803" s="94"/>
      <c r="L803" s="94"/>
      <c r="M803" s="1454" t="s">
        <v>118</v>
      </c>
      <c r="N803" s="100">
        <f>N801*N800</f>
        <v>10.905988000000001</v>
      </c>
      <c r="O803" s="93"/>
    </row>
    <row r="804" spans="1:15" x14ac:dyDescent="0.25">
      <c r="A804" s="1454" t="s">
        <v>121</v>
      </c>
      <c r="B804" s="269" t="s">
        <v>2609</v>
      </c>
      <c r="C804" s="94"/>
      <c r="D804" s="94"/>
      <c r="E804" s="94"/>
      <c r="F804" s="94"/>
      <c r="G804" s="94"/>
      <c r="H804" s="94"/>
      <c r="I804" s="94"/>
      <c r="J804" s="1455" t="s">
        <v>116</v>
      </c>
      <c r="K804" s="94"/>
      <c r="L804" s="94"/>
      <c r="M804" s="94"/>
      <c r="N804" s="94"/>
      <c r="O804" s="93"/>
    </row>
    <row r="805" spans="1:15" x14ac:dyDescent="0.25">
      <c r="A805" s="1454" t="s">
        <v>117</v>
      </c>
      <c r="B805" s="133" t="s">
        <v>23</v>
      </c>
      <c r="C805" s="94"/>
      <c r="D805" s="94"/>
      <c r="E805" s="94"/>
      <c r="F805" s="94"/>
      <c r="G805" s="94"/>
      <c r="H805" s="94"/>
      <c r="I805" s="94"/>
      <c r="J805" s="94"/>
      <c r="K805" s="94"/>
      <c r="L805" s="94"/>
      <c r="M805" s="94"/>
      <c r="N805" s="94"/>
      <c r="O805" s="93"/>
    </row>
    <row r="806" spans="1:15" x14ac:dyDescent="0.25">
      <c r="A806" s="1454" t="s">
        <v>115</v>
      </c>
      <c r="B806" s="133"/>
      <c r="C806" s="94"/>
      <c r="D806" s="94"/>
      <c r="E806" s="94"/>
      <c r="F806" s="94"/>
      <c r="G806" s="94"/>
      <c r="H806" s="94"/>
      <c r="I806" s="94"/>
      <c r="J806" s="94"/>
      <c r="K806" s="94"/>
      <c r="L806" s="94"/>
      <c r="M806" s="94"/>
      <c r="N806" s="94"/>
      <c r="O806" s="93"/>
    </row>
    <row r="807" spans="1:15" x14ac:dyDescent="0.25">
      <c r="A807" s="266"/>
      <c r="B807" s="265"/>
      <c r="C807" s="265"/>
      <c r="D807" s="265"/>
      <c r="E807" s="265"/>
      <c r="F807" s="94"/>
      <c r="G807" s="94"/>
      <c r="H807" s="94"/>
      <c r="I807" s="94"/>
      <c r="J807" s="94"/>
      <c r="K807" s="94"/>
      <c r="L807" s="94"/>
      <c r="M807" s="94"/>
      <c r="N807" s="94"/>
      <c r="O807" s="93"/>
    </row>
    <row r="808" spans="1:15" x14ac:dyDescent="0.25">
      <c r="A808" s="1453" t="s">
        <v>67</v>
      </c>
      <c r="B808" s="1452" t="s">
        <v>112</v>
      </c>
      <c r="C808" s="1452" t="s">
        <v>66</v>
      </c>
      <c r="D808" s="1452" t="s">
        <v>65</v>
      </c>
      <c r="E808" s="1452" t="s">
        <v>81</v>
      </c>
      <c r="F808" s="1465" t="s">
        <v>80</v>
      </c>
      <c r="G808" s="1465" t="s">
        <v>79</v>
      </c>
      <c r="H808" s="1465" t="s">
        <v>78</v>
      </c>
      <c r="I808" s="1465" t="s">
        <v>111</v>
      </c>
      <c r="J808" s="1465" t="s">
        <v>110</v>
      </c>
      <c r="K808" s="1465" t="s">
        <v>109</v>
      </c>
      <c r="L808" s="1465" t="s">
        <v>108</v>
      </c>
      <c r="M808" s="1465" t="s">
        <v>40</v>
      </c>
      <c r="N808" s="1465" t="s">
        <v>58</v>
      </c>
      <c r="O808" s="93"/>
    </row>
    <row r="809" spans="1:15" ht="30" x14ac:dyDescent="0.25">
      <c r="A809" s="1458">
        <v>10</v>
      </c>
      <c r="B809" s="1460" t="s">
        <v>729</v>
      </c>
      <c r="C809" s="1508"/>
      <c r="D809" s="1459">
        <v>2.25</v>
      </c>
      <c r="E809" s="1458">
        <v>60</v>
      </c>
      <c r="F809" s="1458" t="s">
        <v>68</v>
      </c>
      <c r="G809" s="1458">
        <v>3</v>
      </c>
      <c r="H809" s="1470" t="s">
        <v>68</v>
      </c>
      <c r="I809" s="1473" t="s">
        <v>2608</v>
      </c>
      <c r="J809" s="1472">
        <f>E809*G809*10^-6</f>
        <v>1.7999999999999998E-4</v>
      </c>
      <c r="K809" s="1471">
        <v>0.09</v>
      </c>
      <c r="L809" s="1470">
        <v>7860</v>
      </c>
      <c r="M809" s="1469">
        <v>2</v>
      </c>
      <c r="N809" s="1468">
        <f>IF(J809="",D809*M809,D809*J809*K809*L809*M809)</f>
        <v>0.572994</v>
      </c>
      <c r="O809" s="143"/>
    </row>
    <row r="810" spans="1:15" x14ac:dyDescent="0.25">
      <c r="A810" s="98"/>
      <c r="B810" s="95"/>
      <c r="C810" s="95"/>
      <c r="D810" s="95"/>
      <c r="E810" s="95"/>
      <c r="F810" s="95"/>
      <c r="G810" s="95"/>
      <c r="H810" s="95"/>
      <c r="I810" s="95"/>
      <c r="J810" s="95"/>
      <c r="K810" s="95"/>
      <c r="L810" s="95"/>
      <c r="M810" s="1467" t="s">
        <v>58</v>
      </c>
      <c r="N810" s="1447">
        <f>SUM(N809:N809)</f>
        <v>0.572994</v>
      </c>
      <c r="O810" s="93"/>
    </row>
    <row r="811" spans="1:15" x14ac:dyDescent="0.25">
      <c r="A811" s="107"/>
      <c r="B811" s="94"/>
      <c r="C811" s="94"/>
      <c r="D811" s="94"/>
      <c r="E811" s="94"/>
      <c r="F811" s="94"/>
      <c r="G811" s="94"/>
      <c r="H811" s="94"/>
      <c r="I811" s="94"/>
      <c r="J811" s="94"/>
      <c r="K811" s="94"/>
      <c r="L811" s="94"/>
      <c r="M811" s="94"/>
      <c r="N811" s="94"/>
      <c r="O811" s="93"/>
    </row>
    <row r="812" spans="1:15" x14ac:dyDescent="0.25">
      <c r="A812" s="1466" t="s">
        <v>67</v>
      </c>
      <c r="B812" s="1465" t="s">
        <v>106</v>
      </c>
      <c r="C812" s="1465" t="s">
        <v>66</v>
      </c>
      <c r="D812" s="1465" t="s">
        <v>65</v>
      </c>
      <c r="E812" s="1465" t="s">
        <v>64</v>
      </c>
      <c r="F812" s="1465" t="s">
        <v>40</v>
      </c>
      <c r="G812" s="1465" t="s">
        <v>105</v>
      </c>
      <c r="H812" s="1465" t="s">
        <v>104</v>
      </c>
      <c r="I812" s="1465" t="s">
        <v>58</v>
      </c>
      <c r="J812" s="95"/>
      <c r="K812" s="95"/>
      <c r="L812" s="95"/>
      <c r="M812" s="95"/>
      <c r="N812" s="95"/>
      <c r="O812" s="93"/>
    </row>
    <row r="813" spans="1:15" ht="30" x14ac:dyDescent="0.25">
      <c r="A813" s="1497">
        <v>10</v>
      </c>
      <c r="B813" s="1498" t="s">
        <v>516</v>
      </c>
      <c r="C813" s="1503" t="s">
        <v>528</v>
      </c>
      <c r="D813" s="1501">
        <v>1.3</v>
      </c>
      <c r="E813" s="1498" t="s">
        <v>64</v>
      </c>
      <c r="F813" s="1497">
        <v>1</v>
      </c>
      <c r="G813" s="1497" t="s">
        <v>1182</v>
      </c>
      <c r="H813" s="1497">
        <v>2</v>
      </c>
      <c r="I813" s="1462">
        <f>IF(H813="",D813*F813,D813*F813*H813)</f>
        <v>2.6</v>
      </c>
      <c r="J813" s="142"/>
      <c r="K813" s="142"/>
      <c r="L813" s="142"/>
      <c r="M813" s="142"/>
      <c r="N813" s="142"/>
      <c r="O813" s="120"/>
    </row>
    <row r="814" spans="1:15" ht="30" x14ac:dyDescent="0.25">
      <c r="A814" s="1550">
        <v>20</v>
      </c>
      <c r="B814" s="1550" t="s">
        <v>527</v>
      </c>
      <c r="C814" s="1550"/>
      <c r="D814" s="1551">
        <v>0.01</v>
      </c>
      <c r="E814" s="1550" t="s">
        <v>101</v>
      </c>
      <c r="F814" s="1550">
        <v>38</v>
      </c>
      <c r="G814" s="1553" t="s">
        <v>2582</v>
      </c>
      <c r="H814" s="1550">
        <v>6</v>
      </c>
      <c r="I814" s="1462">
        <f>IF(H814="",D814*F814,D814*F814*H814)</f>
        <v>2.2800000000000002</v>
      </c>
      <c r="J814" s="94"/>
      <c r="K814" s="94"/>
      <c r="L814" s="94"/>
      <c r="M814" s="94"/>
      <c r="N814" s="94"/>
      <c r="O814" s="93"/>
    </row>
    <row r="815" spans="1:15" x14ac:dyDescent="0.25">
      <c r="A815" s="98"/>
      <c r="B815" s="95"/>
      <c r="C815" s="95"/>
      <c r="D815" s="95"/>
      <c r="E815" s="95"/>
      <c r="F815" s="95"/>
      <c r="G815" s="95"/>
      <c r="H815" s="1448" t="s">
        <v>58</v>
      </c>
      <c r="I815" s="1447">
        <f>SUM(I813:I814)</f>
        <v>4.8800000000000008</v>
      </c>
      <c r="J815" s="95"/>
      <c r="K815" s="95"/>
      <c r="L815" s="95"/>
      <c r="M815" s="95"/>
      <c r="N815" s="95"/>
      <c r="O815" s="93"/>
    </row>
    <row r="816" spans="1:15" x14ac:dyDescent="0.25">
      <c r="A816" s="107"/>
      <c r="B816" s="94"/>
      <c r="C816" s="94"/>
      <c r="D816" s="94"/>
      <c r="E816" s="94"/>
      <c r="F816" s="94"/>
      <c r="G816" s="94"/>
      <c r="H816" s="94"/>
      <c r="I816" s="99"/>
      <c r="J816" s="94"/>
      <c r="K816" s="94"/>
      <c r="L816" s="94"/>
      <c r="M816" s="94"/>
      <c r="N816" s="94"/>
      <c r="O816" s="93"/>
    </row>
    <row r="817" spans="1:15" ht="15.75" thickBot="1" x14ac:dyDescent="0.3">
      <c r="A817" s="92"/>
      <c r="B817" s="91"/>
      <c r="C817" s="91"/>
      <c r="D817" s="91"/>
      <c r="E817" s="91"/>
      <c r="F817" s="91"/>
      <c r="G817" s="91"/>
      <c r="H817" s="91"/>
      <c r="I817" s="91"/>
      <c r="J817" s="91"/>
      <c r="K817" s="91"/>
      <c r="L817" s="91"/>
      <c r="M817" s="91"/>
      <c r="N817" s="91"/>
      <c r="O817" s="90"/>
    </row>
    <row r="818" spans="1:15" ht="15.75" thickBot="1" x14ac:dyDescent="0.3">
      <c r="A818" s="94"/>
      <c r="B818" s="94"/>
      <c r="C818" s="94"/>
      <c r="D818" s="94"/>
      <c r="E818" s="94"/>
      <c r="F818" s="94"/>
      <c r="G818" s="94"/>
      <c r="H818" s="94"/>
      <c r="I818" s="94"/>
      <c r="J818" s="94"/>
      <c r="K818" s="94"/>
      <c r="L818" s="94"/>
      <c r="M818" s="94"/>
      <c r="N818" s="94"/>
      <c r="O818" s="94"/>
    </row>
    <row r="819" spans="1:15" x14ac:dyDescent="0.25">
      <c r="A819" s="141"/>
      <c r="B819" s="140"/>
      <c r="C819" s="140"/>
      <c r="D819" s="140"/>
      <c r="E819" s="140"/>
      <c r="F819" s="140"/>
      <c r="G819" s="140"/>
      <c r="H819" s="140"/>
      <c r="I819" s="140"/>
      <c r="J819" s="272"/>
      <c r="K819" s="140"/>
      <c r="L819" s="140"/>
      <c r="M819" s="140"/>
      <c r="N819" s="140"/>
      <c r="O819" s="139"/>
    </row>
    <row r="820" spans="1:15" x14ac:dyDescent="0.25">
      <c r="A820" s="1454" t="s">
        <v>57</v>
      </c>
      <c r="B820" s="133" t="s">
        <v>523</v>
      </c>
      <c r="C820" s="94"/>
      <c r="D820" s="94"/>
      <c r="E820" s="94"/>
      <c r="F820" s="94"/>
      <c r="G820" s="94"/>
      <c r="H820" s="94"/>
      <c r="I820" s="94"/>
      <c r="J820" s="1456" t="s">
        <v>51</v>
      </c>
      <c r="K820" s="138">
        <v>81</v>
      </c>
      <c r="L820" s="94"/>
      <c r="M820" s="1454" t="s">
        <v>113</v>
      </c>
      <c r="N820" s="100">
        <f>SU_06002_m+SU_06002_p</f>
        <v>2.0214527503422883</v>
      </c>
      <c r="O820" s="93"/>
    </row>
    <row r="821" spans="1:15" x14ac:dyDescent="0.25">
      <c r="A821" s="1454" t="s">
        <v>125</v>
      </c>
      <c r="B821" s="133" t="s">
        <v>5</v>
      </c>
      <c r="C821" s="94"/>
      <c r="D821" s="1454" t="s">
        <v>122</v>
      </c>
      <c r="E821" s="94"/>
      <c r="F821" s="94"/>
      <c r="G821" s="94"/>
      <c r="H821" s="94"/>
      <c r="I821" s="94"/>
      <c r="J821" s="94"/>
      <c r="K821" s="94"/>
      <c r="L821" s="94"/>
      <c r="M821" s="1454" t="s">
        <v>124</v>
      </c>
      <c r="N821" s="136">
        <v>1</v>
      </c>
      <c r="O821" s="93"/>
    </row>
    <row r="822" spans="1:15" x14ac:dyDescent="0.25">
      <c r="A822" s="1454" t="s">
        <v>123</v>
      </c>
      <c r="B822" s="270" t="str">
        <f>'SU Assemblies'!B288</f>
        <v>Front rocker</v>
      </c>
      <c r="C822" s="94"/>
      <c r="D822" s="1454" t="s">
        <v>119</v>
      </c>
      <c r="E822" s="94"/>
      <c r="F822" s="94"/>
      <c r="G822" s="94"/>
      <c r="H822" s="94"/>
      <c r="I822" s="94"/>
      <c r="J822" s="1455" t="s">
        <v>122</v>
      </c>
      <c r="K822" s="94"/>
      <c r="L822" s="94"/>
      <c r="M822" s="94"/>
      <c r="N822" s="94"/>
      <c r="O822" s="93"/>
    </row>
    <row r="823" spans="1:15" x14ac:dyDescent="0.25">
      <c r="A823" s="1454" t="s">
        <v>114</v>
      </c>
      <c r="B823" s="135" t="s">
        <v>2462</v>
      </c>
      <c r="C823" s="94"/>
      <c r="D823" s="1454" t="s">
        <v>116</v>
      </c>
      <c r="E823" s="94"/>
      <c r="F823" s="94"/>
      <c r="G823" s="94"/>
      <c r="H823" s="94"/>
      <c r="I823" s="94"/>
      <c r="J823" s="1455" t="s">
        <v>119</v>
      </c>
      <c r="K823" s="94"/>
      <c r="L823" s="94"/>
      <c r="M823" s="1454" t="s">
        <v>118</v>
      </c>
      <c r="N823" s="100">
        <f>N821*N820</f>
        <v>2.0214527503422883</v>
      </c>
      <c r="O823" s="93"/>
    </row>
    <row r="824" spans="1:15" x14ac:dyDescent="0.25">
      <c r="A824" s="1454" t="s">
        <v>121</v>
      </c>
      <c r="B824" s="269" t="s">
        <v>2607</v>
      </c>
      <c r="C824" s="94"/>
      <c r="D824" s="94"/>
      <c r="E824" s="94"/>
      <c r="F824" s="94"/>
      <c r="G824" s="94"/>
      <c r="H824" s="94"/>
      <c r="I824" s="94"/>
      <c r="J824" s="1455" t="s">
        <v>116</v>
      </c>
      <c r="K824" s="94"/>
      <c r="L824" s="94"/>
      <c r="M824" s="94"/>
      <c r="N824" s="94"/>
      <c r="O824" s="93"/>
    </row>
    <row r="825" spans="1:15" x14ac:dyDescent="0.25">
      <c r="A825" s="1454" t="s">
        <v>117</v>
      </c>
      <c r="B825" s="133" t="s">
        <v>23</v>
      </c>
      <c r="C825" s="94"/>
      <c r="D825" s="94"/>
      <c r="E825" s="94"/>
      <c r="F825" s="94"/>
      <c r="G825" s="94"/>
      <c r="H825" s="94"/>
      <c r="I825" s="94"/>
      <c r="J825" s="94"/>
      <c r="K825" s="94"/>
      <c r="L825" s="94"/>
      <c r="M825" s="94"/>
      <c r="N825" s="94"/>
      <c r="O825" s="93"/>
    </row>
    <row r="826" spans="1:15" x14ac:dyDescent="0.25">
      <c r="A826" s="1454" t="s">
        <v>115</v>
      </c>
      <c r="B826" s="133"/>
      <c r="C826" s="94"/>
      <c r="D826" s="94"/>
      <c r="E826" s="94"/>
      <c r="F826" s="94"/>
      <c r="G826" s="94"/>
      <c r="H826" s="94"/>
      <c r="I826" s="94"/>
      <c r="J826" s="94"/>
      <c r="K826" s="94"/>
      <c r="L826" s="94"/>
      <c r="M826" s="94"/>
      <c r="N826" s="94"/>
      <c r="O826" s="93"/>
    </row>
    <row r="827" spans="1:15" x14ac:dyDescent="0.25">
      <c r="A827" s="266"/>
      <c r="B827" s="265"/>
      <c r="C827" s="265"/>
      <c r="D827" s="265"/>
      <c r="E827" s="265"/>
      <c r="F827" s="94"/>
      <c r="G827" s="94"/>
      <c r="H827" s="94"/>
      <c r="I827" s="94"/>
      <c r="J827" s="94"/>
      <c r="K827" s="94"/>
      <c r="L827" s="94"/>
      <c r="M827" s="94"/>
      <c r="N827" s="94"/>
      <c r="O827" s="93"/>
    </row>
    <row r="828" spans="1:15" x14ac:dyDescent="0.25">
      <c r="A828" s="1453" t="s">
        <v>67</v>
      </c>
      <c r="B828" s="1452" t="s">
        <v>112</v>
      </c>
      <c r="C828" s="1452" t="s">
        <v>66</v>
      </c>
      <c r="D828" s="1452" t="s">
        <v>65</v>
      </c>
      <c r="E828" s="1452" t="s">
        <v>81</v>
      </c>
      <c r="F828" s="1465" t="s">
        <v>80</v>
      </c>
      <c r="G828" s="1465" t="s">
        <v>79</v>
      </c>
      <c r="H828" s="1465" t="s">
        <v>78</v>
      </c>
      <c r="I828" s="1465" t="s">
        <v>111</v>
      </c>
      <c r="J828" s="1465" t="s">
        <v>110</v>
      </c>
      <c r="K828" s="1465" t="s">
        <v>109</v>
      </c>
      <c r="L828" s="1465" t="s">
        <v>108</v>
      </c>
      <c r="M828" s="1465" t="s">
        <v>40</v>
      </c>
      <c r="N828" s="1465" t="s">
        <v>58</v>
      </c>
      <c r="O828" s="93"/>
    </row>
    <row r="829" spans="1:15" ht="30" x14ac:dyDescent="0.25">
      <c r="A829" s="1458">
        <v>10</v>
      </c>
      <c r="B829" s="1460" t="s">
        <v>729</v>
      </c>
      <c r="C829" s="1508"/>
      <c r="D829" s="1459">
        <v>2.25</v>
      </c>
      <c r="E829" s="1458">
        <v>26</v>
      </c>
      <c r="F829" s="1458" t="s">
        <v>68</v>
      </c>
      <c r="G829" s="1458"/>
      <c r="H829" s="1470"/>
      <c r="I829" s="1473" t="s">
        <v>2580</v>
      </c>
      <c r="J829" s="1472">
        <f>PI()*0.013*0.013</f>
        <v>5.3092915845667505E-4</v>
      </c>
      <c r="K829" s="1471">
        <v>1.4E-2</v>
      </c>
      <c r="L829" s="1470">
        <v>7860</v>
      </c>
      <c r="M829" s="1469">
        <v>1</v>
      </c>
      <c r="N829" s="1468">
        <f>IF(J829="",D829*M829,D829*J829*K829*L829*M829)</f>
        <v>0.13145275034228818</v>
      </c>
      <c r="O829" s="143"/>
    </row>
    <row r="830" spans="1:15" x14ac:dyDescent="0.25">
      <c r="A830" s="98"/>
      <c r="B830" s="95"/>
      <c r="C830" s="95"/>
      <c r="D830" s="95"/>
      <c r="E830" s="95"/>
      <c r="F830" s="95"/>
      <c r="G830" s="95"/>
      <c r="H830" s="95"/>
      <c r="I830" s="95"/>
      <c r="J830" s="95"/>
      <c r="K830" s="95"/>
      <c r="L830" s="95"/>
      <c r="M830" s="1467" t="s">
        <v>58</v>
      </c>
      <c r="N830" s="1447">
        <f>SUM(N829:N829)</f>
        <v>0.13145275034228818</v>
      </c>
      <c r="O830" s="93"/>
    </row>
    <row r="831" spans="1:15" x14ac:dyDescent="0.25">
      <c r="A831" s="107"/>
      <c r="B831" s="94"/>
      <c r="C831" s="94"/>
      <c r="D831" s="94"/>
      <c r="E831" s="94"/>
      <c r="F831" s="94"/>
      <c r="G831" s="94"/>
      <c r="H831" s="94"/>
      <c r="I831" s="94"/>
      <c r="J831" s="94"/>
      <c r="K831" s="94"/>
      <c r="L831" s="94"/>
      <c r="M831" s="94"/>
      <c r="N831" s="94"/>
      <c r="O831" s="93"/>
    </row>
    <row r="832" spans="1:15" x14ac:dyDescent="0.25">
      <c r="A832" s="1466" t="s">
        <v>67</v>
      </c>
      <c r="B832" s="1465" t="s">
        <v>106</v>
      </c>
      <c r="C832" s="1465" t="s">
        <v>66</v>
      </c>
      <c r="D832" s="1465" t="s">
        <v>65</v>
      </c>
      <c r="E832" s="1465" t="s">
        <v>64</v>
      </c>
      <c r="F832" s="1465" t="s">
        <v>40</v>
      </c>
      <c r="G832" s="1465" t="s">
        <v>105</v>
      </c>
      <c r="H832" s="1465" t="s">
        <v>104</v>
      </c>
      <c r="I832" s="1465" t="s">
        <v>58</v>
      </c>
      <c r="J832" s="95"/>
      <c r="K832" s="95"/>
      <c r="L832" s="95"/>
      <c r="M832" s="95"/>
      <c r="N832" s="95"/>
      <c r="O832" s="93"/>
    </row>
    <row r="833" spans="1:15" ht="30" x14ac:dyDescent="0.25">
      <c r="A833" s="1497">
        <v>10</v>
      </c>
      <c r="B833" s="1498" t="s">
        <v>516</v>
      </c>
      <c r="C833" s="1503" t="s">
        <v>528</v>
      </c>
      <c r="D833" s="1501">
        <v>1.3</v>
      </c>
      <c r="E833" s="1498" t="s">
        <v>64</v>
      </c>
      <c r="F833" s="1497">
        <v>1</v>
      </c>
      <c r="G833" s="1497"/>
      <c r="H833" s="1497"/>
      <c r="I833" s="1462">
        <f>IF(H833="",D833*F833,D833*F833*H833)</f>
        <v>1.3</v>
      </c>
      <c r="J833" s="142"/>
      <c r="K833" s="142"/>
      <c r="L833" s="142"/>
      <c r="M833" s="142"/>
      <c r="N833" s="142"/>
      <c r="O833" s="120"/>
    </row>
    <row r="834" spans="1:15" x14ac:dyDescent="0.25">
      <c r="A834" s="1550">
        <v>20</v>
      </c>
      <c r="B834" s="1550" t="s">
        <v>514</v>
      </c>
      <c r="C834" s="1550" t="s">
        <v>1263</v>
      </c>
      <c r="D834" s="1551">
        <v>0.04</v>
      </c>
      <c r="E834" s="1550" t="s">
        <v>512</v>
      </c>
      <c r="F834" s="1550">
        <v>2</v>
      </c>
      <c r="G834" s="1553" t="s">
        <v>724</v>
      </c>
      <c r="H834" s="1550">
        <v>3</v>
      </c>
      <c r="I834" s="1462">
        <f>IF(H834="",D834*F834,D834*F834*H834)</f>
        <v>0.24</v>
      </c>
      <c r="J834" s="94"/>
      <c r="K834" s="94"/>
      <c r="L834" s="94"/>
      <c r="M834" s="94"/>
      <c r="N834" s="94"/>
      <c r="O834" s="93"/>
    </row>
    <row r="835" spans="1:15" x14ac:dyDescent="0.25">
      <c r="A835" s="1497">
        <v>30</v>
      </c>
      <c r="B835" s="1497" t="s">
        <v>2177</v>
      </c>
      <c r="C835" s="1497"/>
      <c r="D835" s="1552">
        <v>0.35</v>
      </c>
      <c r="E835" s="1497" t="s">
        <v>294</v>
      </c>
      <c r="F835" s="1497">
        <v>1</v>
      </c>
      <c r="G835" s="1497"/>
      <c r="H835" s="1497"/>
      <c r="I835" s="1468">
        <f>IF(H835="",D835*F835,D835*F835*H835)</f>
        <v>0.35</v>
      </c>
      <c r="J835" s="99"/>
      <c r="K835" s="99"/>
      <c r="L835" s="99"/>
      <c r="M835" s="99"/>
      <c r="N835" s="99"/>
      <c r="O835" s="130"/>
    </row>
    <row r="836" spans="1:15" x14ac:dyDescent="0.25">
      <c r="A836" s="98"/>
      <c r="B836" s="95"/>
      <c r="C836" s="95"/>
      <c r="D836" s="95"/>
      <c r="E836" s="95"/>
      <c r="F836" s="95"/>
      <c r="G836" s="95"/>
      <c r="H836" s="1448" t="s">
        <v>58</v>
      </c>
      <c r="I836" s="1447">
        <f>SUM(I833:I835)</f>
        <v>1.8900000000000001</v>
      </c>
      <c r="J836" s="95"/>
      <c r="K836" s="95"/>
      <c r="L836" s="95"/>
      <c r="M836" s="95"/>
      <c r="N836" s="95"/>
      <c r="O836" s="93"/>
    </row>
    <row r="837" spans="1:15" x14ac:dyDescent="0.25">
      <c r="A837" s="107"/>
      <c r="B837" s="94"/>
      <c r="C837" s="94"/>
      <c r="D837" s="94"/>
      <c r="E837" s="94"/>
      <c r="F837" s="94"/>
      <c r="G837" s="94"/>
      <c r="H837" s="94"/>
      <c r="I837" s="99"/>
      <c r="J837" s="94"/>
      <c r="K837" s="94"/>
      <c r="L837" s="94"/>
      <c r="M837" s="94"/>
      <c r="N837" s="94"/>
      <c r="O837" s="93"/>
    </row>
    <row r="838" spans="1:15" ht="15.75" thickBot="1" x14ac:dyDescent="0.3">
      <c r="A838" s="92"/>
      <c r="B838" s="91"/>
      <c r="C838" s="91"/>
      <c r="D838" s="91"/>
      <c r="E838" s="91"/>
      <c r="F838" s="91"/>
      <c r="G838" s="91"/>
      <c r="H838" s="91"/>
      <c r="I838" s="91"/>
      <c r="J838" s="91"/>
      <c r="K838" s="91"/>
      <c r="L838" s="91"/>
      <c r="M838" s="91"/>
      <c r="N838" s="91"/>
      <c r="O838" s="90"/>
    </row>
    <row r="839" spans="1:15" ht="15.75" thickBot="1" x14ac:dyDescent="0.3">
      <c r="A839" s="94"/>
      <c r="B839" s="94"/>
      <c r="C839" s="94"/>
      <c r="D839" s="94"/>
      <c r="E839" s="94"/>
      <c r="F839" s="94"/>
      <c r="G839" s="94"/>
      <c r="H839" s="94"/>
      <c r="I839" s="94"/>
      <c r="J839" s="94"/>
      <c r="K839" s="94"/>
      <c r="L839" s="94"/>
      <c r="M839" s="94"/>
      <c r="N839" s="94"/>
      <c r="O839" s="94"/>
    </row>
    <row r="840" spans="1:15" x14ac:dyDescent="0.25">
      <c r="A840" s="141"/>
      <c r="B840" s="140"/>
      <c r="C840" s="140"/>
      <c r="D840" s="140"/>
      <c r="E840" s="140"/>
      <c r="F840" s="140"/>
      <c r="G840" s="140"/>
      <c r="H840" s="140"/>
      <c r="I840" s="140"/>
      <c r="J840" s="272"/>
      <c r="K840" s="140"/>
      <c r="L840" s="140"/>
      <c r="M840" s="140"/>
      <c r="N840" s="140"/>
      <c r="O840" s="139"/>
    </row>
    <row r="841" spans="1:15" x14ac:dyDescent="0.25">
      <c r="A841" s="1454" t="s">
        <v>57</v>
      </c>
      <c r="B841" s="133" t="s">
        <v>523</v>
      </c>
      <c r="C841" s="94"/>
      <c r="D841" s="94"/>
      <c r="E841" s="94"/>
      <c r="F841" s="94"/>
      <c r="G841" s="94"/>
      <c r="H841" s="94"/>
      <c r="I841" s="94"/>
      <c r="J841" s="1456" t="s">
        <v>51</v>
      </c>
      <c r="K841" s="138">
        <v>81</v>
      </c>
      <c r="L841" s="94"/>
      <c r="M841" s="1454" t="s">
        <v>113</v>
      </c>
      <c r="N841" s="100">
        <f>SU_06003_m+SU_06003_p</f>
        <v>1.3200069456555323</v>
      </c>
      <c r="O841" s="93"/>
    </row>
    <row r="842" spans="1:15" x14ac:dyDescent="0.25">
      <c r="A842" s="1454" t="s">
        <v>125</v>
      </c>
      <c r="B842" s="133" t="s">
        <v>5</v>
      </c>
      <c r="C842" s="94"/>
      <c r="D842" s="1454" t="s">
        <v>122</v>
      </c>
      <c r="E842" s="94"/>
      <c r="F842" s="94"/>
      <c r="G842" s="94"/>
      <c r="H842" s="94"/>
      <c r="I842" s="94"/>
      <c r="J842" s="94"/>
      <c r="K842" s="94"/>
      <c r="L842" s="94"/>
      <c r="M842" s="1454" t="s">
        <v>124</v>
      </c>
      <c r="N842" s="136">
        <v>2</v>
      </c>
      <c r="O842" s="93"/>
    </row>
    <row r="843" spans="1:15" x14ac:dyDescent="0.25">
      <c r="A843" s="1454" t="s">
        <v>123</v>
      </c>
      <c r="B843" s="270" t="str">
        <f>'SU Assemblies'!B288</f>
        <v>Front rocker</v>
      </c>
      <c r="C843" s="94"/>
      <c r="D843" s="1454" t="s">
        <v>119</v>
      </c>
      <c r="E843" s="94"/>
      <c r="F843" s="94"/>
      <c r="G843" s="94"/>
      <c r="H843" s="94"/>
      <c r="I843" s="94"/>
      <c r="J843" s="1455" t="s">
        <v>122</v>
      </c>
      <c r="K843" s="94"/>
      <c r="L843" s="94"/>
      <c r="M843" s="94"/>
      <c r="N843" s="94"/>
      <c r="O843" s="93"/>
    </row>
    <row r="844" spans="1:15" x14ac:dyDescent="0.25">
      <c r="A844" s="1454" t="s">
        <v>114</v>
      </c>
      <c r="B844" s="135" t="s">
        <v>2546</v>
      </c>
      <c r="C844" s="94"/>
      <c r="D844" s="1454" t="s">
        <v>116</v>
      </c>
      <c r="E844" s="94"/>
      <c r="F844" s="94"/>
      <c r="G844" s="94"/>
      <c r="H844" s="94"/>
      <c r="I844" s="94"/>
      <c r="J844" s="1455" t="s">
        <v>119</v>
      </c>
      <c r="K844" s="94"/>
      <c r="L844" s="94"/>
      <c r="M844" s="1454" t="s">
        <v>118</v>
      </c>
      <c r="N844" s="100">
        <f>N842*N841</f>
        <v>2.6400138913110647</v>
      </c>
      <c r="O844" s="93"/>
    </row>
    <row r="845" spans="1:15" x14ac:dyDescent="0.25">
      <c r="A845" s="1454" t="s">
        <v>121</v>
      </c>
      <c r="B845" s="269" t="s">
        <v>2606</v>
      </c>
      <c r="C845" s="94"/>
      <c r="D845" s="94"/>
      <c r="E845" s="94"/>
      <c r="F845" s="94"/>
      <c r="G845" s="94"/>
      <c r="H845" s="94"/>
      <c r="I845" s="94"/>
      <c r="J845" s="1455" t="s">
        <v>116</v>
      </c>
      <c r="K845" s="94"/>
      <c r="L845" s="94"/>
      <c r="M845" s="94"/>
      <c r="N845" s="94"/>
      <c r="O845" s="93"/>
    </row>
    <row r="846" spans="1:15" x14ac:dyDescent="0.25">
      <c r="A846" s="1454" t="s">
        <v>117</v>
      </c>
      <c r="B846" s="133" t="s">
        <v>23</v>
      </c>
      <c r="C846" s="94"/>
      <c r="D846" s="94"/>
      <c r="E846" s="94"/>
      <c r="F846" s="94"/>
      <c r="G846" s="94"/>
      <c r="H846" s="94"/>
      <c r="I846" s="94"/>
      <c r="J846" s="94"/>
      <c r="K846" s="94"/>
      <c r="L846" s="94"/>
      <c r="M846" s="94"/>
      <c r="N846" s="94"/>
      <c r="O846" s="93"/>
    </row>
    <row r="847" spans="1:15" x14ac:dyDescent="0.25">
      <c r="A847" s="1454" t="s">
        <v>115</v>
      </c>
      <c r="B847" s="133"/>
      <c r="C847" s="94"/>
      <c r="D847" s="94"/>
      <c r="E847" s="94"/>
      <c r="F847" s="94"/>
      <c r="G847" s="94"/>
      <c r="H847" s="94"/>
      <c r="I847" s="94"/>
      <c r="J847" s="94"/>
      <c r="K847" s="94"/>
      <c r="L847" s="94"/>
      <c r="M847" s="94"/>
      <c r="N847" s="94"/>
      <c r="O847" s="93"/>
    </row>
    <row r="848" spans="1:15" x14ac:dyDescent="0.25">
      <c r="A848" s="266"/>
      <c r="B848" s="265"/>
      <c r="C848" s="265"/>
      <c r="D848" s="265"/>
      <c r="E848" s="265"/>
      <c r="F848" s="94"/>
      <c r="G848" s="94"/>
      <c r="H848" s="94"/>
      <c r="I848" s="94"/>
      <c r="J848" s="94"/>
      <c r="K848" s="94"/>
      <c r="L848" s="94"/>
      <c r="M848" s="94"/>
      <c r="N848" s="94"/>
      <c r="O848" s="93"/>
    </row>
    <row r="849" spans="1:15" x14ac:dyDescent="0.25">
      <c r="A849" s="1453" t="s">
        <v>67</v>
      </c>
      <c r="B849" s="1452" t="s">
        <v>112</v>
      </c>
      <c r="C849" s="1452" t="s">
        <v>66</v>
      </c>
      <c r="D849" s="1452" t="s">
        <v>65</v>
      </c>
      <c r="E849" s="1452" t="s">
        <v>81</v>
      </c>
      <c r="F849" s="1465" t="s">
        <v>80</v>
      </c>
      <c r="G849" s="1465" t="s">
        <v>79</v>
      </c>
      <c r="H849" s="1465" t="s">
        <v>78</v>
      </c>
      <c r="I849" s="1465" t="s">
        <v>111</v>
      </c>
      <c r="J849" s="1465" t="s">
        <v>110</v>
      </c>
      <c r="K849" s="1465" t="s">
        <v>109</v>
      </c>
      <c r="L849" s="1465" t="s">
        <v>108</v>
      </c>
      <c r="M849" s="1465" t="s">
        <v>40</v>
      </c>
      <c r="N849" s="1465" t="s">
        <v>58</v>
      </c>
      <c r="O849" s="93"/>
    </row>
    <row r="850" spans="1:15" ht="30" x14ac:dyDescent="0.25">
      <c r="A850" s="1458">
        <v>10</v>
      </c>
      <c r="B850" s="1460" t="s">
        <v>2545</v>
      </c>
      <c r="C850" s="1508"/>
      <c r="D850" s="1459">
        <v>2.2000000000000002</v>
      </c>
      <c r="E850" s="1458">
        <v>10</v>
      </c>
      <c r="F850" s="1458" t="s">
        <v>68</v>
      </c>
      <c r="G850" s="1458"/>
      <c r="H850" s="1470"/>
      <c r="I850" s="1473" t="s">
        <v>2578</v>
      </c>
      <c r="J850" s="1472">
        <f>PI()*0.005*0.005</f>
        <v>7.8539816339744841E-5</v>
      </c>
      <c r="K850" s="1471">
        <v>0.01</v>
      </c>
      <c r="L850" s="1470">
        <v>8500</v>
      </c>
      <c r="M850" s="1469">
        <v>1</v>
      </c>
      <c r="N850" s="1468">
        <f>IF(J850="",D850*M850,D850*J850*K850*L850*M850)</f>
        <v>1.4686945655532285E-2</v>
      </c>
      <c r="O850" s="143"/>
    </row>
    <row r="851" spans="1:15" x14ac:dyDescent="0.25">
      <c r="A851" s="98"/>
      <c r="B851" s="95"/>
      <c r="C851" s="95"/>
      <c r="D851" s="95"/>
      <c r="E851" s="95"/>
      <c r="F851" s="95"/>
      <c r="G851" s="95"/>
      <c r="H851" s="95"/>
      <c r="I851" s="95"/>
      <c r="J851" s="95"/>
      <c r="K851" s="95"/>
      <c r="L851" s="95"/>
      <c r="M851" s="1467" t="s">
        <v>58</v>
      </c>
      <c r="N851" s="1447">
        <f>SUM(N850:N850)</f>
        <v>1.4686945655532285E-2</v>
      </c>
      <c r="O851" s="93"/>
    </row>
    <row r="852" spans="1:15" x14ac:dyDescent="0.25">
      <c r="A852" s="107"/>
      <c r="B852" s="94"/>
      <c r="C852" s="94"/>
      <c r="D852" s="94"/>
      <c r="E852" s="94"/>
      <c r="F852" s="94"/>
      <c r="G852" s="94"/>
      <c r="H852" s="94"/>
      <c r="I852" s="94"/>
      <c r="J852" s="94"/>
      <c r="K852" s="94"/>
      <c r="L852" s="94"/>
      <c r="M852" s="94"/>
      <c r="N852" s="94"/>
      <c r="O852" s="93"/>
    </row>
    <row r="853" spans="1:15" x14ac:dyDescent="0.25">
      <c r="A853" s="1466" t="s">
        <v>67</v>
      </c>
      <c r="B853" s="1465" t="s">
        <v>106</v>
      </c>
      <c r="C853" s="1465" t="s">
        <v>66</v>
      </c>
      <c r="D853" s="1465" t="s">
        <v>65</v>
      </c>
      <c r="E853" s="1465" t="s">
        <v>64</v>
      </c>
      <c r="F853" s="1465" t="s">
        <v>40</v>
      </c>
      <c r="G853" s="1465" t="s">
        <v>105</v>
      </c>
      <c r="H853" s="1465" t="s">
        <v>104</v>
      </c>
      <c r="I853" s="1465" t="s">
        <v>58</v>
      </c>
      <c r="J853" s="95"/>
      <c r="K853" s="95"/>
      <c r="L853" s="95"/>
      <c r="M853" s="95"/>
      <c r="N853" s="95"/>
      <c r="O853" s="93"/>
    </row>
    <row r="854" spans="1:15" ht="30" x14ac:dyDescent="0.25">
      <c r="A854" s="1497">
        <v>10</v>
      </c>
      <c r="B854" s="1498" t="s">
        <v>516</v>
      </c>
      <c r="C854" s="1503" t="s">
        <v>528</v>
      </c>
      <c r="D854" s="1501">
        <v>1.3</v>
      </c>
      <c r="E854" s="1498" t="s">
        <v>64</v>
      </c>
      <c r="F854" s="1497">
        <v>1</v>
      </c>
      <c r="G854" s="1497"/>
      <c r="H854" s="1497"/>
      <c r="I854" s="1462">
        <f>IF(H854="",D854*F854,D854*F854*H854)</f>
        <v>1.3</v>
      </c>
      <c r="J854" s="142"/>
      <c r="K854" s="142"/>
      <c r="L854" s="142"/>
      <c r="M854" s="142"/>
      <c r="N854" s="142"/>
      <c r="O854" s="120"/>
    </row>
    <row r="855" spans="1:15" x14ac:dyDescent="0.25">
      <c r="A855" s="1550">
        <v>20</v>
      </c>
      <c r="B855" s="1550" t="s">
        <v>514</v>
      </c>
      <c r="C855" s="1550" t="s">
        <v>1132</v>
      </c>
      <c r="D855" s="1551">
        <v>0.04</v>
      </c>
      <c r="E855" s="1550" t="s">
        <v>512</v>
      </c>
      <c r="F855" s="1550">
        <v>0.1</v>
      </c>
      <c r="G855" s="1553" t="s">
        <v>2577</v>
      </c>
      <c r="H855" s="1550">
        <v>1.33</v>
      </c>
      <c r="I855" s="1462">
        <f>IF(H855="",D855*F855,D855*F855*H855)</f>
        <v>5.3200000000000001E-3</v>
      </c>
      <c r="J855" s="94"/>
      <c r="K855" s="94"/>
      <c r="L855" s="94"/>
      <c r="M855" s="94"/>
      <c r="N855" s="94"/>
      <c r="O855" s="93"/>
    </row>
    <row r="856" spans="1:15" x14ac:dyDescent="0.25">
      <c r="A856" s="98"/>
      <c r="B856" s="95"/>
      <c r="C856" s="95"/>
      <c r="D856" s="95"/>
      <c r="E856" s="95"/>
      <c r="F856" s="95"/>
      <c r="G856" s="95"/>
      <c r="H856" s="1448" t="s">
        <v>58</v>
      </c>
      <c r="I856" s="1447">
        <f>SUM(I854:I855)</f>
        <v>1.30532</v>
      </c>
      <c r="J856" s="95"/>
      <c r="K856" s="95"/>
      <c r="L856" s="95"/>
      <c r="M856" s="95"/>
      <c r="N856" s="95"/>
      <c r="O856" s="93"/>
    </row>
    <row r="857" spans="1:15" x14ac:dyDescent="0.25">
      <c r="A857" s="107"/>
      <c r="B857" s="94"/>
      <c r="C857" s="94"/>
      <c r="D857" s="94"/>
      <c r="E857" s="94"/>
      <c r="F857" s="94"/>
      <c r="G857" s="94"/>
      <c r="H857" s="94"/>
      <c r="I857" s="99"/>
      <c r="J857" s="94"/>
      <c r="K857" s="94"/>
      <c r="L857" s="94"/>
      <c r="M857" s="94"/>
      <c r="N857" s="94"/>
      <c r="O857" s="93"/>
    </row>
    <row r="858" spans="1:15" ht="15.75" thickBot="1" x14ac:dyDescent="0.3">
      <c r="A858" s="92"/>
      <c r="B858" s="91"/>
      <c r="C858" s="91"/>
      <c r="D858" s="91"/>
      <c r="E858" s="91"/>
      <c r="F858" s="91"/>
      <c r="G858" s="91"/>
      <c r="H858" s="91"/>
      <c r="I858" s="91"/>
      <c r="J858" s="91"/>
      <c r="K858" s="91"/>
      <c r="L858" s="91"/>
      <c r="M858" s="91"/>
      <c r="N858" s="91"/>
      <c r="O858" s="90"/>
    </row>
    <row r="859" spans="1:15" ht="15.75" thickBot="1" x14ac:dyDescent="0.3">
      <c r="A859" s="94"/>
      <c r="B859" s="94"/>
      <c r="C859" s="94"/>
      <c r="D859" s="94"/>
      <c r="E859" s="94"/>
      <c r="F859" s="94"/>
      <c r="G859" s="94"/>
      <c r="H859" s="94"/>
      <c r="I859" s="94"/>
      <c r="J859" s="94"/>
      <c r="K859" s="94"/>
      <c r="L859" s="94"/>
      <c r="M859" s="94"/>
      <c r="N859" s="94"/>
      <c r="O859" s="94"/>
    </row>
    <row r="860" spans="1:15" x14ac:dyDescent="0.25">
      <c r="A860" s="141"/>
      <c r="B860" s="140"/>
      <c r="C860" s="140"/>
      <c r="D860" s="140"/>
      <c r="E860" s="140"/>
      <c r="F860" s="140"/>
      <c r="G860" s="140"/>
      <c r="H860" s="140"/>
      <c r="I860" s="140"/>
      <c r="J860" s="272"/>
      <c r="K860" s="140"/>
      <c r="L860" s="140"/>
      <c r="M860" s="140"/>
      <c r="N860" s="140"/>
      <c r="O860" s="139"/>
    </row>
    <row r="861" spans="1:15" x14ac:dyDescent="0.25">
      <c r="A861" s="1454" t="s">
        <v>57</v>
      </c>
      <c r="B861" s="133" t="s">
        <v>523</v>
      </c>
      <c r="C861" s="94"/>
      <c r="D861" s="94"/>
      <c r="E861" s="94"/>
      <c r="F861" s="94"/>
      <c r="G861" s="94"/>
      <c r="H861" s="94"/>
      <c r="I861" s="94"/>
      <c r="J861" s="1456" t="s">
        <v>51</v>
      </c>
      <c r="K861" s="138">
        <v>81</v>
      </c>
      <c r="L861" s="94"/>
      <c r="M861" s="1454" t="s">
        <v>113</v>
      </c>
      <c r="N861" s="100">
        <f>SU_06004_m+SU_06004_p</f>
        <v>8.1023915470000016</v>
      </c>
      <c r="O861" s="93"/>
    </row>
    <row r="862" spans="1:15" x14ac:dyDescent="0.25">
      <c r="A862" s="1454" t="s">
        <v>125</v>
      </c>
      <c r="B862" s="133" t="s">
        <v>5</v>
      </c>
      <c r="C862" s="94"/>
      <c r="D862" s="1454" t="s">
        <v>122</v>
      </c>
      <c r="E862" s="270" t="s">
        <v>522</v>
      </c>
      <c r="F862" s="94"/>
      <c r="G862" s="94"/>
      <c r="H862" s="94"/>
      <c r="I862" s="94"/>
      <c r="J862" s="94"/>
      <c r="K862" s="94"/>
      <c r="L862" s="94"/>
      <c r="M862" s="1454" t="s">
        <v>124</v>
      </c>
      <c r="N862" s="136">
        <v>1</v>
      </c>
      <c r="O862" s="93"/>
    </row>
    <row r="863" spans="1:15" x14ac:dyDescent="0.25">
      <c r="A863" s="1454" t="s">
        <v>123</v>
      </c>
      <c r="B863" s="270" t="str">
        <f>'SU Assemblies'!B288</f>
        <v>Front rocker</v>
      </c>
      <c r="C863" s="94"/>
      <c r="D863" s="1454" t="s">
        <v>119</v>
      </c>
      <c r="E863" s="94"/>
      <c r="F863" s="94"/>
      <c r="G863" s="94"/>
      <c r="H863" s="94"/>
      <c r="I863" s="94"/>
      <c r="J863" s="1455" t="s">
        <v>122</v>
      </c>
      <c r="K863" s="94"/>
      <c r="L863" s="94"/>
      <c r="M863" s="94"/>
      <c r="N863" s="94"/>
      <c r="O863" s="93"/>
    </row>
    <row r="864" spans="1:15" x14ac:dyDescent="0.25">
      <c r="A864" s="1454" t="s">
        <v>114</v>
      </c>
      <c r="B864" s="135" t="s">
        <v>2576</v>
      </c>
      <c r="C864" s="94"/>
      <c r="D864" s="1454" t="s">
        <v>116</v>
      </c>
      <c r="E864" s="94"/>
      <c r="F864" s="94"/>
      <c r="G864" s="94"/>
      <c r="H864" s="94"/>
      <c r="I864" s="94"/>
      <c r="J864" s="1455" t="s">
        <v>119</v>
      </c>
      <c r="K864" s="94"/>
      <c r="L864" s="94"/>
      <c r="M864" s="1454" t="s">
        <v>118</v>
      </c>
      <c r="N864" s="100">
        <f>N862*N861</f>
        <v>8.1023915470000016</v>
      </c>
      <c r="O864" s="93"/>
    </row>
    <row r="865" spans="1:15" x14ac:dyDescent="0.25">
      <c r="A865" s="1454" t="s">
        <v>121</v>
      </c>
      <c r="B865" s="269" t="s">
        <v>2605</v>
      </c>
      <c r="C865" s="94"/>
      <c r="D865" s="94"/>
      <c r="E865" s="94"/>
      <c r="F865" s="94"/>
      <c r="G865" s="94"/>
      <c r="H865" s="94"/>
      <c r="I865" s="94"/>
      <c r="J865" s="1455" t="s">
        <v>116</v>
      </c>
      <c r="K865" s="94"/>
      <c r="L865" s="94"/>
      <c r="M865" s="94"/>
      <c r="N865" s="94"/>
      <c r="O865" s="93"/>
    </row>
    <row r="866" spans="1:15" x14ac:dyDescent="0.25">
      <c r="A866" s="1454" t="s">
        <v>117</v>
      </c>
      <c r="B866" s="133" t="s">
        <v>23</v>
      </c>
      <c r="C866" s="94"/>
      <c r="D866" s="94"/>
      <c r="E866" s="94"/>
      <c r="F866" s="94"/>
      <c r="G866" s="94"/>
      <c r="H866" s="94"/>
      <c r="I866" s="94"/>
      <c r="J866" s="94"/>
      <c r="K866" s="94"/>
      <c r="L866" s="94"/>
      <c r="M866" s="94"/>
      <c r="N866" s="94"/>
      <c r="O866" s="93"/>
    </row>
    <row r="867" spans="1:15" x14ac:dyDescent="0.25">
      <c r="A867" s="1454" t="s">
        <v>115</v>
      </c>
      <c r="B867" s="194"/>
      <c r="C867" s="94"/>
      <c r="D867" s="94"/>
      <c r="E867" s="94"/>
      <c r="F867" s="94"/>
      <c r="G867" s="94"/>
      <c r="H867" s="94"/>
      <c r="I867" s="94"/>
      <c r="J867" s="94"/>
      <c r="K867" s="94"/>
      <c r="L867" s="94"/>
      <c r="M867" s="94"/>
      <c r="N867" s="94"/>
      <c r="O867" s="93"/>
    </row>
    <row r="868" spans="1:15" x14ac:dyDescent="0.25">
      <c r="A868" s="266"/>
      <c r="B868" s="265"/>
      <c r="C868" s="265"/>
      <c r="D868" s="265"/>
      <c r="E868" s="265"/>
      <c r="F868" s="94"/>
      <c r="G868" s="94"/>
      <c r="H868" s="94"/>
      <c r="I868" s="94"/>
      <c r="J868" s="94"/>
      <c r="K868" s="94"/>
      <c r="L868" s="94"/>
      <c r="M868" s="94"/>
      <c r="N868" s="94"/>
      <c r="O868" s="93"/>
    </row>
    <row r="869" spans="1:15" x14ac:dyDescent="0.25">
      <c r="A869" s="1453" t="s">
        <v>67</v>
      </c>
      <c r="B869" s="1452" t="s">
        <v>112</v>
      </c>
      <c r="C869" s="1452" t="s">
        <v>66</v>
      </c>
      <c r="D869" s="1452" t="s">
        <v>65</v>
      </c>
      <c r="E869" s="1452" t="s">
        <v>81</v>
      </c>
      <c r="F869" s="1465" t="s">
        <v>80</v>
      </c>
      <c r="G869" s="1465" t="s">
        <v>79</v>
      </c>
      <c r="H869" s="1465" t="s">
        <v>78</v>
      </c>
      <c r="I869" s="1465" t="s">
        <v>111</v>
      </c>
      <c r="J869" s="1465" t="s">
        <v>110</v>
      </c>
      <c r="K869" s="1465" t="s">
        <v>109</v>
      </c>
      <c r="L869" s="1465" t="s">
        <v>108</v>
      </c>
      <c r="M869" s="1465" t="s">
        <v>40</v>
      </c>
      <c r="N869" s="1465" t="s">
        <v>58</v>
      </c>
      <c r="O869" s="93"/>
    </row>
    <row r="870" spans="1:15" ht="30" x14ac:dyDescent="0.25">
      <c r="A870" s="1458">
        <v>10</v>
      </c>
      <c r="B870" s="1475" t="s">
        <v>519</v>
      </c>
      <c r="C870" s="1508" t="s">
        <v>2561</v>
      </c>
      <c r="D870" s="1507">
        <v>2.25</v>
      </c>
      <c r="E870" s="1458">
        <v>31</v>
      </c>
      <c r="F870" s="1458" t="s">
        <v>68</v>
      </c>
      <c r="G870" s="1458">
        <v>34</v>
      </c>
      <c r="H870" s="1470" t="s">
        <v>68</v>
      </c>
      <c r="I870" s="1473" t="s">
        <v>2574</v>
      </c>
      <c r="J870" s="1476">
        <f>0.031*0.034</f>
        <v>1.054E-3</v>
      </c>
      <c r="K870" s="1471">
        <v>4.53E-2</v>
      </c>
      <c r="L870" s="1549">
        <v>7860</v>
      </c>
      <c r="M870" s="1469">
        <v>1</v>
      </c>
      <c r="N870" s="1468">
        <f>IF(J870="",D870*M870,D870*J870*K870*L870*M870)</f>
        <v>0.84439154699999996</v>
      </c>
      <c r="O870" s="143"/>
    </row>
    <row r="871" spans="1:15" x14ac:dyDescent="0.25">
      <c r="A871" s="98"/>
      <c r="B871" s="95"/>
      <c r="C871" s="95"/>
      <c r="D871" s="95"/>
      <c r="E871" s="95"/>
      <c r="F871" s="95"/>
      <c r="G871" s="95"/>
      <c r="H871" s="95"/>
      <c r="I871" s="95"/>
      <c r="J871" s="95"/>
      <c r="K871" s="95"/>
      <c r="L871" s="95"/>
      <c r="M871" s="1467" t="s">
        <v>58</v>
      </c>
      <c r="N871" s="1447">
        <f>SUM(N870:N870)</f>
        <v>0.84439154699999996</v>
      </c>
      <c r="O871" s="93"/>
    </row>
    <row r="872" spans="1:15" x14ac:dyDescent="0.25">
      <c r="A872" s="107"/>
      <c r="B872" s="94"/>
      <c r="C872" s="94"/>
      <c r="D872" s="94"/>
      <c r="E872" s="94"/>
      <c r="F872" s="94"/>
      <c r="G872" s="94"/>
      <c r="H872" s="94"/>
      <c r="I872" s="94"/>
      <c r="J872" s="94"/>
      <c r="K872" s="94"/>
      <c r="L872" s="94"/>
      <c r="M872" s="94"/>
      <c r="N872" s="94"/>
      <c r="O872" s="93"/>
    </row>
    <row r="873" spans="1:15" x14ac:dyDescent="0.25">
      <c r="A873" s="1466" t="s">
        <v>67</v>
      </c>
      <c r="B873" s="1465" t="s">
        <v>106</v>
      </c>
      <c r="C873" s="1465" t="s">
        <v>66</v>
      </c>
      <c r="D873" s="1465" t="s">
        <v>65</v>
      </c>
      <c r="E873" s="1465" t="s">
        <v>64</v>
      </c>
      <c r="F873" s="1465" t="s">
        <v>40</v>
      </c>
      <c r="G873" s="1465" t="s">
        <v>105</v>
      </c>
      <c r="H873" s="1465" t="s">
        <v>104</v>
      </c>
      <c r="I873" s="1465" t="s">
        <v>58</v>
      </c>
      <c r="J873" s="95"/>
      <c r="K873" s="95"/>
      <c r="L873" s="95"/>
      <c r="M873" s="95"/>
      <c r="N873" s="95"/>
      <c r="O873" s="93"/>
    </row>
    <row r="874" spans="1:15" ht="30" x14ac:dyDescent="0.25">
      <c r="A874" s="1497">
        <v>10</v>
      </c>
      <c r="B874" s="1498" t="s">
        <v>516</v>
      </c>
      <c r="C874" s="1503" t="s">
        <v>528</v>
      </c>
      <c r="D874" s="1501">
        <v>1.3</v>
      </c>
      <c r="E874" s="1498" t="s">
        <v>64</v>
      </c>
      <c r="F874" s="1497">
        <v>1</v>
      </c>
      <c r="G874" s="1497"/>
      <c r="H874" s="1497"/>
      <c r="I874" s="1462">
        <f t="shared" ref="I874:I880" si="17">IF(H874="",D874*F874,D874*F874*H874)</f>
        <v>1.3</v>
      </c>
      <c r="J874" s="142"/>
      <c r="K874" s="142"/>
      <c r="L874" s="142"/>
      <c r="M874" s="142"/>
      <c r="N874" s="142"/>
      <c r="O874" s="120"/>
    </row>
    <row r="875" spans="1:15" x14ac:dyDescent="0.25">
      <c r="A875" s="1550">
        <v>20</v>
      </c>
      <c r="B875" s="1550" t="s">
        <v>514</v>
      </c>
      <c r="C875" s="1550" t="s">
        <v>1263</v>
      </c>
      <c r="D875" s="1551">
        <v>0.04</v>
      </c>
      <c r="E875" s="1550" t="s">
        <v>512</v>
      </c>
      <c r="F875" s="1550">
        <v>16.5</v>
      </c>
      <c r="G875" s="1553" t="s">
        <v>2557</v>
      </c>
      <c r="H875" s="1550">
        <v>3</v>
      </c>
      <c r="I875" s="1462">
        <f t="shared" si="17"/>
        <v>1.98</v>
      </c>
      <c r="J875" s="142"/>
      <c r="K875" s="142"/>
      <c r="L875" s="142"/>
      <c r="M875" s="142"/>
      <c r="N875" s="142"/>
      <c r="O875" s="120"/>
    </row>
    <row r="876" spans="1:15" x14ac:dyDescent="0.25">
      <c r="A876" s="1497">
        <v>30</v>
      </c>
      <c r="B876" s="1497" t="s">
        <v>2177</v>
      </c>
      <c r="C876" s="1497" t="s">
        <v>1252</v>
      </c>
      <c r="D876" s="1552">
        <v>0.35</v>
      </c>
      <c r="E876" s="1497" t="s">
        <v>294</v>
      </c>
      <c r="F876" s="1497">
        <v>1</v>
      </c>
      <c r="G876" s="1497"/>
      <c r="H876" s="1497"/>
      <c r="I876" s="1462">
        <f t="shared" si="17"/>
        <v>0.35</v>
      </c>
      <c r="J876" s="142"/>
      <c r="K876" s="142"/>
      <c r="L876" s="142"/>
      <c r="M876" s="142"/>
      <c r="N876" s="142"/>
      <c r="O876" s="120"/>
    </row>
    <row r="877" spans="1:15" x14ac:dyDescent="0.25">
      <c r="A877" s="1550">
        <v>40</v>
      </c>
      <c r="B877" s="1550" t="s">
        <v>2536</v>
      </c>
      <c r="C877" s="1550"/>
      <c r="D877" s="1551">
        <v>0.65</v>
      </c>
      <c r="E877" s="1550" t="s">
        <v>64</v>
      </c>
      <c r="F877" s="1550">
        <v>1</v>
      </c>
      <c r="G877" s="1550"/>
      <c r="H877" s="1550"/>
      <c r="I877" s="1462">
        <f t="shared" si="17"/>
        <v>0.65</v>
      </c>
      <c r="J877" s="142"/>
      <c r="K877" s="142"/>
      <c r="L877" s="142"/>
      <c r="M877" s="142"/>
      <c r="N877" s="142"/>
      <c r="O877" s="120"/>
    </row>
    <row r="878" spans="1:15" x14ac:dyDescent="0.25">
      <c r="A878" s="1550">
        <v>50</v>
      </c>
      <c r="B878" s="1550" t="s">
        <v>514</v>
      </c>
      <c r="C878" s="1550" t="s">
        <v>2559</v>
      </c>
      <c r="D878" s="1551">
        <v>0.04</v>
      </c>
      <c r="E878" s="1550" t="s">
        <v>512</v>
      </c>
      <c r="F878" s="1550">
        <v>17.2</v>
      </c>
      <c r="G878" s="1550" t="s">
        <v>2557</v>
      </c>
      <c r="H878" s="1550">
        <v>3</v>
      </c>
      <c r="I878" s="1462">
        <f t="shared" si="17"/>
        <v>2.0640000000000001</v>
      </c>
      <c r="J878" s="94"/>
      <c r="K878" s="94"/>
      <c r="L878" s="94"/>
      <c r="M878" s="94"/>
      <c r="N878" s="94"/>
      <c r="O878" s="93"/>
    </row>
    <row r="879" spans="1:15" x14ac:dyDescent="0.25">
      <c r="A879" s="1550">
        <v>60</v>
      </c>
      <c r="B879" s="1550" t="s">
        <v>2536</v>
      </c>
      <c r="C879" s="1550"/>
      <c r="D879" s="1551">
        <v>0.65</v>
      </c>
      <c r="E879" s="1550" t="s">
        <v>64</v>
      </c>
      <c r="F879" s="1550">
        <v>1</v>
      </c>
      <c r="G879" s="1550"/>
      <c r="H879" s="1550"/>
      <c r="I879" s="1468">
        <f t="shared" si="17"/>
        <v>0.65</v>
      </c>
      <c r="J879" s="99"/>
      <c r="K879" s="99"/>
      <c r="L879" s="99"/>
      <c r="M879" s="99"/>
      <c r="N879" s="99"/>
      <c r="O879" s="130"/>
    </row>
    <row r="880" spans="1:15" x14ac:dyDescent="0.25">
      <c r="A880" s="1550">
        <v>70</v>
      </c>
      <c r="B880" s="1550" t="s">
        <v>514</v>
      </c>
      <c r="C880" s="1550" t="s">
        <v>2558</v>
      </c>
      <c r="D880" s="1551">
        <v>0.04</v>
      </c>
      <c r="E880" s="1550" t="s">
        <v>512</v>
      </c>
      <c r="F880" s="1550">
        <v>2.2000000000000002</v>
      </c>
      <c r="G880" s="1550" t="s">
        <v>2557</v>
      </c>
      <c r="H880" s="1550">
        <v>3</v>
      </c>
      <c r="I880" s="1468">
        <f t="shared" si="17"/>
        <v>0.26400000000000001</v>
      </c>
      <c r="J880" s="94"/>
      <c r="K880" s="94"/>
      <c r="L880" s="94"/>
      <c r="M880" s="94"/>
      <c r="N880" s="94"/>
      <c r="O880" s="93"/>
    </row>
    <row r="881" spans="1:15" x14ac:dyDescent="0.25">
      <c r="A881" s="98"/>
      <c r="B881" s="95"/>
      <c r="C881" s="95"/>
      <c r="D881" s="95"/>
      <c r="E881" s="95"/>
      <c r="F881" s="95"/>
      <c r="G881" s="95"/>
      <c r="H881" s="1448" t="s">
        <v>58</v>
      </c>
      <c r="I881" s="1447">
        <f>SUM(I874:I880)</f>
        <v>7.2580000000000009</v>
      </c>
      <c r="J881" s="95"/>
      <c r="K881" s="95"/>
      <c r="L881" s="95"/>
      <c r="M881" s="95"/>
      <c r="N881" s="95"/>
      <c r="O881" s="93"/>
    </row>
    <row r="882" spans="1:15" x14ac:dyDescent="0.25">
      <c r="A882" s="107"/>
      <c r="B882" s="94"/>
      <c r="C882" s="94"/>
      <c r="D882" s="94"/>
      <c r="E882" s="94"/>
      <c r="F882" s="94"/>
      <c r="G882" s="94"/>
      <c r="H882" s="94"/>
      <c r="I882" s="99"/>
      <c r="J882" s="94"/>
      <c r="K882" s="94"/>
      <c r="L882" s="94"/>
      <c r="M882" s="94"/>
      <c r="N882" s="94"/>
      <c r="O882" s="93"/>
    </row>
    <row r="883" spans="1:15" ht="15.75" thickBot="1" x14ac:dyDescent="0.3">
      <c r="A883" s="92"/>
      <c r="B883" s="91"/>
      <c r="C883" s="91"/>
      <c r="D883" s="91"/>
      <c r="E883" s="91"/>
      <c r="F883" s="91"/>
      <c r="G883" s="91"/>
      <c r="H883" s="91"/>
      <c r="I883" s="91"/>
      <c r="J883" s="91"/>
      <c r="K883" s="91"/>
      <c r="L883" s="91"/>
      <c r="M883" s="91"/>
      <c r="N883" s="91"/>
      <c r="O883" s="90"/>
    </row>
    <row r="884" spans="1:15" ht="15.75" thickBot="1" x14ac:dyDescent="0.3">
      <c r="A884" s="94"/>
      <c r="B884" s="94"/>
      <c r="C884" s="94"/>
      <c r="D884" s="94"/>
      <c r="E884" s="94"/>
      <c r="F884" s="94"/>
      <c r="G884" s="94"/>
      <c r="H884" s="94"/>
      <c r="I884" s="94"/>
      <c r="J884" s="94"/>
      <c r="K884" s="94"/>
      <c r="L884" s="94"/>
      <c r="M884" s="94"/>
      <c r="N884" s="94"/>
      <c r="O884" s="94"/>
    </row>
    <row r="885" spans="1:15" x14ac:dyDescent="0.25">
      <c r="A885" s="141"/>
      <c r="B885" s="140"/>
      <c r="C885" s="140"/>
      <c r="D885" s="140"/>
      <c r="E885" s="140"/>
      <c r="F885" s="140"/>
      <c r="G885" s="140"/>
      <c r="H885" s="140"/>
      <c r="I885" s="140"/>
      <c r="J885" s="272"/>
      <c r="K885" s="140"/>
      <c r="L885" s="140"/>
      <c r="M885" s="140"/>
      <c r="N885" s="140"/>
      <c r="O885" s="139"/>
    </row>
    <row r="886" spans="1:15" x14ac:dyDescent="0.25">
      <c r="A886" s="1454" t="s">
        <v>57</v>
      </c>
      <c r="B886" s="133" t="s">
        <v>523</v>
      </c>
      <c r="C886" s="94"/>
      <c r="D886" s="94"/>
      <c r="E886" s="94"/>
      <c r="F886" s="94"/>
      <c r="G886" s="94"/>
      <c r="H886" s="94"/>
      <c r="I886" s="94"/>
      <c r="J886" s="1456" t="s">
        <v>51</v>
      </c>
      <c r="K886" s="138">
        <v>81</v>
      </c>
      <c r="L886" s="94"/>
      <c r="M886" s="1454" t="s">
        <v>113</v>
      </c>
      <c r="N886" s="100">
        <f>SU_06005_m+SU_06005_p</f>
        <v>16.543686816165149</v>
      </c>
      <c r="O886" s="93"/>
    </row>
    <row r="887" spans="1:15" x14ac:dyDescent="0.25">
      <c r="A887" s="1454" t="s">
        <v>125</v>
      </c>
      <c r="B887" s="133" t="s">
        <v>5</v>
      </c>
      <c r="C887" s="94"/>
      <c r="D887" s="1454" t="s">
        <v>122</v>
      </c>
      <c r="E887" s="270" t="s">
        <v>522</v>
      </c>
      <c r="F887" s="94"/>
      <c r="G887" s="94"/>
      <c r="H887" s="94"/>
      <c r="I887" s="94"/>
      <c r="J887" s="94"/>
      <c r="K887" s="94"/>
      <c r="L887" s="94"/>
      <c r="M887" s="1454" t="s">
        <v>124</v>
      </c>
      <c r="N887" s="136">
        <v>1</v>
      </c>
      <c r="O887" s="93"/>
    </row>
    <row r="888" spans="1:15" x14ac:dyDescent="0.25">
      <c r="A888" s="1454" t="s">
        <v>123</v>
      </c>
      <c r="B888" s="270" t="str">
        <f>'SU Assemblies'!B288</f>
        <v>Front rocker</v>
      </c>
      <c r="C888" s="94"/>
      <c r="D888" s="1454" t="s">
        <v>119</v>
      </c>
      <c r="E888" s="94"/>
      <c r="F888" s="94"/>
      <c r="G888" s="94"/>
      <c r="H888" s="94"/>
      <c r="I888" s="94"/>
      <c r="J888" s="1455" t="s">
        <v>122</v>
      </c>
      <c r="K888" s="94"/>
      <c r="L888" s="94"/>
      <c r="M888" s="94"/>
      <c r="N888" s="94"/>
      <c r="O888" s="93"/>
    </row>
    <row r="889" spans="1:15" x14ac:dyDescent="0.25">
      <c r="A889" s="1454" t="s">
        <v>114</v>
      </c>
      <c r="B889" s="135" t="s">
        <v>2573</v>
      </c>
      <c r="C889" s="94"/>
      <c r="D889" s="1454" t="s">
        <v>116</v>
      </c>
      <c r="E889" s="94"/>
      <c r="F889" s="94"/>
      <c r="G889" s="94"/>
      <c r="H889" s="94"/>
      <c r="I889" s="94"/>
      <c r="J889" s="1455" t="s">
        <v>119</v>
      </c>
      <c r="K889" s="94"/>
      <c r="L889" s="94"/>
      <c r="M889" s="1454" t="s">
        <v>118</v>
      </c>
      <c r="N889" s="100">
        <f>N887*N886</f>
        <v>16.543686816165149</v>
      </c>
      <c r="O889" s="93"/>
    </row>
    <row r="890" spans="1:15" x14ac:dyDescent="0.25">
      <c r="A890" s="1454" t="s">
        <v>121</v>
      </c>
      <c r="B890" s="269" t="s">
        <v>2604</v>
      </c>
      <c r="C890" s="94"/>
      <c r="D890" s="94"/>
      <c r="E890" s="94"/>
      <c r="F890" s="94"/>
      <c r="G890" s="94"/>
      <c r="H890" s="94"/>
      <c r="I890" s="94"/>
      <c r="J890" s="1455" t="s">
        <v>116</v>
      </c>
      <c r="K890" s="94"/>
      <c r="L890" s="94"/>
      <c r="M890" s="94"/>
      <c r="N890" s="94"/>
      <c r="O890" s="93"/>
    </row>
    <row r="891" spans="1:15" x14ac:dyDescent="0.25">
      <c r="A891" s="1454" t="s">
        <v>117</v>
      </c>
      <c r="B891" s="133" t="s">
        <v>23</v>
      </c>
      <c r="C891" s="94"/>
      <c r="D891" s="94"/>
      <c r="E891" s="94"/>
      <c r="F891" s="94"/>
      <c r="G891" s="94"/>
      <c r="H891" s="94"/>
      <c r="I891" s="94"/>
      <c r="J891" s="94"/>
      <c r="K891" s="94"/>
      <c r="L891" s="94"/>
      <c r="M891" s="94"/>
      <c r="N891" s="94"/>
      <c r="O891" s="93"/>
    </row>
    <row r="892" spans="1:15" x14ac:dyDescent="0.25">
      <c r="A892" s="1454" t="s">
        <v>115</v>
      </c>
      <c r="B892" s="194"/>
      <c r="C892" s="94"/>
      <c r="D892" s="94"/>
      <c r="E892" s="94"/>
      <c r="F892" s="94"/>
      <c r="G892" s="94"/>
      <c r="H892" s="94"/>
      <c r="I892" s="94"/>
      <c r="J892" s="94"/>
      <c r="K892" s="94"/>
      <c r="L892" s="94"/>
      <c r="M892" s="94"/>
      <c r="N892" s="94"/>
      <c r="O892" s="93"/>
    </row>
    <row r="893" spans="1:15" x14ac:dyDescent="0.25">
      <c r="A893" s="266"/>
      <c r="B893" s="265"/>
      <c r="C893" s="265"/>
      <c r="D893" s="265"/>
      <c r="E893" s="265"/>
      <c r="F893" s="94"/>
      <c r="G893" s="94"/>
      <c r="H893" s="94"/>
      <c r="I893" s="94"/>
      <c r="J893" s="94"/>
      <c r="K893" s="94"/>
      <c r="L893" s="94"/>
      <c r="M893" s="94"/>
      <c r="N893" s="94"/>
      <c r="O893" s="93"/>
    </row>
    <row r="894" spans="1:15" x14ac:dyDescent="0.25">
      <c r="A894" s="1453" t="s">
        <v>67</v>
      </c>
      <c r="B894" s="1452" t="s">
        <v>112</v>
      </c>
      <c r="C894" s="1452" t="s">
        <v>66</v>
      </c>
      <c r="D894" s="1452" t="s">
        <v>65</v>
      </c>
      <c r="E894" s="1452" t="s">
        <v>81</v>
      </c>
      <c r="F894" s="1465" t="s">
        <v>80</v>
      </c>
      <c r="G894" s="1465" t="s">
        <v>79</v>
      </c>
      <c r="H894" s="1465" t="s">
        <v>78</v>
      </c>
      <c r="I894" s="1465" t="s">
        <v>111</v>
      </c>
      <c r="J894" s="1465" t="s">
        <v>110</v>
      </c>
      <c r="K894" s="1465" t="s">
        <v>109</v>
      </c>
      <c r="L894" s="1465" t="s">
        <v>108</v>
      </c>
      <c r="M894" s="1465" t="s">
        <v>40</v>
      </c>
      <c r="N894" s="1465" t="s">
        <v>58</v>
      </c>
      <c r="O894" s="93"/>
    </row>
    <row r="895" spans="1:15" ht="30" x14ac:dyDescent="0.25">
      <c r="A895" s="1458">
        <v>10</v>
      </c>
      <c r="B895" s="1475" t="s">
        <v>797</v>
      </c>
      <c r="C895" s="1508" t="s">
        <v>2561</v>
      </c>
      <c r="D895" s="1507">
        <v>200</v>
      </c>
      <c r="E895" s="1458">
        <v>16</v>
      </c>
      <c r="F895" s="1458" t="s">
        <v>68</v>
      </c>
      <c r="G895" s="1458">
        <v>2</v>
      </c>
      <c r="H895" s="1470" t="s">
        <v>68</v>
      </c>
      <c r="I895" s="1473" t="s">
        <v>2603</v>
      </c>
      <c r="J895" s="1472">
        <f>(1/4)*PI()*((E895*0.001)^2-(E895*0.001-2*G895*0.001)^2)</f>
        <v>8.7964594300514196E-5</v>
      </c>
      <c r="K895" s="1471">
        <v>0.41399999999999998</v>
      </c>
      <c r="L895" s="1549">
        <v>2000</v>
      </c>
      <c r="M895" s="1469">
        <v>1</v>
      </c>
      <c r="N895" s="1468">
        <f>IF(J895="",D895*M895,D895*J895*K895*L895*M895)</f>
        <v>14.56693681616515</v>
      </c>
      <c r="O895" s="143"/>
    </row>
    <row r="896" spans="1:15" x14ac:dyDescent="0.25">
      <c r="A896" s="98"/>
      <c r="B896" s="95"/>
      <c r="C896" s="95"/>
      <c r="D896" s="95"/>
      <c r="E896" s="95"/>
      <c r="F896" s="95"/>
      <c r="G896" s="95"/>
      <c r="H896" s="95"/>
      <c r="I896" s="95"/>
      <c r="J896" s="95"/>
      <c r="K896" s="95"/>
      <c r="L896" s="95"/>
      <c r="M896" s="1467" t="s">
        <v>58</v>
      </c>
      <c r="N896" s="1447">
        <f>SUM(N895:N895)</f>
        <v>14.56693681616515</v>
      </c>
      <c r="O896" s="93"/>
    </row>
    <row r="897" spans="1:15" x14ac:dyDescent="0.25">
      <c r="A897" s="107"/>
      <c r="B897" s="94"/>
      <c r="C897" s="94"/>
      <c r="D897" s="94"/>
      <c r="E897" s="94"/>
      <c r="F897" s="94"/>
      <c r="G897" s="94"/>
      <c r="H897" s="94"/>
      <c r="I897" s="94"/>
      <c r="J897" s="94"/>
      <c r="K897" s="94"/>
      <c r="L897" s="94"/>
      <c r="M897" s="94"/>
      <c r="N897" s="94"/>
      <c r="O897" s="93"/>
    </row>
    <row r="898" spans="1:15" x14ac:dyDescent="0.25">
      <c r="A898" s="1466" t="s">
        <v>67</v>
      </c>
      <c r="B898" s="1465" t="s">
        <v>106</v>
      </c>
      <c r="C898" s="1465" t="s">
        <v>66</v>
      </c>
      <c r="D898" s="1465" t="s">
        <v>65</v>
      </c>
      <c r="E898" s="1465" t="s">
        <v>64</v>
      </c>
      <c r="F898" s="1465" t="s">
        <v>40</v>
      </c>
      <c r="G898" s="1465" t="s">
        <v>105</v>
      </c>
      <c r="H898" s="1465" t="s">
        <v>104</v>
      </c>
      <c r="I898" s="1465" t="s">
        <v>58</v>
      </c>
      <c r="J898" s="95"/>
      <c r="K898" s="95"/>
      <c r="L898" s="95"/>
      <c r="M898" s="95"/>
      <c r="N898" s="95"/>
      <c r="O898" s="93"/>
    </row>
    <row r="899" spans="1:15" x14ac:dyDescent="0.25">
      <c r="A899" s="1497">
        <v>10</v>
      </c>
      <c r="B899" s="1498" t="s">
        <v>2565</v>
      </c>
      <c r="C899" s="1503" t="s">
        <v>2564</v>
      </c>
      <c r="D899" s="1501">
        <v>25</v>
      </c>
      <c r="E899" s="1498" t="s">
        <v>794</v>
      </c>
      <c r="F899" s="1497">
        <v>7.9070000000000001E-2</v>
      </c>
      <c r="G899" s="1497"/>
      <c r="H899" s="1497"/>
      <c r="I899" s="1462">
        <f>IF(H899="",D899*F899,D899*F899*H899)</f>
        <v>1.97675</v>
      </c>
      <c r="J899" s="142"/>
      <c r="K899" s="142"/>
      <c r="L899" s="142"/>
      <c r="M899" s="142"/>
      <c r="N899" s="142"/>
      <c r="O899" s="120"/>
    </row>
    <row r="900" spans="1:15" x14ac:dyDescent="0.25">
      <c r="A900" s="98"/>
      <c r="B900" s="95"/>
      <c r="C900" s="95"/>
      <c r="D900" s="95"/>
      <c r="E900" s="95"/>
      <c r="F900" s="95"/>
      <c r="G900" s="95"/>
      <c r="H900" s="1448" t="s">
        <v>58</v>
      </c>
      <c r="I900" s="1447">
        <f>SUM(I899:I899)</f>
        <v>1.97675</v>
      </c>
      <c r="J900" s="95"/>
      <c r="K900" s="95"/>
      <c r="L900" s="95"/>
      <c r="M900" s="95"/>
      <c r="N900" s="95"/>
      <c r="O900" s="93"/>
    </row>
    <row r="901" spans="1:15" x14ac:dyDescent="0.25">
      <c r="A901" s="107"/>
      <c r="B901" s="94"/>
      <c r="C901" s="94"/>
      <c r="D901" s="94"/>
      <c r="E901" s="94"/>
      <c r="F901" s="94"/>
      <c r="G901" s="94"/>
      <c r="H901" s="94"/>
      <c r="I901" s="99"/>
      <c r="J901" s="94"/>
      <c r="K901" s="94"/>
      <c r="L901" s="94"/>
      <c r="M901" s="94"/>
      <c r="N901" s="94"/>
      <c r="O901" s="93"/>
    </row>
    <row r="902" spans="1:15" ht="15.75" thickBot="1" x14ac:dyDescent="0.3">
      <c r="A902" s="92"/>
      <c r="B902" s="91"/>
      <c r="C902" s="91"/>
      <c r="D902" s="91"/>
      <c r="E902" s="91"/>
      <c r="F902" s="91"/>
      <c r="G902" s="91"/>
      <c r="H902" s="91"/>
      <c r="I902" s="91"/>
      <c r="J902" s="91"/>
      <c r="K902" s="91"/>
      <c r="L902" s="91"/>
      <c r="M902" s="91"/>
      <c r="N902" s="91"/>
      <c r="O902" s="90"/>
    </row>
    <row r="903" spans="1:15" ht="15.75" thickBot="1" x14ac:dyDescent="0.3">
      <c r="A903" s="94"/>
      <c r="B903" s="94"/>
      <c r="C903" s="94"/>
      <c r="D903" s="94"/>
      <c r="E903" s="94"/>
      <c r="F903" s="94"/>
      <c r="G903" s="94"/>
      <c r="H903" s="94"/>
      <c r="I903" s="94"/>
      <c r="J903" s="94"/>
      <c r="K903" s="94"/>
      <c r="L903" s="94"/>
      <c r="M903" s="94"/>
      <c r="N903" s="94"/>
      <c r="O903" s="94"/>
    </row>
    <row r="904" spans="1:15" x14ac:dyDescent="0.25">
      <c r="A904" s="141"/>
      <c r="B904" s="140"/>
      <c r="C904" s="140"/>
      <c r="D904" s="140"/>
      <c r="E904" s="140"/>
      <c r="F904" s="140"/>
      <c r="G904" s="140"/>
      <c r="H904" s="140"/>
      <c r="I904" s="140"/>
      <c r="J904" s="272"/>
      <c r="K904" s="140"/>
      <c r="L904" s="140"/>
      <c r="M904" s="140"/>
      <c r="N904" s="140"/>
      <c r="O904" s="139"/>
    </row>
    <row r="905" spans="1:15" x14ac:dyDescent="0.25">
      <c r="A905" s="1454" t="s">
        <v>57</v>
      </c>
      <c r="B905" s="133" t="s">
        <v>523</v>
      </c>
      <c r="C905" s="94"/>
      <c r="D905" s="94"/>
      <c r="E905" s="94"/>
      <c r="F905" s="94"/>
      <c r="G905" s="94"/>
      <c r="H905" s="94"/>
      <c r="I905" s="94"/>
      <c r="J905" s="1456" t="s">
        <v>51</v>
      </c>
      <c r="K905" s="138">
        <v>81</v>
      </c>
      <c r="L905" s="94"/>
      <c r="M905" s="1454" t="s">
        <v>113</v>
      </c>
      <c r="N905" s="100">
        <f>SU_06006_m+SU_06006_p</f>
        <v>2.9527811127747987</v>
      </c>
      <c r="O905" s="93"/>
    </row>
    <row r="906" spans="1:15" x14ac:dyDescent="0.25">
      <c r="A906" s="1454" t="s">
        <v>125</v>
      </c>
      <c r="B906" s="133" t="s">
        <v>5</v>
      </c>
      <c r="C906" s="94"/>
      <c r="D906" s="1454" t="s">
        <v>122</v>
      </c>
      <c r="E906" s="270" t="s">
        <v>522</v>
      </c>
      <c r="F906" s="94"/>
      <c r="G906" s="94"/>
      <c r="H906" s="94"/>
      <c r="I906" s="94"/>
      <c r="J906" s="94"/>
      <c r="K906" s="94"/>
      <c r="L906" s="94"/>
      <c r="M906" s="1454" t="s">
        <v>124</v>
      </c>
      <c r="N906" s="136">
        <v>2</v>
      </c>
      <c r="O906" s="93"/>
    </row>
    <row r="907" spans="1:15" x14ac:dyDescent="0.25">
      <c r="A907" s="1454" t="s">
        <v>123</v>
      </c>
      <c r="B907" s="270" t="str">
        <f>'SU Assemblies'!B288</f>
        <v>Front rocker</v>
      </c>
      <c r="C907" s="94"/>
      <c r="D907" s="1454" t="s">
        <v>119</v>
      </c>
      <c r="E907" s="94"/>
      <c r="F907" s="94"/>
      <c r="G907" s="94"/>
      <c r="H907" s="94"/>
      <c r="I907" s="94"/>
      <c r="J907" s="1455" t="s">
        <v>122</v>
      </c>
      <c r="K907" s="94"/>
      <c r="L907" s="94"/>
      <c r="M907" s="94"/>
      <c r="N907" s="94"/>
      <c r="O907" s="93"/>
    </row>
    <row r="908" spans="1:15" x14ac:dyDescent="0.25">
      <c r="A908" s="1454" t="s">
        <v>114</v>
      </c>
      <c r="B908" s="135" t="s">
        <v>2571</v>
      </c>
      <c r="C908" s="94"/>
      <c r="D908" s="1454" t="s">
        <v>116</v>
      </c>
      <c r="E908" s="94"/>
      <c r="F908" s="94"/>
      <c r="G908" s="94"/>
      <c r="H908" s="94"/>
      <c r="I908" s="94"/>
      <c r="J908" s="1455" t="s">
        <v>119</v>
      </c>
      <c r="K908" s="94"/>
      <c r="L908" s="94"/>
      <c r="M908" s="1454" t="s">
        <v>118</v>
      </c>
      <c r="N908" s="100">
        <f>N906*N905</f>
        <v>5.9055622255495974</v>
      </c>
      <c r="O908" s="93"/>
    </row>
    <row r="909" spans="1:15" x14ac:dyDescent="0.25">
      <c r="A909" s="1454" t="s">
        <v>121</v>
      </c>
      <c r="B909" s="269" t="s">
        <v>2602</v>
      </c>
      <c r="C909" s="94"/>
      <c r="D909" s="94"/>
      <c r="E909" s="94"/>
      <c r="F909" s="94"/>
      <c r="G909" s="94"/>
      <c r="H909" s="94"/>
      <c r="I909" s="94"/>
      <c r="J909" s="1455" t="s">
        <v>116</v>
      </c>
      <c r="K909" s="94"/>
      <c r="L909" s="94"/>
      <c r="M909" s="94"/>
      <c r="N909" s="94"/>
      <c r="O909" s="93"/>
    </row>
    <row r="910" spans="1:15" x14ac:dyDescent="0.25">
      <c r="A910" s="1454" t="s">
        <v>117</v>
      </c>
      <c r="B910" s="133" t="s">
        <v>23</v>
      </c>
      <c r="C910" s="94"/>
      <c r="D910" s="94"/>
      <c r="E910" s="94"/>
      <c r="F910" s="94"/>
      <c r="G910" s="94"/>
      <c r="H910" s="94"/>
      <c r="I910" s="94"/>
      <c r="J910" s="94"/>
      <c r="K910" s="94"/>
      <c r="L910" s="94"/>
      <c r="M910" s="94"/>
      <c r="N910" s="94"/>
      <c r="O910" s="93"/>
    </row>
    <row r="911" spans="1:15" x14ac:dyDescent="0.25">
      <c r="A911" s="1454" t="s">
        <v>115</v>
      </c>
      <c r="B911" s="133"/>
      <c r="C911" s="94"/>
      <c r="D911" s="94"/>
      <c r="E911" s="94"/>
      <c r="F911" s="94"/>
      <c r="G911" s="94"/>
      <c r="H911" s="94"/>
      <c r="I911" s="94"/>
      <c r="J911" s="94"/>
      <c r="K911" s="94"/>
      <c r="L911" s="94"/>
      <c r="M911" s="94"/>
      <c r="N911" s="94"/>
      <c r="O911" s="93"/>
    </row>
    <row r="912" spans="1:15" x14ac:dyDescent="0.25">
      <c r="A912" s="266"/>
      <c r="B912" s="265"/>
      <c r="C912" s="265"/>
      <c r="D912" s="265"/>
      <c r="E912" s="265"/>
      <c r="F912" s="94"/>
      <c r="G912" s="94"/>
      <c r="H912" s="94"/>
      <c r="I912" s="94"/>
      <c r="J912" s="94"/>
      <c r="K912" s="94"/>
      <c r="L912" s="94"/>
      <c r="M912" s="94"/>
      <c r="N912" s="94"/>
      <c r="O912" s="93"/>
    </row>
    <row r="913" spans="1:15" x14ac:dyDescent="0.25">
      <c r="A913" s="1453" t="s">
        <v>67</v>
      </c>
      <c r="B913" s="1452" t="s">
        <v>112</v>
      </c>
      <c r="C913" s="1452" t="s">
        <v>66</v>
      </c>
      <c r="D913" s="1452" t="s">
        <v>65</v>
      </c>
      <c r="E913" s="1452" t="s">
        <v>81</v>
      </c>
      <c r="F913" s="1465" t="s">
        <v>80</v>
      </c>
      <c r="G913" s="1465" t="s">
        <v>79</v>
      </c>
      <c r="H913" s="1465" t="s">
        <v>78</v>
      </c>
      <c r="I913" s="1465" t="s">
        <v>111</v>
      </c>
      <c r="J913" s="1465" t="s">
        <v>110</v>
      </c>
      <c r="K913" s="1465" t="s">
        <v>109</v>
      </c>
      <c r="L913" s="1465" t="s">
        <v>108</v>
      </c>
      <c r="M913" s="1465" t="s">
        <v>40</v>
      </c>
      <c r="N913" s="1465" t="s">
        <v>58</v>
      </c>
      <c r="O913" s="93"/>
    </row>
    <row r="914" spans="1:15" ht="30" x14ac:dyDescent="0.25">
      <c r="A914" s="1458">
        <v>10</v>
      </c>
      <c r="B914" s="1475" t="s">
        <v>729</v>
      </c>
      <c r="C914" s="1508" t="s">
        <v>1268</v>
      </c>
      <c r="D914" s="1507">
        <v>2.25</v>
      </c>
      <c r="E914" s="1458">
        <v>19</v>
      </c>
      <c r="F914" s="1458" t="s">
        <v>68</v>
      </c>
      <c r="G914" s="1458"/>
      <c r="H914" s="1470"/>
      <c r="I914" s="1473" t="s">
        <v>1267</v>
      </c>
      <c r="J914" s="1472">
        <f>PI()*E914/2^2/10^6</f>
        <v>1.4922565104551517E-5</v>
      </c>
      <c r="K914" s="1471">
        <v>20</v>
      </c>
      <c r="L914" s="1470">
        <v>7860</v>
      </c>
      <c r="M914" s="1469">
        <v>1</v>
      </c>
      <c r="N914" s="1505">
        <f>IF(J914="",D914*M914,D914*J914*K914*L914*M914)/100</f>
        <v>5.2781112774798716E-2</v>
      </c>
      <c r="O914" s="143"/>
    </row>
    <row r="915" spans="1:15" x14ac:dyDescent="0.25">
      <c r="A915" s="98"/>
      <c r="B915" s="95"/>
      <c r="C915" s="95"/>
      <c r="D915" s="95"/>
      <c r="E915" s="95"/>
      <c r="F915" s="95"/>
      <c r="G915" s="95"/>
      <c r="H915" s="95"/>
      <c r="I915" s="95"/>
      <c r="J915" s="95"/>
      <c r="K915" s="95"/>
      <c r="L915" s="95"/>
      <c r="M915" s="1467" t="s">
        <v>58</v>
      </c>
      <c r="N915" s="1447">
        <f>SUM(N914:N914)</f>
        <v>5.2781112774798716E-2</v>
      </c>
      <c r="O915" s="93"/>
    </row>
    <row r="916" spans="1:15" x14ac:dyDescent="0.25">
      <c r="A916" s="107"/>
      <c r="B916" s="94"/>
      <c r="C916" s="94"/>
      <c r="D916" s="94"/>
      <c r="E916" s="94"/>
      <c r="F916" s="94"/>
      <c r="G916" s="94"/>
      <c r="H916" s="94"/>
      <c r="I916" s="94"/>
      <c r="J916" s="94"/>
      <c r="K916" s="94"/>
      <c r="L916" s="94"/>
      <c r="M916" s="94"/>
      <c r="N916" s="94"/>
      <c r="O916" s="93"/>
    </row>
    <row r="917" spans="1:15" x14ac:dyDescent="0.25">
      <c r="A917" s="1466" t="s">
        <v>67</v>
      </c>
      <c r="B917" s="1465" t="s">
        <v>106</v>
      </c>
      <c r="C917" s="1465" t="s">
        <v>66</v>
      </c>
      <c r="D917" s="1465" t="s">
        <v>65</v>
      </c>
      <c r="E917" s="1465" t="s">
        <v>64</v>
      </c>
      <c r="F917" s="1465" t="s">
        <v>40</v>
      </c>
      <c r="G917" s="1465" t="s">
        <v>105</v>
      </c>
      <c r="H917" s="1465" t="s">
        <v>104</v>
      </c>
      <c r="I917" s="1465" t="s">
        <v>58</v>
      </c>
      <c r="J917" s="95"/>
      <c r="K917" s="95"/>
      <c r="L917" s="95"/>
      <c r="M917" s="95"/>
      <c r="N917" s="95"/>
      <c r="O917" s="93"/>
    </row>
    <row r="918" spans="1:15" ht="30" x14ac:dyDescent="0.25">
      <c r="A918" s="1544">
        <v>10</v>
      </c>
      <c r="B918" s="1461" t="s">
        <v>516</v>
      </c>
      <c r="C918" s="1546" t="s">
        <v>1248</v>
      </c>
      <c r="D918" s="1507">
        <v>1.3</v>
      </c>
      <c r="E918" s="1461" t="s">
        <v>64</v>
      </c>
      <c r="F918" s="1544">
        <v>1</v>
      </c>
      <c r="G918" s="1544"/>
      <c r="H918" s="1544"/>
      <c r="I918" s="1511">
        <f>IF(H918="",D918*F918,D918*F918*H918)</f>
        <v>1.3</v>
      </c>
      <c r="J918" s="95"/>
      <c r="K918" s="95"/>
      <c r="L918" s="95"/>
      <c r="M918" s="95"/>
      <c r="N918" s="95"/>
      <c r="O918" s="93"/>
    </row>
    <row r="919" spans="1:15" x14ac:dyDescent="0.25">
      <c r="A919" s="1544">
        <v>20</v>
      </c>
      <c r="B919" s="1461" t="s">
        <v>514</v>
      </c>
      <c r="C919" s="1546" t="s">
        <v>1266</v>
      </c>
      <c r="D919" s="1507">
        <v>0.04</v>
      </c>
      <c r="E919" s="1461" t="s">
        <v>512</v>
      </c>
      <c r="F919" s="1544">
        <v>2.5</v>
      </c>
      <c r="G919" s="1544" t="s">
        <v>724</v>
      </c>
      <c r="H919" s="1544">
        <v>3</v>
      </c>
      <c r="I919" s="1511">
        <f>IF(H919="",D919*F919,D919*F919*H919)</f>
        <v>0.30000000000000004</v>
      </c>
      <c r="J919" s="95"/>
      <c r="K919" s="95"/>
      <c r="L919" s="95"/>
      <c r="M919" s="95"/>
      <c r="N919" s="95"/>
      <c r="O919" s="93"/>
    </row>
    <row r="920" spans="1:15" x14ac:dyDescent="0.25">
      <c r="A920" s="1458">
        <v>30</v>
      </c>
      <c r="B920" s="1458" t="s">
        <v>1265</v>
      </c>
      <c r="C920" s="1460" t="s">
        <v>1264</v>
      </c>
      <c r="D920" s="1507">
        <v>0.65</v>
      </c>
      <c r="E920" s="1458" t="s">
        <v>64</v>
      </c>
      <c r="F920" s="1474">
        <v>1</v>
      </c>
      <c r="G920" s="1548"/>
      <c r="H920" s="1544"/>
      <c r="I920" s="1511">
        <f>IF(H920="",D920*F920,D920*F920*H920)</f>
        <v>0.65</v>
      </c>
      <c r="J920" s="142"/>
      <c r="K920" s="142"/>
      <c r="L920" s="142"/>
      <c r="M920" s="142"/>
      <c r="N920" s="142"/>
      <c r="O920" s="120"/>
    </row>
    <row r="921" spans="1:15" x14ac:dyDescent="0.25">
      <c r="A921" s="1544">
        <v>40</v>
      </c>
      <c r="B921" s="1461" t="s">
        <v>514</v>
      </c>
      <c r="C921" s="1546" t="s">
        <v>1263</v>
      </c>
      <c r="D921" s="1507">
        <v>0.04</v>
      </c>
      <c r="E921" s="1461" t="s">
        <v>512</v>
      </c>
      <c r="F921" s="1544">
        <v>2.5</v>
      </c>
      <c r="G921" s="1544" t="s">
        <v>724</v>
      </c>
      <c r="H921" s="1544">
        <v>3</v>
      </c>
      <c r="I921" s="1511">
        <f>IF(H921="",D921*F921,D921*F921*H921)</f>
        <v>0.30000000000000004</v>
      </c>
      <c r="J921" s="94"/>
      <c r="K921" s="94"/>
      <c r="L921" s="94"/>
      <c r="M921" s="94"/>
      <c r="N921" s="94"/>
      <c r="O921" s="93"/>
    </row>
    <row r="922" spans="1:15" x14ac:dyDescent="0.25">
      <c r="A922" s="1544">
        <v>50</v>
      </c>
      <c r="B922" s="1460" t="s">
        <v>1262</v>
      </c>
      <c r="C922" s="1460" t="s">
        <v>1261</v>
      </c>
      <c r="D922" s="1507">
        <v>0.35</v>
      </c>
      <c r="E922" s="1458"/>
      <c r="F922" s="1474">
        <v>1</v>
      </c>
      <c r="G922" s="1548"/>
      <c r="H922" s="1544"/>
      <c r="I922" s="1511">
        <f>IF(H922="",D922*F922,D922*F922*H922)</f>
        <v>0.35</v>
      </c>
      <c r="J922" s="99"/>
      <c r="K922" s="99"/>
      <c r="L922" s="99"/>
      <c r="M922" s="99"/>
      <c r="N922" s="99"/>
      <c r="O922" s="130"/>
    </row>
    <row r="923" spans="1:15" x14ac:dyDescent="0.25">
      <c r="A923" s="98"/>
      <c r="B923" s="95"/>
      <c r="C923" s="95"/>
      <c r="D923" s="95"/>
      <c r="E923" s="95"/>
      <c r="F923" s="95"/>
      <c r="G923" s="95"/>
      <c r="H923" s="1448" t="s">
        <v>58</v>
      </c>
      <c r="I923" s="1447">
        <f>SUM(I918:I922)</f>
        <v>2.9</v>
      </c>
      <c r="J923" s="95"/>
      <c r="K923" s="95"/>
      <c r="L923" s="95"/>
      <c r="M923" s="95"/>
      <c r="N923" s="95"/>
      <c r="O923" s="93"/>
    </row>
    <row r="924" spans="1:15" x14ac:dyDescent="0.25">
      <c r="A924" s="107"/>
      <c r="B924" s="94"/>
      <c r="C924" s="94"/>
      <c r="D924" s="94"/>
      <c r="E924" s="94"/>
      <c r="F924" s="94"/>
      <c r="G924" s="94"/>
      <c r="H924" s="94"/>
      <c r="I924" s="99"/>
      <c r="J924" s="94"/>
      <c r="K924" s="94"/>
      <c r="L924" s="94"/>
      <c r="M924" s="94"/>
      <c r="N924" s="94"/>
      <c r="O924" s="93"/>
    </row>
    <row r="925" spans="1:15" ht="15.75" thickBot="1" x14ac:dyDescent="0.3">
      <c r="A925" s="92"/>
      <c r="B925" s="91"/>
      <c r="C925" s="91"/>
      <c r="D925" s="91"/>
      <c r="E925" s="91"/>
      <c r="F925" s="91"/>
      <c r="G925" s="91"/>
      <c r="H925" s="91"/>
      <c r="I925" s="91"/>
      <c r="J925" s="91"/>
      <c r="K925" s="91"/>
      <c r="L925" s="91"/>
      <c r="M925" s="91"/>
      <c r="N925" s="91"/>
      <c r="O925" s="90"/>
    </row>
    <row r="926" spans="1:15" ht="15.75" thickBot="1" x14ac:dyDescent="0.3">
      <c r="A926" s="94"/>
      <c r="B926" s="94"/>
      <c r="C926" s="94"/>
      <c r="D926" s="94"/>
      <c r="E926" s="94"/>
      <c r="F926" s="94"/>
      <c r="G926" s="94"/>
      <c r="H926" s="94"/>
      <c r="I926" s="94"/>
      <c r="J926" s="94"/>
      <c r="K926" s="94"/>
      <c r="L926" s="94"/>
      <c r="M926" s="94"/>
      <c r="N926" s="94"/>
      <c r="O926" s="94"/>
    </row>
    <row r="927" spans="1:15" x14ac:dyDescent="0.25">
      <c r="A927" s="141"/>
      <c r="B927" s="140"/>
      <c r="C927" s="140"/>
      <c r="D927" s="140"/>
      <c r="E927" s="140"/>
      <c r="F927" s="140"/>
      <c r="G927" s="140"/>
      <c r="H927" s="140"/>
      <c r="I927" s="140"/>
      <c r="J927" s="272"/>
      <c r="K927" s="140"/>
      <c r="L927" s="140"/>
      <c r="M927" s="140"/>
      <c r="N927" s="140"/>
      <c r="O927" s="139"/>
    </row>
    <row r="928" spans="1:15" x14ac:dyDescent="0.25">
      <c r="A928" s="1454" t="s">
        <v>57</v>
      </c>
      <c r="B928" s="133" t="s">
        <v>523</v>
      </c>
      <c r="C928" s="94"/>
      <c r="D928" s="94"/>
      <c r="E928" s="94"/>
      <c r="F928" s="94"/>
      <c r="G928" s="94"/>
      <c r="H928" s="94"/>
      <c r="I928" s="94"/>
      <c r="J928" s="1456" t="s">
        <v>51</v>
      </c>
      <c r="K928" s="138">
        <v>81</v>
      </c>
      <c r="L928" s="94"/>
      <c r="M928" s="1454" t="s">
        <v>113</v>
      </c>
      <c r="N928" s="100">
        <f>SU_07001_m</f>
        <v>305</v>
      </c>
      <c r="O928" s="93"/>
    </row>
    <row r="929" spans="1:15" x14ac:dyDescent="0.25">
      <c r="A929" s="1454" t="s">
        <v>125</v>
      </c>
      <c r="B929" s="133" t="s">
        <v>5</v>
      </c>
      <c r="C929" s="94"/>
      <c r="D929" s="1454" t="s">
        <v>122</v>
      </c>
      <c r="E929" s="94"/>
      <c r="F929" s="94"/>
      <c r="G929" s="94"/>
      <c r="H929" s="94"/>
      <c r="I929" s="94"/>
      <c r="J929" s="94"/>
      <c r="K929" s="94"/>
      <c r="L929" s="94"/>
      <c r="M929" s="1454" t="s">
        <v>124</v>
      </c>
      <c r="N929" s="136">
        <v>1</v>
      </c>
      <c r="O929" s="93"/>
    </row>
    <row r="930" spans="1:15" x14ac:dyDescent="0.25">
      <c r="A930" s="1454" t="s">
        <v>123</v>
      </c>
      <c r="B930" s="270" t="str">
        <f>'SU Assemblies'!B342</f>
        <v>Rear suspension</v>
      </c>
      <c r="C930" s="94"/>
      <c r="D930" s="1454" t="s">
        <v>119</v>
      </c>
      <c r="E930" s="94"/>
      <c r="F930" s="94"/>
      <c r="G930" s="94"/>
      <c r="H930" s="94"/>
      <c r="I930" s="94"/>
      <c r="J930" s="1455" t="s">
        <v>122</v>
      </c>
      <c r="K930" s="94"/>
      <c r="L930" s="94"/>
      <c r="M930" s="94"/>
      <c r="N930" s="94"/>
      <c r="O930" s="93"/>
    </row>
    <row r="931" spans="1:15" x14ac:dyDescent="0.25">
      <c r="A931" s="1454" t="s">
        <v>114</v>
      </c>
      <c r="B931" s="135" t="s">
        <v>2601</v>
      </c>
      <c r="C931" s="94"/>
      <c r="D931" s="1454" t="s">
        <v>116</v>
      </c>
      <c r="E931" s="94"/>
      <c r="F931" s="94"/>
      <c r="G931" s="94"/>
      <c r="H931" s="94"/>
      <c r="I931" s="94"/>
      <c r="J931" s="1455" t="s">
        <v>119</v>
      </c>
      <c r="K931" s="94"/>
      <c r="L931" s="94"/>
      <c r="M931" s="1454" t="s">
        <v>118</v>
      </c>
      <c r="N931" s="100">
        <f>N929*N928</f>
        <v>305</v>
      </c>
      <c r="O931" s="93"/>
    </row>
    <row r="932" spans="1:15" x14ac:dyDescent="0.25">
      <c r="A932" s="1454" t="s">
        <v>121</v>
      </c>
      <c r="B932" s="269" t="s">
        <v>2600</v>
      </c>
      <c r="C932" s="94"/>
      <c r="D932" s="94"/>
      <c r="E932" s="94"/>
      <c r="F932" s="94"/>
      <c r="G932" s="94"/>
      <c r="H932" s="94"/>
      <c r="I932" s="94"/>
      <c r="J932" s="1455" t="s">
        <v>116</v>
      </c>
      <c r="K932" s="94"/>
      <c r="L932" s="94"/>
      <c r="M932" s="94"/>
      <c r="N932" s="94"/>
      <c r="O932" s="93"/>
    </row>
    <row r="933" spans="1:15" x14ac:dyDescent="0.25">
      <c r="A933" s="1454" t="s">
        <v>117</v>
      </c>
      <c r="B933" s="133" t="s">
        <v>23</v>
      </c>
      <c r="C933" s="94"/>
      <c r="D933" s="94"/>
      <c r="E933" s="94"/>
      <c r="F933" s="94"/>
      <c r="G933" s="94"/>
      <c r="H933" s="94"/>
      <c r="I933" s="94"/>
      <c r="J933" s="94"/>
      <c r="K933" s="94"/>
      <c r="L933" s="94"/>
      <c r="M933" s="94"/>
      <c r="N933" s="94"/>
      <c r="O933" s="93"/>
    </row>
    <row r="934" spans="1:15" x14ac:dyDescent="0.25">
      <c r="A934" s="1454" t="s">
        <v>115</v>
      </c>
      <c r="B934" s="133" t="s">
        <v>2599</v>
      </c>
      <c r="C934" s="94"/>
      <c r="D934" s="94"/>
      <c r="E934" s="94"/>
      <c r="F934" s="94"/>
      <c r="G934" s="94"/>
      <c r="H934" s="94"/>
      <c r="I934" s="94"/>
      <c r="J934" s="94"/>
      <c r="K934" s="94"/>
      <c r="L934" s="94"/>
      <c r="M934" s="94"/>
      <c r="N934" s="94"/>
      <c r="O934" s="93"/>
    </row>
    <row r="935" spans="1:15" x14ac:dyDescent="0.25">
      <c r="A935" s="266"/>
      <c r="B935" s="265"/>
      <c r="C935" s="265"/>
      <c r="D935" s="265"/>
      <c r="E935" s="265"/>
      <c r="F935" s="94"/>
      <c r="G935" s="94"/>
      <c r="H935" s="94"/>
      <c r="I935" s="94"/>
      <c r="J935" s="94"/>
      <c r="K935" s="94"/>
      <c r="L935" s="94"/>
      <c r="M935" s="94"/>
      <c r="N935" s="94"/>
      <c r="O935" s="93"/>
    </row>
    <row r="936" spans="1:15" x14ac:dyDescent="0.25">
      <c r="A936" s="1453" t="s">
        <v>67</v>
      </c>
      <c r="B936" s="1452" t="s">
        <v>112</v>
      </c>
      <c r="C936" s="1452" t="s">
        <v>66</v>
      </c>
      <c r="D936" s="1452" t="s">
        <v>65</v>
      </c>
      <c r="E936" s="1452" t="s">
        <v>81</v>
      </c>
      <c r="F936" s="1465" t="s">
        <v>80</v>
      </c>
      <c r="G936" s="1465" t="s">
        <v>79</v>
      </c>
      <c r="H936" s="1465" t="s">
        <v>78</v>
      </c>
      <c r="I936" s="1465" t="s">
        <v>111</v>
      </c>
      <c r="J936" s="1465" t="s">
        <v>110</v>
      </c>
      <c r="K936" s="1465" t="s">
        <v>109</v>
      </c>
      <c r="L936" s="1465" t="s">
        <v>108</v>
      </c>
      <c r="M936" s="1465" t="s">
        <v>40</v>
      </c>
      <c r="N936" s="1465" t="s">
        <v>58</v>
      </c>
      <c r="O936" s="93"/>
    </row>
    <row r="937" spans="1:15" x14ac:dyDescent="0.25">
      <c r="A937" s="1557">
        <v>10</v>
      </c>
      <c r="B937" s="1560" t="s">
        <v>2598</v>
      </c>
      <c r="C937" s="1557" t="s">
        <v>2597</v>
      </c>
      <c r="D937" s="1533">
        <v>305</v>
      </c>
      <c r="E937" s="1557"/>
      <c r="F937" s="1557"/>
      <c r="G937" s="1557"/>
      <c r="H937" s="1531"/>
      <c r="I937" s="1556"/>
      <c r="J937" s="1555"/>
      <c r="K937" s="1528"/>
      <c r="L937" s="1559"/>
      <c r="M937" s="1558">
        <v>1</v>
      </c>
      <c r="N937" s="1468">
        <f>IF(J937="",D937*M937,D937*J937*K937*L937*M937)</f>
        <v>305</v>
      </c>
      <c r="O937" s="143"/>
    </row>
    <row r="938" spans="1:15" x14ac:dyDescent="0.25">
      <c r="A938" s="98"/>
      <c r="B938" s="95"/>
      <c r="C938" s="95"/>
      <c r="D938" s="95"/>
      <c r="E938" s="95"/>
      <c r="F938" s="95"/>
      <c r="G938" s="95"/>
      <c r="H938" s="95"/>
      <c r="I938" s="95"/>
      <c r="J938" s="95"/>
      <c r="K938" s="95"/>
      <c r="L938" s="95"/>
      <c r="M938" s="1467" t="s">
        <v>58</v>
      </c>
      <c r="N938" s="1447">
        <f>SUM(N937:N937)</f>
        <v>305</v>
      </c>
      <c r="O938" s="93"/>
    </row>
    <row r="939" spans="1:15" x14ac:dyDescent="0.25">
      <c r="A939" s="107"/>
      <c r="B939" s="94"/>
      <c r="C939" s="94"/>
      <c r="D939" s="94"/>
      <c r="E939" s="94"/>
      <c r="F939" s="94"/>
      <c r="G939" s="94"/>
      <c r="H939" s="94"/>
      <c r="I939" s="94"/>
      <c r="J939" s="94"/>
      <c r="K939" s="94"/>
      <c r="L939" s="94"/>
      <c r="M939" s="94"/>
      <c r="N939" s="94"/>
      <c r="O939" s="93"/>
    </row>
    <row r="940" spans="1:15" ht="15.75" thickBot="1" x14ac:dyDescent="0.3">
      <c r="A940" s="92"/>
      <c r="B940" s="91"/>
      <c r="C940" s="91"/>
      <c r="D940" s="91"/>
      <c r="E940" s="91"/>
      <c r="F940" s="91"/>
      <c r="G940" s="91"/>
      <c r="H940" s="91"/>
      <c r="I940" s="91"/>
      <c r="J940" s="91"/>
      <c r="K940" s="91"/>
      <c r="L940" s="91"/>
      <c r="M940" s="91"/>
      <c r="N940" s="91"/>
      <c r="O940" s="90"/>
    </row>
    <row r="941" spans="1:15" ht="15.75" thickBot="1" x14ac:dyDescent="0.3"/>
    <row r="942" spans="1:15" x14ac:dyDescent="0.25">
      <c r="A942" s="141"/>
      <c r="B942" s="140"/>
      <c r="C942" s="140"/>
      <c r="D942" s="140"/>
      <c r="E942" s="140"/>
      <c r="F942" s="140"/>
      <c r="G942" s="140"/>
      <c r="H942" s="140"/>
      <c r="I942" s="140"/>
      <c r="J942" s="272"/>
      <c r="K942" s="140"/>
      <c r="L942" s="140"/>
      <c r="M942" s="140"/>
      <c r="N942" s="140"/>
      <c r="O942" s="139"/>
    </row>
    <row r="943" spans="1:15" x14ac:dyDescent="0.25">
      <c r="A943" s="1454" t="s">
        <v>57</v>
      </c>
      <c r="B943" s="133" t="s">
        <v>523</v>
      </c>
      <c r="C943" s="94"/>
      <c r="D943" s="94"/>
      <c r="E943" s="94"/>
      <c r="F943" s="94"/>
      <c r="G943" s="94"/>
      <c r="H943" s="94"/>
      <c r="I943" s="94"/>
      <c r="J943" s="1456" t="s">
        <v>51</v>
      </c>
      <c r="K943" s="138">
        <v>81</v>
      </c>
      <c r="L943" s="94"/>
      <c r="M943" s="1454" t="s">
        <v>113</v>
      </c>
      <c r="N943" s="100">
        <f>SU_07002_m</f>
        <v>25</v>
      </c>
      <c r="O943" s="93"/>
    </row>
    <row r="944" spans="1:15" x14ac:dyDescent="0.25">
      <c r="A944" s="1454" t="s">
        <v>125</v>
      </c>
      <c r="B944" s="133" t="s">
        <v>5</v>
      </c>
      <c r="C944" s="94"/>
      <c r="D944" s="1454" t="s">
        <v>122</v>
      </c>
      <c r="E944" s="94"/>
      <c r="F944" s="94"/>
      <c r="G944" s="94"/>
      <c r="H944" s="94"/>
      <c r="I944" s="94"/>
      <c r="J944" s="94"/>
      <c r="K944" s="94"/>
      <c r="L944" s="94"/>
      <c r="M944" s="1454" t="s">
        <v>124</v>
      </c>
      <c r="N944" s="136">
        <v>1</v>
      </c>
      <c r="O944" s="93"/>
    </row>
    <row r="945" spans="1:15" x14ac:dyDescent="0.25">
      <c r="A945" s="1454" t="s">
        <v>123</v>
      </c>
      <c r="B945" s="270" t="str">
        <f>'SU Assemblies'!B342</f>
        <v>Rear suspension</v>
      </c>
      <c r="C945" s="94"/>
      <c r="D945" s="1454" t="s">
        <v>119</v>
      </c>
      <c r="E945" s="94"/>
      <c r="F945" s="94"/>
      <c r="G945" s="94"/>
      <c r="H945" s="94"/>
      <c r="I945" s="94"/>
      <c r="J945" s="1455" t="s">
        <v>122</v>
      </c>
      <c r="K945" s="94"/>
      <c r="L945" s="94"/>
      <c r="M945" s="94"/>
      <c r="N945" s="94"/>
      <c r="O945" s="93"/>
    </row>
    <row r="946" spans="1:15" x14ac:dyDescent="0.25">
      <c r="A946" s="1454" t="s">
        <v>114</v>
      </c>
      <c r="B946" s="135" t="s">
        <v>2596</v>
      </c>
      <c r="C946" s="94"/>
      <c r="D946" s="1454" t="s">
        <v>116</v>
      </c>
      <c r="E946" s="94"/>
      <c r="F946" s="94"/>
      <c r="G946" s="94"/>
      <c r="H946" s="94"/>
      <c r="I946" s="94"/>
      <c r="J946" s="1455" t="s">
        <v>119</v>
      </c>
      <c r="K946" s="94"/>
      <c r="L946" s="94"/>
      <c r="M946" s="1454" t="s">
        <v>118</v>
      </c>
      <c r="N946" s="100">
        <f>N944*N943</f>
        <v>25</v>
      </c>
      <c r="O946" s="93"/>
    </row>
    <row r="947" spans="1:15" x14ac:dyDescent="0.25">
      <c r="A947" s="1454" t="s">
        <v>121</v>
      </c>
      <c r="B947" s="269" t="s">
        <v>2595</v>
      </c>
      <c r="C947" s="94"/>
      <c r="D947" s="94"/>
      <c r="E947" s="94"/>
      <c r="F947" s="94"/>
      <c r="G947" s="94"/>
      <c r="H947" s="94"/>
      <c r="I947" s="94"/>
      <c r="J947" s="1455" t="s">
        <v>116</v>
      </c>
      <c r="K947" s="94"/>
      <c r="L947" s="94"/>
      <c r="M947" s="94"/>
      <c r="N947" s="94"/>
      <c r="O947" s="93"/>
    </row>
    <row r="948" spans="1:15" x14ac:dyDescent="0.25">
      <c r="A948" s="1454" t="s">
        <v>117</v>
      </c>
      <c r="B948" s="133" t="s">
        <v>23</v>
      </c>
      <c r="C948" s="94"/>
      <c r="D948" s="94"/>
      <c r="E948" s="94"/>
      <c r="F948" s="94"/>
      <c r="G948" s="94"/>
      <c r="H948" s="94"/>
      <c r="I948" s="94"/>
      <c r="J948" s="94"/>
      <c r="K948" s="94"/>
      <c r="L948" s="94"/>
      <c r="M948" s="94"/>
      <c r="N948" s="94"/>
      <c r="O948" s="93"/>
    </row>
    <row r="949" spans="1:15" x14ac:dyDescent="0.25">
      <c r="A949" s="1454" t="s">
        <v>115</v>
      </c>
      <c r="B949" s="133"/>
      <c r="C949" s="94"/>
      <c r="D949" s="94"/>
      <c r="E949" s="94"/>
      <c r="F949" s="94"/>
      <c r="G949" s="94"/>
      <c r="H949" s="94"/>
      <c r="I949" s="94"/>
      <c r="J949" s="94"/>
      <c r="K949" s="94"/>
      <c r="L949" s="94"/>
      <c r="M949" s="94"/>
      <c r="N949" s="94"/>
      <c r="O949" s="93"/>
    </row>
    <row r="950" spans="1:15" x14ac:dyDescent="0.25">
      <c r="A950" s="266"/>
      <c r="B950" s="265"/>
      <c r="C950" s="265"/>
      <c r="D950" s="265"/>
      <c r="E950" s="265"/>
      <c r="F950" s="94"/>
      <c r="G950" s="94"/>
      <c r="H950" s="94"/>
      <c r="I950" s="94"/>
      <c r="J950" s="94"/>
      <c r="K950" s="94"/>
      <c r="L950" s="94"/>
      <c r="M950" s="94"/>
      <c r="N950" s="94"/>
      <c r="O950" s="93"/>
    </row>
    <row r="951" spans="1:15" x14ac:dyDescent="0.25">
      <c r="A951" s="1453" t="s">
        <v>67</v>
      </c>
      <c r="B951" s="1452" t="s">
        <v>112</v>
      </c>
      <c r="C951" s="1452" t="s">
        <v>66</v>
      </c>
      <c r="D951" s="1452" t="s">
        <v>65</v>
      </c>
      <c r="E951" s="1452" t="s">
        <v>81</v>
      </c>
      <c r="F951" s="1465" t="s">
        <v>80</v>
      </c>
      <c r="G951" s="1465" t="s">
        <v>79</v>
      </c>
      <c r="H951" s="1465" t="s">
        <v>78</v>
      </c>
      <c r="I951" s="1465" t="s">
        <v>111</v>
      </c>
      <c r="J951" s="1465" t="s">
        <v>110</v>
      </c>
      <c r="K951" s="1465" t="s">
        <v>109</v>
      </c>
      <c r="L951" s="1465" t="s">
        <v>108</v>
      </c>
      <c r="M951" s="1465" t="s">
        <v>40</v>
      </c>
      <c r="N951" s="1465" t="s">
        <v>58</v>
      </c>
      <c r="O951" s="93"/>
    </row>
    <row r="952" spans="1:15" ht="30" x14ac:dyDescent="0.25">
      <c r="A952" s="1557">
        <v>10</v>
      </c>
      <c r="B952" s="1475" t="s">
        <v>2594</v>
      </c>
      <c r="C952" s="1460" t="s">
        <v>2593</v>
      </c>
      <c r="D952" s="1533">
        <v>25</v>
      </c>
      <c r="E952" s="1557"/>
      <c r="F952" s="1557"/>
      <c r="G952" s="1557"/>
      <c r="H952" s="1531"/>
      <c r="I952" s="1556"/>
      <c r="J952" s="1555"/>
      <c r="K952" s="1528"/>
      <c r="L952" s="1554"/>
      <c r="M952" s="1544">
        <v>1</v>
      </c>
      <c r="N952" s="1468">
        <f>IF(J952="",D952*M952,D952*J952*K952*L952*M952)</f>
        <v>25</v>
      </c>
      <c r="O952" s="143"/>
    </row>
    <row r="953" spans="1:15" x14ac:dyDescent="0.25">
      <c r="A953" s="98"/>
      <c r="B953" s="95"/>
      <c r="C953" s="95"/>
      <c r="D953" s="95"/>
      <c r="E953" s="95"/>
      <c r="F953" s="95"/>
      <c r="G953" s="95"/>
      <c r="H953" s="95"/>
      <c r="I953" s="95"/>
      <c r="J953" s="95"/>
      <c r="K953" s="95"/>
      <c r="L953" s="95"/>
      <c r="M953" s="1467" t="s">
        <v>58</v>
      </c>
      <c r="N953" s="1447">
        <f>SUM(N952:N952)</f>
        <v>25</v>
      </c>
      <c r="O953" s="93"/>
    </row>
    <row r="954" spans="1:15" x14ac:dyDescent="0.25">
      <c r="A954" s="107"/>
      <c r="B954" s="94"/>
      <c r="C954" s="94"/>
      <c r="D954" s="94"/>
      <c r="E954" s="94"/>
      <c r="F954" s="94"/>
      <c r="G954" s="94"/>
      <c r="H954" s="94"/>
      <c r="I954" s="94"/>
      <c r="J954" s="94"/>
      <c r="K954" s="94"/>
      <c r="L954" s="94"/>
      <c r="M954" s="94"/>
      <c r="N954" s="94"/>
      <c r="O954" s="93"/>
    </row>
    <row r="955" spans="1:15" ht="15.75" thickBot="1" x14ac:dyDescent="0.3">
      <c r="A955" s="92"/>
      <c r="B955" s="91"/>
      <c r="C955" s="91"/>
      <c r="D955" s="91"/>
      <c r="E955" s="91"/>
      <c r="F955" s="91"/>
      <c r="G955" s="91"/>
      <c r="H955" s="91"/>
      <c r="I955" s="91"/>
      <c r="J955" s="91"/>
      <c r="K955" s="91"/>
      <c r="L955" s="91"/>
      <c r="M955" s="91"/>
      <c r="N955" s="91"/>
      <c r="O955" s="90"/>
    </row>
    <row r="956" spans="1:15" ht="15.75" thickBot="1" x14ac:dyDescent="0.3"/>
    <row r="957" spans="1:15" x14ac:dyDescent="0.25">
      <c r="A957" s="141"/>
      <c r="B957" s="140"/>
      <c r="C957" s="140"/>
      <c r="D957" s="140"/>
      <c r="E957" s="140"/>
      <c r="F957" s="140"/>
      <c r="G957" s="140"/>
      <c r="H957" s="140"/>
      <c r="I957" s="140"/>
      <c r="J957" s="272"/>
      <c r="K957" s="140"/>
      <c r="L957" s="140"/>
      <c r="M957" s="140"/>
      <c r="N957" s="140"/>
      <c r="O957" s="139"/>
    </row>
    <row r="958" spans="1:15" x14ac:dyDescent="0.25">
      <c r="A958" s="1454" t="s">
        <v>57</v>
      </c>
      <c r="B958" s="133" t="s">
        <v>523</v>
      </c>
      <c r="C958" s="94"/>
      <c r="D958" s="94"/>
      <c r="E958" s="94"/>
      <c r="F958" s="94"/>
      <c r="G958" s="94"/>
      <c r="H958" s="94"/>
      <c r="I958" s="94"/>
      <c r="J958" s="1456" t="s">
        <v>51</v>
      </c>
      <c r="K958" s="138">
        <v>81</v>
      </c>
      <c r="L958" s="94"/>
      <c r="M958" s="1454" t="s">
        <v>113</v>
      </c>
      <c r="N958" s="100">
        <f>SU_07003_m+SU_07003_p</f>
        <v>7.9894075000000004</v>
      </c>
      <c r="O958" s="93"/>
    </row>
    <row r="959" spans="1:15" x14ac:dyDescent="0.25">
      <c r="A959" s="1454" t="s">
        <v>125</v>
      </c>
      <c r="B959" s="133" t="s">
        <v>5</v>
      </c>
      <c r="C959" s="94"/>
      <c r="D959" s="1454" t="s">
        <v>122</v>
      </c>
      <c r="E959" s="270" t="s">
        <v>522</v>
      </c>
      <c r="F959" s="94"/>
      <c r="G959" s="94"/>
      <c r="H959" s="94"/>
      <c r="I959" s="94"/>
      <c r="J959" s="94"/>
      <c r="K959" s="94"/>
      <c r="L959" s="94"/>
      <c r="M959" s="1454" t="s">
        <v>124</v>
      </c>
      <c r="N959" s="136">
        <v>1</v>
      </c>
      <c r="O959" s="93"/>
    </row>
    <row r="960" spans="1:15" x14ac:dyDescent="0.25">
      <c r="A960" s="1454" t="s">
        <v>123</v>
      </c>
      <c r="B960" s="270" t="str">
        <f>'SU Assemblies'!B342</f>
        <v>Rear suspension</v>
      </c>
      <c r="C960" s="94"/>
      <c r="D960" s="1454" t="s">
        <v>119</v>
      </c>
      <c r="E960" s="94"/>
      <c r="F960" s="94"/>
      <c r="G960" s="94"/>
      <c r="H960" s="94"/>
      <c r="I960" s="94"/>
      <c r="J960" s="1455" t="s">
        <v>122</v>
      </c>
      <c r="K960" s="94"/>
      <c r="L960" s="94"/>
      <c r="M960" s="94"/>
      <c r="N960" s="94"/>
      <c r="O960" s="93"/>
    </row>
    <row r="961" spans="1:15" x14ac:dyDescent="0.25">
      <c r="A961" s="1454" t="s">
        <v>114</v>
      </c>
      <c r="B961" s="135" t="s">
        <v>2592</v>
      </c>
      <c r="C961" s="94"/>
      <c r="D961" s="1454" t="s">
        <v>116</v>
      </c>
      <c r="E961" s="94"/>
      <c r="F961" s="94"/>
      <c r="G961" s="94"/>
      <c r="H961" s="94"/>
      <c r="I961" s="94"/>
      <c r="J961" s="1455" t="s">
        <v>119</v>
      </c>
      <c r="K961" s="94"/>
      <c r="L961" s="94"/>
      <c r="M961" s="1454" t="s">
        <v>118</v>
      </c>
      <c r="N961" s="100">
        <f>N959*N958</f>
        <v>7.9894075000000004</v>
      </c>
      <c r="O961" s="93"/>
    </row>
    <row r="962" spans="1:15" x14ac:dyDescent="0.25">
      <c r="A962" s="1454" t="s">
        <v>121</v>
      </c>
      <c r="B962" s="269" t="s">
        <v>2591</v>
      </c>
      <c r="C962" s="94"/>
      <c r="D962" s="94"/>
      <c r="E962" s="94"/>
      <c r="F962" s="94"/>
      <c r="G962" s="94"/>
      <c r="H962" s="94"/>
      <c r="I962" s="94"/>
      <c r="J962" s="1455" t="s">
        <v>116</v>
      </c>
      <c r="K962" s="94"/>
      <c r="L962" s="94"/>
      <c r="M962" s="94"/>
      <c r="N962" s="94"/>
      <c r="O962" s="93"/>
    </row>
    <row r="963" spans="1:15" x14ac:dyDescent="0.25">
      <c r="A963" s="1454" t="s">
        <v>117</v>
      </c>
      <c r="B963" s="133" t="s">
        <v>23</v>
      </c>
      <c r="C963" s="94"/>
      <c r="D963" s="94"/>
      <c r="E963" s="94"/>
      <c r="F963" s="94"/>
      <c r="G963" s="94"/>
      <c r="H963" s="94"/>
      <c r="I963" s="94"/>
      <c r="J963" s="94"/>
      <c r="K963" s="94"/>
      <c r="L963" s="94"/>
      <c r="M963" s="94"/>
      <c r="N963" s="94"/>
      <c r="O963" s="93"/>
    </row>
    <row r="964" spans="1:15" x14ac:dyDescent="0.25">
      <c r="A964" s="1454" t="s">
        <v>115</v>
      </c>
      <c r="B964" s="194" t="s">
        <v>2590</v>
      </c>
      <c r="C964" s="94"/>
      <c r="D964" s="94"/>
      <c r="E964" s="94"/>
      <c r="F964" s="94"/>
      <c r="G964" s="94"/>
      <c r="H964" s="94"/>
      <c r="I964" s="94"/>
      <c r="J964" s="94"/>
      <c r="K964" s="94"/>
      <c r="L964" s="94"/>
      <c r="M964" s="94"/>
      <c r="N964" s="94"/>
      <c r="O964" s="93"/>
    </row>
    <row r="965" spans="1:15" x14ac:dyDescent="0.25">
      <c r="A965" s="266"/>
      <c r="B965" s="265"/>
      <c r="C965" s="265"/>
      <c r="D965" s="265"/>
      <c r="E965" s="265"/>
      <c r="F965" s="94"/>
      <c r="G965" s="94"/>
      <c r="H965" s="94"/>
      <c r="I965" s="94"/>
      <c r="J965" s="94"/>
      <c r="K965" s="94"/>
      <c r="L965" s="94"/>
      <c r="M965" s="94"/>
      <c r="N965" s="94"/>
      <c r="O965" s="93"/>
    </row>
    <row r="966" spans="1:15" x14ac:dyDescent="0.25">
      <c r="A966" s="1453" t="s">
        <v>67</v>
      </c>
      <c r="B966" s="1452" t="s">
        <v>112</v>
      </c>
      <c r="C966" s="1452" t="s">
        <v>66</v>
      </c>
      <c r="D966" s="1452" t="s">
        <v>65</v>
      </c>
      <c r="E966" s="1452" t="s">
        <v>81</v>
      </c>
      <c r="F966" s="1465" t="s">
        <v>80</v>
      </c>
      <c r="G966" s="1465" t="s">
        <v>79</v>
      </c>
      <c r="H966" s="1465" t="s">
        <v>78</v>
      </c>
      <c r="I966" s="1465" t="s">
        <v>111</v>
      </c>
      <c r="J966" s="1465" t="s">
        <v>110</v>
      </c>
      <c r="K966" s="1465" t="s">
        <v>109</v>
      </c>
      <c r="L966" s="1465" t="s">
        <v>108</v>
      </c>
      <c r="M966" s="1465" t="s">
        <v>40</v>
      </c>
      <c r="N966" s="1465" t="s">
        <v>58</v>
      </c>
      <c r="O966" s="93"/>
    </row>
    <row r="967" spans="1:15" ht="30" x14ac:dyDescent="0.25">
      <c r="A967" s="1458">
        <v>10</v>
      </c>
      <c r="B967" s="1475" t="s">
        <v>519</v>
      </c>
      <c r="C967" s="1508" t="s">
        <v>2561</v>
      </c>
      <c r="D967" s="1507">
        <v>2.25</v>
      </c>
      <c r="E967" s="1458">
        <v>30</v>
      </c>
      <c r="F967" s="1458" t="s">
        <v>68</v>
      </c>
      <c r="G967" s="1458">
        <v>30</v>
      </c>
      <c r="H967" s="1470" t="s">
        <v>68</v>
      </c>
      <c r="I967" s="1473" t="s">
        <v>2589</v>
      </c>
      <c r="J967" s="1476">
        <f>0.03*0.03</f>
        <v>8.9999999999999998E-4</v>
      </c>
      <c r="K967" s="1471">
        <v>5.5E-2</v>
      </c>
      <c r="L967" s="1470">
        <v>7860</v>
      </c>
      <c r="M967" s="1469">
        <v>1</v>
      </c>
      <c r="N967" s="1468">
        <f>IF(J967="",D967*M967,D967*J967*K967*L967*M967)</f>
        <v>0.87540750000000001</v>
      </c>
      <c r="O967" s="143"/>
    </row>
    <row r="968" spans="1:15" x14ac:dyDescent="0.25">
      <c r="A968" s="98"/>
      <c r="B968" s="95"/>
      <c r="C968" s="95"/>
      <c r="D968" s="95"/>
      <c r="E968" s="95"/>
      <c r="F968" s="95"/>
      <c r="G968" s="95"/>
      <c r="H968" s="95"/>
      <c r="I968" s="95"/>
      <c r="J968" s="95"/>
      <c r="K968" s="95"/>
      <c r="L968" s="95"/>
      <c r="M968" s="1467" t="s">
        <v>58</v>
      </c>
      <c r="N968" s="1447">
        <f>SUM(N967:N967)</f>
        <v>0.87540750000000001</v>
      </c>
      <c r="O968" s="93"/>
    </row>
    <row r="969" spans="1:15" x14ac:dyDescent="0.25">
      <c r="A969" s="107"/>
      <c r="B969" s="94"/>
      <c r="C969" s="94"/>
      <c r="D969" s="94"/>
      <c r="E969" s="94"/>
      <c r="F969" s="94"/>
      <c r="G969" s="94"/>
      <c r="H969" s="94"/>
      <c r="I969" s="94"/>
      <c r="J969" s="94"/>
      <c r="K969" s="94"/>
      <c r="L969" s="94"/>
      <c r="M969" s="94"/>
      <c r="N969" s="94"/>
      <c r="O969" s="93"/>
    </row>
    <row r="970" spans="1:15" x14ac:dyDescent="0.25">
      <c r="A970" s="1466" t="s">
        <v>67</v>
      </c>
      <c r="B970" s="1465" t="s">
        <v>106</v>
      </c>
      <c r="C970" s="1465" t="s">
        <v>66</v>
      </c>
      <c r="D970" s="1465" t="s">
        <v>65</v>
      </c>
      <c r="E970" s="1465" t="s">
        <v>64</v>
      </c>
      <c r="F970" s="1465" t="s">
        <v>40</v>
      </c>
      <c r="G970" s="1465" t="s">
        <v>105</v>
      </c>
      <c r="H970" s="1465" t="s">
        <v>104</v>
      </c>
      <c r="I970" s="1465" t="s">
        <v>58</v>
      </c>
      <c r="J970" s="95"/>
      <c r="K970" s="95"/>
      <c r="L970" s="95"/>
      <c r="M970" s="95"/>
      <c r="N970" s="95"/>
      <c r="O970" s="93"/>
    </row>
    <row r="971" spans="1:15" ht="30" x14ac:dyDescent="0.25">
      <c r="A971" s="1497">
        <v>10</v>
      </c>
      <c r="B971" s="1498" t="s">
        <v>516</v>
      </c>
      <c r="C971" s="1503" t="s">
        <v>528</v>
      </c>
      <c r="D971" s="1501">
        <v>1.3</v>
      </c>
      <c r="E971" s="1498" t="s">
        <v>64</v>
      </c>
      <c r="F971" s="1497">
        <v>1</v>
      </c>
      <c r="G971" s="1497"/>
      <c r="H971" s="1497"/>
      <c r="I971" s="1462">
        <f t="shared" ref="I971:I977" si="18">IF(H971="",D971*F971,D971*F971*H971)</f>
        <v>1.3</v>
      </c>
      <c r="J971" s="142"/>
      <c r="K971" s="142"/>
      <c r="L971" s="142"/>
      <c r="M971" s="142"/>
      <c r="N971" s="142"/>
      <c r="O971" s="120"/>
    </row>
    <row r="972" spans="1:15" x14ac:dyDescent="0.25">
      <c r="A972" s="1550">
        <v>20</v>
      </c>
      <c r="B972" s="1550" t="s">
        <v>514</v>
      </c>
      <c r="C972" s="1550" t="s">
        <v>1263</v>
      </c>
      <c r="D972" s="1551">
        <v>0.04</v>
      </c>
      <c r="E972" s="1550" t="s">
        <v>512</v>
      </c>
      <c r="F972" s="1550">
        <v>16.100000000000001</v>
      </c>
      <c r="G972" s="1550" t="s">
        <v>2557</v>
      </c>
      <c r="H972" s="1550">
        <v>3</v>
      </c>
      <c r="I972" s="1462">
        <f t="shared" si="18"/>
        <v>1.9319999999999999</v>
      </c>
      <c r="J972" s="142"/>
      <c r="K972" s="142"/>
      <c r="L972" s="142"/>
      <c r="M972" s="142"/>
      <c r="N972" s="142"/>
      <c r="O972" s="120"/>
    </row>
    <row r="973" spans="1:15" x14ac:dyDescent="0.25">
      <c r="A973" s="1497">
        <v>30</v>
      </c>
      <c r="B973" s="1497" t="s">
        <v>2177</v>
      </c>
      <c r="C973" s="1497" t="s">
        <v>1252</v>
      </c>
      <c r="D973" s="1552">
        <v>0.35</v>
      </c>
      <c r="E973" s="1497" t="s">
        <v>294</v>
      </c>
      <c r="F973" s="1497">
        <v>1</v>
      </c>
      <c r="G973" s="1497"/>
      <c r="H973" s="1497"/>
      <c r="I973" s="1462">
        <f t="shared" si="18"/>
        <v>0.35</v>
      </c>
      <c r="J973" s="142"/>
      <c r="K973" s="142"/>
      <c r="L973" s="142"/>
      <c r="M973" s="142"/>
      <c r="N973" s="142"/>
      <c r="O973" s="120"/>
    </row>
    <row r="974" spans="1:15" x14ac:dyDescent="0.25">
      <c r="A974" s="1550">
        <v>40</v>
      </c>
      <c r="B974" s="1550" t="s">
        <v>2536</v>
      </c>
      <c r="C974" s="1550"/>
      <c r="D974" s="1551">
        <v>0.65</v>
      </c>
      <c r="E974" s="1550" t="s">
        <v>64</v>
      </c>
      <c r="F974" s="1550">
        <v>1</v>
      </c>
      <c r="G974" s="1550"/>
      <c r="H974" s="1550"/>
      <c r="I974" s="1462">
        <f t="shared" si="18"/>
        <v>0.65</v>
      </c>
      <c r="J974" s="142"/>
      <c r="K974" s="142"/>
      <c r="L974" s="142"/>
      <c r="M974" s="142"/>
      <c r="N974" s="142"/>
      <c r="O974" s="120"/>
    </row>
    <row r="975" spans="1:15" x14ac:dyDescent="0.25">
      <c r="A975" s="1550">
        <v>50</v>
      </c>
      <c r="B975" s="1550" t="s">
        <v>514</v>
      </c>
      <c r="C975" s="1550" t="s">
        <v>2559</v>
      </c>
      <c r="D975" s="1551">
        <v>0.04</v>
      </c>
      <c r="E975" s="1550" t="s">
        <v>512</v>
      </c>
      <c r="F975" s="1550">
        <v>17.2</v>
      </c>
      <c r="G975" s="1550" t="s">
        <v>2557</v>
      </c>
      <c r="H975" s="1550">
        <v>3</v>
      </c>
      <c r="I975" s="1462">
        <f t="shared" si="18"/>
        <v>2.0640000000000001</v>
      </c>
      <c r="J975" s="94"/>
      <c r="K975" s="94"/>
      <c r="L975" s="94"/>
      <c r="M975" s="94"/>
      <c r="N975" s="94"/>
      <c r="O975" s="93"/>
    </row>
    <row r="976" spans="1:15" x14ac:dyDescent="0.25">
      <c r="A976" s="1550">
        <v>60</v>
      </c>
      <c r="B976" s="1550" t="s">
        <v>2536</v>
      </c>
      <c r="C976" s="1550"/>
      <c r="D976" s="1551">
        <v>0.65</v>
      </c>
      <c r="E976" s="1550" t="s">
        <v>64</v>
      </c>
      <c r="F976" s="1550">
        <v>1</v>
      </c>
      <c r="G976" s="1550"/>
      <c r="H976" s="1550"/>
      <c r="I976" s="1468">
        <f t="shared" si="18"/>
        <v>0.65</v>
      </c>
      <c r="J976" s="99"/>
      <c r="K976" s="99"/>
      <c r="L976" s="99"/>
      <c r="M976" s="99"/>
      <c r="N976" s="99"/>
      <c r="O976" s="130"/>
    </row>
    <row r="977" spans="1:15" x14ac:dyDescent="0.25">
      <c r="A977" s="1550">
        <v>70</v>
      </c>
      <c r="B977" s="1550" t="s">
        <v>514</v>
      </c>
      <c r="C977" s="1550" t="s">
        <v>951</v>
      </c>
      <c r="D977" s="1551">
        <v>0.04</v>
      </c>
      <c r="E977" s="1550" t="s">
        <v>512</v>
      </c>
      <c r="F977" s="1550">
        <v>1.4</v>
      </c>
      <c r="G977" s="1550" t="s">
        <v>2557</v>
      </c>
      <c r="H977" s="1550">
        <v>3</v>
      </c>
      <c r="I977" s="1468">
        <f t="shared" si="18"/>
        <v>0.16799999999999998</v>
      </c>
      <c r="J977" s="94"/>
      <c r="K977" s="94"/>
      <c r="L977" s="94"/>
      <c r="M977" s="94"/>
      <c r="N977" s="94"/>
      <c r="O977" s="93"/>
    </row>
    <row r="978" spans="1:15" x14ac:dyDescent="0.25">
      <c r="A978" s="98"/>
      <c r="B978" s="95"/>
      <c r="C978" s="95"/>
      <c r="D978" s="95"/>
      <c r="E978" s="95"/>
      <c r="F978" s="95"/>
      <c r="G978" s="95"/>
      <c r="H978" s="1448" t="s">
        <v>58</v>
      </c>
      <c r="I978" s="1447">
        <f>SUM(I971:I977)</f>
        <v>7.1140000000000008</v>
      </c>
      <c r="J978" s="95"/>
      <c r="K978" s="95"/>
      <c r="L978" s="95"/>
      <c r="M978" s="95"/>
      <c r="N978" s="95"/>
      <c r="O978" s="93"/>
    </row>
    <row r="979" spans="1:15" x14ac:dyDescent="0.25">
      <c r="A979" s="107"/>
      <c r="B979" s="94"/>
      <c r="C979" s="94"/>
      <c r="D979" s="94"/>
      <c r="E979" s="94"/>
      <c r="F979" s="94"/>
      <c r="G979" s="94"/>
      <c r="H979" s="94"/>
      <c r="I979" s="99"/>
      <c r="J979" s="94"/>
      <c r="K979" s="94"/>
      <c r="L979" s="94"/>
      <c r="M979" s="94"/>
      <c r="N979" s="94"/>
      <c r="O979" s="93"/>
    </row>
    <row r="980" spans="1:15" ht="15.75" thickBot="1" x14ac:dyDescent="0.3">
      <c r="A980" s="92"/>
      <c r="B980" s="91"/>
      <c r="C980" s="91"/>
      <c r="D980" s="91"/>
      <c r="E980" s="91"/>
      <c r="F980" s="91"/>
      <c r="G980" s="91"/>
      <c r="H980" s="91"/>
      <c r="I980" s="91"/>
      <c r="J980" s="91"/>
      <c r="K980" s="91"/>
      <c r="L980" s="91"/>
      <c r="M980" s="91"/>
      <c r="N980" s="91"/>
      <c r="O980" s="90"/>
    </row>
    <row r="981" spans="1:15" ht="15.75" thickBot="1" x14ac:dyDescent="0.3"/>
    <row r="982" spans="1:15" x14ac:dyDescent="0.25">
      <c r="A982" s="141"/>
      <c r="B982" s="140"/>
      <c r="C982" s="140"/>
      <c r="D982" s="140"/>
      <c r="E982" s="140"/>
      <c r="F982" s="140"/>
      <c r="G982" s="140"/>
      <c r="H982" s="140"/>
      <c r="I982" s="140"/>
      <c r="J982" s="272"/>
      <c r="K982" s="140"/>
      <c r="L982" s="140"/>
      <c r="M982" s="140"/>
      <c r="N982" s="140"/>
      <c r="O982" s="139"/>
    </row>
    <row r="983" spans="1:15" x14ac:dyDescent="0.25">
      <c r="A983" s="1454" t="s">
        <v>57</v>
      </c>
      <c r="B983" s="133" t="s">
        <v>523</v>
      </c>
      <c r="C983" s="94"/>
      <c r="D983" s="94"/>
      <c r="E983" s="94"/>
      <c r="F983" s="94"/>
      <c r="G983" s="94"/>
      <c r="H983" s="94"/>
      <c r="I983" s="94"/>
      <c r="J983" s="1456" t="s">
        <v>51</v>
      </c>
      <c r="K983" s="138">
        <v>81</v>
      </c>
      <c r="L983" s="94"/>
      <c r="M983" s="1454" t="s">
        <v>113</v>
      </c>
      <c r="N983" s="100">
        <f>SU_07004_m+SU_07004_p</f>
        <v>1.6884895769514321</v>
      </c>
      <c r="O983" s="93"/>
    </row>
    <row r="984" spans="1:15" x14ac:dyDescent="0.25">
      <c r="A984" s="1454" t="s">
        <v>125</v>
      </c>
      <c r="B984" s="133" t="s">
        <v>5</v>
      </c>
      <c r="C984" s="94"/>
      <c r="D984" s="1454" t="s">
        <v>122</v>
      </c>
      <c r="E984" s="94"/>
      <c r="F984" s="94"/>
      <c r="G984" s="94"/>
      <c r="H984" s="94"/>
      <c r="I984" s="94"/>
      <c r="J984" s="94"/>
      <c r="K984" s="94"/>
      <c r="L984" s="94"/>
      <c r="M984" s="1454" t="s">
        <v>124</v>
      </c>
      <c r="N984" s="136">
        <v>2</v>
      </c>
      <c r="O984" s="93"/>
    </row>
    <row r="985" spans="1:15" x14ac:dyDescent="0.25">
      <c r="A985" s="1454" t="s">
        <v>123</v>
      </c>
      <c r="B985" s="270" t="str">
        <f>'SU Assemblies'!B342</f>
        <v>Rear suspension</v>
      </c>
      <c r="C985" s="94"/>
      <c r="D985" s="1454" t="s">
        <v>119</v>
      </c>
      <c r="E985" s="94"/>
      <c r="F985" s="94"/>
      <c r="G985" s="94"/>
      <c r="H985" s="94"/>
      <c r="I985" s="94"/>
      <c r="J985" s="1455" t="s">
        <v>122</v>
      </c>
      <c r="K985" s="94"/>
      <c r="L985" s="94"/>
      <c r="M985" s="94"/>
      <c r="N985" s="94"/>
      <c r="O985" s="93"/>
    </row>
    <row r="986" spans="1:15" x14ac:dyDescent="0.25">
      <c r="A986" s="1454" t="s">
        <v>114</v>
      </c>
      <c r="B986" s="135" t="s">
        <v>1104</v>
      </c>
      <c r="C986" s="94"/>
      <c r="D986" s="1454" t="s">
        <v>116</v>
      </c>
      <c r="E986" s="94"/>
      <c r="F986" s="94"/>
      <c r="G986" s="94"/>
      <c r="H986" s="94"/>
      <c r="I986" s="94"/>
      <c r="J986" s="1455" t="s">
        <v>119</v>
      </c>
      <c r="K986" s="94"/>
      <c r="L986" s="94"/>
      <c r="M986" s="1454" t="s">
        <v>118</v>
      </c>
      <c r="N986" s="100">
        <f>N984*N983</f>
        <v>3.3769791539028642</v>
      </c>
      <c r="O986" s="93"/>
    </row>
    <row r="987" spans="1:15" x14ac:dyDescent="0.25">
      <c r="A987" s="1454" t="s">
        <v>121</v>
      </c>
      <c r="B987" s="269" t="s">
        <v>2588</v>
      </c>
      <c r="C987" s="94"/>
      <c r="D987" s="94"/>
      <c r="E987" s="94"/>
      <c r="F987" s="94"/>
      <c r="G987" s="94"/>
      <c r="H987" s="94"/>
      <c r="I987" s="94"/>
      <c r="J987" s="1455" t="s">
        <v>116</v>
      </c>
      <c r="K987" s="94"/>
      <c r="L987" s="94"/>
      <c r="M987" s="94"/>
      <c r="N987" s="94"/>
      <c r="O987" s="93"/>
    </row>
    <row r="988" spans="1:15" x14ac:dyDescent="0.25">
      <c r="A988" s="1454" t="s">
        <v>117</v>
      </c>
      <c r="B988" s="133" t="s">
        <v>23</v>
      </c>
      <c r="C988" s="94"/>
      <c r="D988" s="94"/>
      <c r="E988" s="94"/>
      <c r="F988" s="94"/>
      <c r="G988" s="94"/>
      <c r="H988" s="94"/>
      <c r="I988" s="94"/>
      <c r="J988" s="94"/>
      <c r="K988" s="94"/>
      <c r="L988" s="94"/>
      <c r="M988" s="94"/>
      <c r="N988" s="94"/>
      <c r="O988" s="93"/>
    </row>
    <row r="989" spans="1:15" x14ac:dyDescent="0.25">
      <c r="A989" s="1454" t="s">
        <v>115</v>
      </c>
      <c r="B989" s="133" t="s">
        <v>2587</v>
      </c>
      <c r="C989" s="94"/>
      <c r="D989" s="94"/>
      <c r="E989" s="94"/>
      <c r="F989" s="94"/>
      <c r="G989" s="94"/>
      <c r="H989" s="94"/>
      <c r="I989" s="94"/>
      <c r="J989" s="94"/>
      <c r="K989" s="94"/>
      <c r="L989" s="94"/>
      <c r="M989" s="94"/>
      <c r="N989" s="94"/>
      <c r="O989" s="93"/>
    </row>
    <row r="990" spans="1:15" x14ac:dyDescent="0.25">
      <c r="A990" s="266"/>
      <c r="B990" s="265"/>
      <c r="C990" s="265"/>
      <c r="D990" s="265"/>
      <c r="E990" s="265"/>
      <c r="F990" s="94"/>
      <c r="G990" s="94"/>
      <c r="H990" s="94"/>
      <c r="I990" s="94"/>
      <c r="J990" s="94"/>
      <c r="K990" s="94"/>
      <c r="L990" s="94"/>
      <c r="M990" s="94"/>
      <c r="N990" s="94"/>
      <c r="O990" s="93"/>
    </row>
    <row r="991" spans="1:15" x14ac:dyDescent="0.25">
      <c r="A991" s="1453" t="s">
        <v>67</v>
      </c>
      <c r="B991" s="1452" t="s">
        <v>112</v>
      </c>
      <c r="C991" s="1452" t="s">
        <v>66</v>
      </c>
      <c r="D991" s="1452" t="s">
        <v>65</v>
      </c>
      <c r="E991" s="1452" t="s">
        <v>81</v>
      </c>
      <c r="F991" s="1465" t="s">
        <v>80</v>
      </c>
      <c r="G991" s="1465" t="s">
        <v>79</v>
      </c>
      <c r="H991" s="1465" t="s">
        <v>78</v>
      </c>
      <c r="I991" s="1465" t="s">
        <v>111</v>
      </c>
      <c r="J991" s="1465" t="s">
        <v>110</v>
      </c>
      <c r="K991" s="1465" t="s">
        <v>109</v>
      </c>
      <c r="L991" s="1465" t="s">
        <v>108</v>
      </c>
      <c r="M991" s="1465" t="s">
        <v>40</v>
      </c>
      <c r="N991" s="1465" t="s">
        <v>58</v>
      </c>
      <c r="O991" s="93"/>
    </row>
    <row r="992" spans="1:15" ht="30" x14ac:dyDescent="0.25">
      <c r="A992" s="1458">
        <v>10</v>
      </c>
      <c r="B992" s="1460" t="s">
        <v>729</v>
      </c>
      <c r="C992" s="1508"/>
      <c r="D992" s="1459">
        <v>2.25</v>
      </c>
      <c r="E992" s="1458">
        <v>14</v>
      </c>
      <c r="F992" s="1458" t="s">
        <v>68</v>
      </c>
      <c r="G992" s="1458"/>
      <c r="H992" s="1470"/>
      <c r="I992" s="1473" t="s">
        <v>2586</v>
      </c>
      <c r="J992" s="1472">
        <f>PI()*0.007*0.007</f>
        <v>1.5393804002589986E-4</v>
      </c>
      <c r="K992" s="1471">
        <f>0.004</f>
        <v>4.0000000000000001E-3</v>
      </c>
      <c r="L992" s="1470">
        <v>7860</v>
      </c>
      <c r="M992" s="1469">
        <v>1</v>
      </c>
      <c r="N992" s="1468">
        <f>IF(J992="",D992*M992,D992*J992*K992*L992*M992)</f>
        <v>1.0889576951432157E-2</v>
      </c>
      <c r="O992" s="143"/>
    </row>
    <row r="993" spans="1:15" x14ac:dyDescent="0.25">
      <c r="A993" s="98"/>
      <c r="B993" s="95"/>
      <c r="C993" s="95"/>
      <c r="D993" s="95"/>
      <c r="E993" s="95"/>
      <c r="F993" s="95"/>
      <c r="G993" s="95"/>
      <c r="H993" s="95"/>
      <c r="I993" s="95"/>
      <c r="J993" s="95"/>
      <c r="K993" s="95"/>
      <c r="L993" s="95"/>
      <c r="M993" s="1467" t="s">
        <v>58</v>
      </c>
      <c r="N993" s="1447">
        <f>SUM(N992:N992)</f>
        <v>1.0889576951432157E-2</v>
      </c>
      <c r="O993" s="93"/>
    </row>
    <row r="994" spans="1:15" x14ac:dyDescent="0.25">
      <c r="A994" s="107"/>
      <c r="B994" s="94"/>
      <c r="C994" s="94"/>
      <c r="D994" s="94"/>
      <c r="E994" s="94"/>
      <c r="F994" s="94"/>
      <c r="G994" s="94"/>
      <c r="H994" s="94"/>
      <c r="I994" s="94"/>
      <c r="J994" s="94"/>
      <c r="K994" s="94"/>
      <c r="L994" s="94"/>
      <c r="M994" s="94"/>
      <c r="N994" s="94"/>
      <c r="O994" s="93"/>
    </row>
    <row r="995" spans="1:15" x14ac:dyDescent="0.25">
      <c r="A995" s="1466" t="s">
        <v>67</v>
      </c>
      <c r="B995" s="1465" t="s">
        <v>106</v>
      </c>
      <c r="C995" s="1465" t="s">
        <v>66</v>
      </c>
      <c r="D995" s="1465" t="s">
        <v>65</v>
      </c>
      <c r="E995" s="1465" t="s">
        <v>64</v>
      </c>
      <c r="F995" s="1465" t="s">
        <v>40</v>
      </c>
      <c r="G995" s="1465" t="s">
        <v>105</v>
      </c>
      <c r="H995" s="1465" t="s">
        <v>104</v>
      </c>
      <c r="I995" s="1465" t="s">
        <v>58</v>
      </c>
      <c r="J995" s="95"/>
      <c r="K995" s="95"/>
      <c r="L995" s="95"/>
      <c r="M995" s="95"/>
      <c r="N995" s="95"/>
      <c r="O995" s="93"/>
    </row>
    <row r="996" spans="1:15" ht="30" x14ac:dyDescent="0.25">
      <c r="A996" s="1497">
        <v>10</v>
      </c>
      <c r="B996" s="1498" t="s">
        <v>516</v>
      </c>
      <c r="C996" s="1503" t="s">
        <v>528</v>
      </c>
      <c r="D996" s="1501">
        <v>1.3</v>
      </c>
      <c r="E996" s="1498" t="s">
        <v>64</v>
      </c>
      <c r="F996" s="1497">
        <v>1</v>
      </c>
      <c r="G996" s="1497"/>
      <c r="H996" s="1497"/>
      <c r="I996" s="1462">
        <f>IF(H996="",D996*F996,D996*F996*H996)</f>
        <v>1.3</v>
      </c>
      <c r="J996" s="142"/>
      <c r="K996" s="142"/>
      <c r="L996" s="142"/>
      <c r="M996" s="142"/>
      <c r="N996" s="142"/>
      <c r="O996" s="120"/>
    </row>
    <row r="997" spans="1:15" x14ac:dyDescent="0.25">
      <c r="A997" s="1550">
        <v>20</v>
      </c>
      <c r="B997" s="1550" t="s">
        <v>514</v>
      </c>
      <c r="C997" s="1550" t="s">
        <v>1263</v>
      </c>
      <c r="D997" s="1551">
        <v>0.04</v>
      </c>
      <c r="E997" s="1550" t="s">
        <v>512</v>
      </c>
      <c r="F997" s="1550">
        <v>0.23</v>
      </c>
      <c r="G997" s="1553" t="s">
        <v>724</v>
      </c>
      <c r="H997" s="1550">
        <v>3</v>
      </c>
      <c r="I997" s="1462">
        <f>IF(H997="",D997*F997,D997*F997*H997)</f>
        <v>2.76E-2</v>
      </c>
      <c r="J997" s="94"/>
      <c r="K997" s="94"/>
      <c r="L997" s="94"/>
      <c r="M997" s="94"/>
      <c r="N997" s="94"/>
      <c r="O997" s="93"/>
    </row>
    <row r="998" spans="1:15" x14ac:dyDescent="0.25">
      <c r="A998" s="1497">
        <v>30</v>
      </c>
      <c r="B998" s="1497" t="s">
        <v>2177</v>
      </c>
      <c r="C998" s="1497" t="s">
        <v>1252</v>
      </c>
      <c r="D998" s="1552">
        <v>0.35</v>
      </c>
      <c r="E998" s="1497" t="s">
        <v>294</v>
      </c>
      <c r="F998" s="1497">
        <v>1</v>
      </c>
      <c r="G998" s="1497"/>
      <c r="H998" s="1497"/>
      <c r="I998" s="1468">
        <f>IF(H998="",D998*F998,D998*F998*H998)</f>
        <v>0.35</v>
      </c>
      <c r="J998" s="99"/>
      <c r="K998" s="99"/>
      <c r="L998" s="99"/>
      <c r="M998" s="99"/>
      <c r="N998" s="99"/>
      <c r="O998" s="130"/>
    </row>
    <row r="999" spans="1:15" x14ac:dyDescent="0.25">
      <c r="A999" s="98"/>
      <c r="B999" s="95"/>
      <c r="C999" s="95"/>
      <c r="D999" s="95"/>
      <c r="E999" s="95"/>
      <c r="F999" s="95"/>
      <c r="G999" s="95"/>
      <c r="H999" s="1448" t="s">
        <v>58</v>
      </c>
      <c r="I999" s="1447">
        <f>SUM(I996:I998)</f>
        <v>1.6776</v>
      </c>
      <c r="J999" s="95"/>
      <c r="K999" s="95"/>
      <c r="L999" s="95"/>
      <c r="M999" s="95"/>
      <c r="N999" s="95"/>
      <c r="O999" s="93"/>
    </row>
    <row r="1000" spans="1:15" x14ac:dyDescent="0.25">
      <c r="A1000" s="107"/>
      <c r="B1000" s="94"/>
      <c r="C1000" s="94"/>
      <c r="D1000" s="94"/>
      <c r="E1000" s="94"/>
      <c r="F1000" s="94"/>
      <c r="G1000" s="94"/>
      <c r="H1000" s="94"/>
      <c r="I1000" s="99"/>
      <c r="J1000" s="94"/>
      <c r="K1000" s="94"/>
      <c r="L1000" s="94"/>
      <c r="M1000" s="94"/>
      <c r="N1000" s="94"/>
      <c r="O1000" s="93"/>
    </row>
    <row r="1001" spans="1:15" ht="15.75" thickBot="1" x14ac:dyDescent="0.3">
      <c r="A1001" s="92"/>
      <c r="B1001" s="91"/>
      <c r="C1001" s="91"/>
      <c r="D1001" s="91"/>
      <c r="E1001" s="91"/>
      <c r="F1001" s="91"/>
      <c r="G1001" s="91"/>
      <c r="H1001" s="91"/>
      <c r="I1001" s="91"/>
      <c r="J1001" s="91"/>
      <c r="K1001" s="91"/>
      <c r="L1001" s="91"/>
      <c r="M1001" s="91"/>
      <c r="N1001" s="91"/>
      <c r="O1001" s="90"/>
    </row>
    <row r="1002" spans="1:15" ht="15.75" thickBot="1" x14ac:dyDescent="0.3">
      <c r="A1002" s="94"/>
      <c r="B1002" s="94"/>
      <c r="C1002" s="94"/>
      <c r="D1002" s="94"/>
      <c r="E1002" s="94"/>
      <c r="F1002" s="94"/>
      <c r="G1002" s="94"/>
      <c r="H1002" s="94"/>
      <c r="I1002" s="94"/>
      <c r="J1002" s="94"/>
      <c r="K1002" s="94"/>
      <c r="L1002" s="94"/>
      <c r="M1002" s="94"/>
      <c r="N1002" s="94"/>
      <c r="O1002" s="94"/>
    </row>
    <row r="1003" spans="1:15" x14ac:dyDescent="0.25">
      <c r="A1003" s="141"/>
      <c r="B1003" s="140"/>
      <c r="C1003" s="140"/>
      <c r="D1003" s="140"/>
      <c r="E1003" s="140"/>
      <c r="F1003" s="140"/>
      <c r="G1003" s="140"/>
      <c r="H1003" s="140"/>
      <c r="I1003" s="140"/>
      <c r="J1003" s="272"/>
      <c r="K1003" s="140"/>
      <c r="L1003" s="140"/>
      <c r="M1003" s="140"/>
      <c r="N1003" s="140"/>
      <c r="O1003" s="139"/>
    </row>
    <row r="1004" spans="1:15" x14ac:dyDescent="0.25">
      <c r="A1004" s="1454" t="s">
        <v>57</v>
      </c>
      <c r="B1004" s="133" t="s">
        <v>523</v>
      </c>
      <c r="C1004" s="94"/>
      <c r="D1004" s="94"/>
      <c r="E1004" s="94"/>
      <c r="F1004" s="94"/>
      <c r="G1004" s="94"/>
      <c r="H1004" s="94"/>
      <c r="I1004" s="94"/>
      <c r="J1004" s="1456" t="s">
        <v>51</v>
      </c>
      <c r="K1004" s="138">
        <v>81</v>
      </c>
      <c r="L1004" s="94"/>
      <c r="M1004" s="1454" t="s">
        <v>113</v>
      </c>
      <c r="N1004" s="100">
        <f>SU_08001_m+SU_08001_p</f>
        <v>5.6684929999999998</v>
      </c>
      <c r="O1004" s="93"/>
    </row>
    <row r="1005" spans="1:15" x14ac:dyDescent="0.25">
      <c r="A1005" s="1454" t="s">
        <v>125</v>
      </c>
      <c r="B1005" s="133" t="s">
        <v>5</v>
      </c>
      <c r="C1005" s="94"/>
      <c r="D1005" s="1454" t="s">
        <v>122</v>
      </c>
      <c r="E1005" s="270" t="s">
        <v>522</v>
      </c>
      <c r="F1005" s="94"/>
      <c r="G1005" s="94"/>
      <c r="H1005" s="94"/>
      <c r="I1005" s="94"/>
      <c r="J1005" s="94"/>
      <c r="K1005" s="94"/>
      <c r="L1005" s="94"/>
      <c r="M1005" s="1454" t="s">
        <v>124</v>
      </c>
      <c r="N1005" s="136">
        <v>2</v>
      </c>
      <c r="O1005" s="93"/>
    </row>
    <row r="1006" spans="1:15" x14ac:dyDescent="0.25">
      <c r="A1006" s="1454" t="s">
        <v>123</v>
      </c>
      <c r="B1006" s="270" t="str">
        <f>'SU Assemblies'!B386</f>
        <v>Rear rocker</v>
      </c>
      <c r="C1006" s="94"/>
      <c r="D1006" s="1454" t="s">
        <v>119</v>
      </c>
      <c r="E1006" s="94"/>
      <c r="F1006" s="94"/>
      <c r="G1006" s="94"/>
      <c r="H1006" s="94"/>
      <c r="I1006" s="94"/>
      <c r="J1006" s="1455" t="s">
        <v>122</v>
      </c>
      <c r="K1006" s="94"/>
      <c r="L1006" s="94"/>
      <c r="M1006" s="94"/>
      <c r="N1006" s="94"/>
      <c r="O1006" s="93"/>
    </row>
    <row r="1007" spans="1:15" x14ac:dyDescent="0.25">
      <c r="A1007" s="1454" t="s">
        <v>114</v>
      </c>
      <c r="B1007" s="135" t="s">
        <v>2585</v>
      </c>
      <c r="C1007" s="94"/>
      <c r="D1007" s="1454" t="s">
        <v>116</v>
      </c>
      <c r="E1007" s="94"/>
      <c r="F1007" s="94"/>
      <c r="G1007" s="94"/>
      <c r="H1007" s="94"/>
      <c r="I1007" s="94"/>
      <c r="J1007" s="1455" t="s">
        <v>119</v>
      </c>
      <c r="K1007" s="94"/>
      <c r="L1007" s="94"/>
      <c r="M1007" s="1454" t="s">
        <v>118</v>
      </c>
      <c r="N1007" s="100">
        <f>N1005*N1004</f>
        <v>11.336986</v>
      </c>
      <c r="O1007" s="93"/>
    </row>
    <row r="1008" spans="1:15" x14ac:dyDescent="0.25">
      <c r="A1008" s="1454" t="s">
        <v>121</v>
      </c>
      <c r="B1008" s="269" t="s">
        <v>2584</v>
      </c>
      <c r="C1008" s="94"/>
      <c r="D1008" s="94"/>
      <c r="E1008" s="94"/>
      <c r="F1008" s="94"/>
      <c r="G1008" s="94"/>
      <c r="H1008" s="94"/>
      <c r="I1008" s="94"/>
      <c r="J1008" s="1455" t="s">
        <v>116</v>
      </c>
      <c r="K1008" s="94"/>
      <c r="L1008" s="94"/>
      <c r="M1008" s="94"/>
      <c r="N1008" s="94"/>
      <c r="O1008" s="93"/>
    </row>
    <row r="1009" spans="1:15" x14ac:dyDescent="0.25">
      <c r="A1009" s="1454" t="s">
        <v>117</v>
      </c>
      <c r="B1009" s="133" t="s">
        <v>23</v>
      </c>
      <c r="C1009" s="94"/>
      <c r="D1009" s="94"/>
      <c r="E1009" s="94"/>
      <c r="F1009" s="94"/>
      <c r="G1009" s="94"/>
      <c r="H1009" s="94"/>
      <c r="I1009" s="94"/>
      <c r="J1009" s="94"/>
      <c r="K1009" s="94"/>
      <c r="L1009" s="94"/>
      <c r="M1009" s="94"/>
      <c r="N1009" s="94"/>
      <c r="O1009" s="93"/>
    </row>
    <row r="1010" spans="1:15" x14ac:dyDescent="0.25">
      <c r="A1010" s="1454" t="s">
        <v>115</v>
      </c>
      <c r="B1010" s="133"/>
      <c r="C1010" s="94"/>
      <c r="D1010" s="94"/>
      <c r="E1010" s="94"/>
      <c r="F1010" s="94"/>
      <c r="G1010" s="94"/>
      <c r="H1010" s="94"/>
      <c r="I1010" s="94"/>
      <c r="J1010" s="94"/>
      <c r="K1010" s="94"/>
      <c r="L1010" s="94"/>
      <c r="M1010" s="94"/>
      <c r="N1010" s="94"/>
      <c r="O1010" s="93"/>
    </row>
    <row r="1011" spans="1:15" x14ac:dyDescent="0.25">
      <c r="A1011" s="266"/>
      <c r="B1011" s="265"/>
      <c r="C1011" s="265"/>
      <c r="D1011" s="265"/>
      <c r="E1011" s="265"/>
      <c r="F1011" s="94"/>
      <c r="G1011" s="94"/>
      <c r="H1011" s="94"/>
      <c r="I1011" s="94"/>
      <c r="J1011" s="94"/>
      <c r="K1011" s="94"/>
      <c r="L1011" s="94"/>
      <c r="M1011" s="94"/>
      <c r="N1011" s="94"/>
      <c r="O1011" s="93"/>
    </row>
    <row r="1012" spans="1:15" x14ac:dyDescent="0.25">
      <c r="A1012" s="1453" t="s">
        <v>67</v>
      </c>
      <c r="B1012" s="1452" t="s">
        <v>112</v>
      </c>
      <c r="C1012" s="1452" t="s">
        <v>66</v>
      </c>
      <c r="D1012" s="1452" t="s">
        <v>65</v>
      </c>
      <c r="E1012" s="1452" t="s">
        <v>81</v>
      </c>
      <c r="F1012" s="1465" t="s">
        <v>80</v>
      </c>
      <c r="G1012" s="1465" t="s">
        <v>79</v>
      </c>
      <c r="H1012" s="1465" t="s">
        <v>78</v>
      </c>
      <c r="I1012" s="1465" t="s">
        <v>111</v>
      </c>
      <c r="J1012" s="1465" t="s">
        <v>110</v>
      </c>
      <c r="K1012" s="1465" t="s">
        <v>109</v>
      </c>
      <c r="L1012" s="1465" t="s">
        <v>108</v>
      </c>
      <c r="M1012" s="1465" t="s">
        <v>40</v>
      </c>
      <c r="N1012" s="1465" t="s">
        <v>58</v>
      </c>
      <c r="O1012" s="93"/>
    </row>
    <row r="1013" spans="1:15" ht="30" x14ac:dyDescent="0.25">
      <c r="A1013" s="1458">
        <v>10</v>
      </c>
      <c r="B1013" s="1460" t="s">
        <v>729</v>
      </c>
      <c r="C1013" s="1508"/>
      <c r="D1013" s="1459">
        <v>2.25</v>
      </c>
      <c r="E1013" s="1458">
        <v>70</v>
      </c>
      <c r="F1013" s="1458" t="s">
        <v>68</v>
      </c>
      <c r="G1013" s="1458">
        <v>3</v>
      </c>
      <c r="H1013" s="1470" t="s">
        <v>68</v>
      </c>
      <c r="I1013" s="1473" t="s">
        <v>2583</v>
      </c>
      <c r="J1013" s="1472">
        <f>E1013*G1013*10^-6</f>
        <v>2.0999999999999998E-4</v>
      </c>
      <c r="K1013" s="1471">
        <v>0.09</v>
      </c>
      <c r="L1013" s="1470">
        <v>7860</v>
      </c>
      <c r="M1013" s="1469">
        <v>2</v>
      </c>
      <c r="N1013" s="1468">
        <f>IF(J1013="",D1013*M1013,D1013*J1013*K1013*L1013*M1013)</f>
        <v>0.66849299999999989</v>
      </c>
      <c r="O1013" s="143"/>
    </row>
    <row r="1014" spans="1:15" x14ac:dyDescent="0.25">
      <c r="A1014" s="98"/>
      <c r="B1014" s="95"/>
      <c r="C1014" s="95"/>
      <c r="D1014" s="95"/>
      <c r="E1014" s="95"/>
      <c r="F1014" s="95"/>
      <c r="G1014" s="95"/>
      <c r="H1014" s="95"/>
      <c r="I1014" s="95"/>
      <c r="J1014" s="95"/>
      <c r="K1014" s="95"/>
      <c r="L1014" s="95"/>
      <c r="M1014" s="1467" t="s">
        <v>58</v>
      </c>
      <c r="N1014" s="1447">
        <f>SUM(N1013:N1013)</f>
        <v>0.66849299999999989</v>
      </c>
      <c r="O1014" s="93"/>
    </row>
    <row r="1015" spans="1:15" x14ac:dyDescent="0.25">
      <c r="A1015" s="107"/>
      <c r="B1015" s="94"/>
      <c r="C1015" s="94"/>
      <c r="D1015" s="94"/>
      <c r="E1015" s="94"/>
      <c r="F1015" s="94"/>
      <c r="G1015" s="94"/>
      <c r="H1015" s="94"/>
      <c r="I1015" s="94"/>
      <c r="J1015" s="94"/>
      <c r="K1015" s="94"/>
      <c r="L1015" s="94"/>
      <c r="M1015" s="94"/>
      <c r="N1015" s="94"/>
      <c r="O1015" s="93"/>
    </row>
    <row r="1016" spans="1:15" x14ac:dyDescent="0.25">
      <c r="A1016" s="1466" t="s">
        <v>67</v>
      </c>
      <c r="B1016" s="1465" t="s">
        <v>106</v>
      </c>
      <c r="C1016" s="1465" t="s">
        <v>66</v>
      </c>
      <c r="D1016" s="1465" t="s">
        <v>65</v>
      </c>
      <c r="E1016" s="1465" t="s">
        <v>64</v>
      </c>
      <c r="F1016" s="1465" t="s">
        <v>40</v>
      </c>
      <c r="G1016" s="1465" t="s">
        <v>105</v>
      </c>
      <c r="H1016" s="1465" t="s">
        <v>104</v>
      </c>
      <c r="I1016" s="1465" t="s">
        <v>58</v>
      </c>
      <c r="J1016" s="95"/>
      <c r="K1016" s="95"/>
      <c r="L1016" s="95"/>
      <c r="M1016" s="95"/>
      <c r="N1016" s="95"/>
      <c r="O1016" s="93"/>
    </row>
    <row r="1017" spans="1:15" ht="30" x14ac:dyDescent="0.25">
      <c r="A1017" s="1497">
        <v>10</v>
      </c>
      <c r="B1017" s="1498" t="s">
        <v>516</v>
      </c>
      <c r="C1017" s="1503" t="s">
        <v>528</v>
      </c>
      <c r="D1017" s="1501">
        <v>1.3</v>
      </c>
      <c r="E1017" s="1498" t="s">
        <v>64</v>
      </c>
      <c r="F1017" s="1497">
        <v>1</v>
      </c>
      <c r="G1017" s="1497" t="s">
        <v>1182</v>
      </c>
      <c r="H1017" s="1497">
        <v>2</v>
      </c>
      <c r="I1017" s="1462">
        <f>IF(H1017="",D1017*F1017,D1017*F1017*H1017)</f>
        <v>2.6</v>
      </c>
      <c r="J1017" s="142"/>
      <c r="K1017" s="142"/>
      <c r="L1017" s="142"/>
      <c r="M1017" s="142"/>
      <c r="N1017" s="142"/>
      <c r="O1017" s="120"/>
    </row>
    <row r="1018" spans="1:15" ht="30" x14ac:dyDescent="0.25">
      <c r="A1018" s="1550">
        <v>20</v>
      </c>
      <c r="B1018" s="1550" t="s">
        <v>527</v>
      </c>
      <c r="C1018" s="1550"/>
      <c r="D1018" s="1551">
        <v>0.01</v>
      </c>
      <c r="E1018" s="1550" t="s">
        <v>101</v>
      </c>
      <c r="F1018" s="1550">
        <v>40</v>
      </c>
      <c r="G1018" s="1553" t="s">
        <v>2582</v>
      </c>
      <c r="H1018" s="1550">
        <v>6</v>
      </c>
      <c r="I1018" s="1462">
        <f>IF(H1018="",D1018*F1018,D1018*F1018*H1018)</f>
        <v>2.4000000000000004</v>
      </c>
      <c r="J1018" s="94"/>
      <c r="K1018" s="94"/>
      <c r="L1018" s="94"/>
      <c r="M1018" s="94"/>
      <c r="N1018" s="94"/>
      <c r="O1018" s="93"/>
    </row>
    <row r="1019" spans="1:15" x14ac:dyDescent="0.25">
      <c r="A1019" s="98"/>
      <c r="B1019" s="95"/>
      <c r="C1019" s="95"/>
      <c r="D1019" s="95"/>
      <c r="E1019" s="95"/>
      <c r="F1019" s="95"/>
      <c r="G1019" s="95"/>
      <c r="H1019" s="1448" t="s">
        <v>58</v>
      </c>
      <c r="I1019" s="1447">
        <f>SUM(I1017:I1018)</f>
        <v>5</v>
      </c>
      <c r="J1019" s="95"/>
      <c r="K1019" s="95"/>
      <c r="L1019" s="95"/>
      <c r="M1019" s="95"/>
      <c r="N1019" s="95"/>
      <c r="O1019" s="93"/>
    </row>
    <row r="1020" spans="1:15" x14ac:dyDescent="0.25">
      <c r="A1020" s="107"/>
      <c r="B1020" s="94"/>
      <c r="C1020" s="94"/>
      <c r="D1020" s="94"/>
      <c r="E1020" s="94"/>
      <c r="F1020" s="94"/>
      <c r="G1020" s="94"/>
      <c r="H1020" s="94"/>
      <c r="I1020" s="99"/>
      <c r="J1020" s="94"/>
      <c r="K1020" s="94"/>
      <c r="L1020" s="94"/>
      <c r="M1020" s="94"/>
      <c r="N1020" s="94"/>
      <c r="O1020" s="93"/>
    </row>
    <row r="1021" spans="1:15" ht="15.75" thickBot="1" x14ac:dyDescent="0.3">
      <c r="A1021" s="92"/>
      <c r="B1021" s="91"/>
      <c r="C1021" s="91"/>
      <c r="D1021" s="91"/>
      <c r="E1021" s="91"/>
      <c r="F1021" s="91"/>
      <c r="G1021" s="91"/>
      <c r="H1021" s="91"/>
      <c r="I1021" s="91"/>
      <c r="J1021" s="91"/>
      <c r="K1021" s="91"/>
      <c r="L1021" s="91"/>
      <c r="M1021" s="91"/>
      <c r="N1021" s="91"/>
      <c r="O1021" s="90"/>
    </row>
    <row r="1022" spans="1:15" ht="15.75" thickBot="1" x14ac:dyDescent="0.3">
      <c r="A1022" s="94"/>
      <c r="B1022" s="94"/>
      <c r="C1022" s="94"/>
      <c r="D1022" s="94"/>
      <c r="E1022" s="94"/>
      <c r="F1022" s="94"/>
      <c r="G1022" s="94"/>
      <c r="H1022" s="94"/>
      <c r="I1022" s="94"/>
      <c r="J1022" s="94"/>
      <c r="K1022" s="94"/>
      <c r="L1022" s="94"/>
      <c r="M1022" s="94"/>
      <c r="N1022" s="94"/>
      <c r="O1022" s="94"/>
    </row>
    <row r="1023" spans="1:15" x14ac:dyDescent="0.25">
      <c r="A1023" s="141"/>
      <c r="B1023" s="140"/>
      <c r="C1023" s="140"/>
      <c r="D1023" s="140"/>
      <c r="E1023" s="140"/>
      <c r="F1023" s="140"/>
      <c r="G1023" s="140"/>
      <c r="H1023" s="140"/>
      <c r="I1023" s="140"/>
      <c r="J1023" s="272"/>
      <c r="K1023" s="140"/>
      <c r="L1023" s="140"/>
      <c r="M1023" s="140"/>
      <c r="N1023" s="140"/>
      <c r="O1023" s="139"/>
    </row>
    <row r="1024" spans="1:15" x14ac:dyDescent="0.25">
      <c r="A1024" s="1454" t="s">
        <v>57</v>
      </c>
      <c r="B1024" s="133" t="s">
        <v>523</v>
      </c>
      <c r="C1024" s="94"/>
      <c r="D1024" s="94"/>
      <c r="E1024" s="94"/>
      <c r="F1024" s="94"/>
      <c r="G1024" s="94"/>
      <c r="H1024" s="94"/>
      <c r="I1024" s="94"/>
      <c r="J1024" s="1456" t="s">
        <v>51</v>
      </c>
      <c r="K1024" s="138">
        <v>81</v>
      </c>
      <c r="L1024" s="94"/>
      <c r="M1024" s="1454" t="s">
        <v>113</v>
      </c>
      <c r="N1024" s="100">
        <f>SU_08002_m+SU_08002_p</f>
        <v>2.0214527503422883</v>
      </c>
      <c r="O1024" s="93"/>
    </row>
    <row r="1025" spans="1:15" x14ac:dyDescent="0.25">
      <c r="A1025" s="1454" t="s">
        <v>125</v>
      </c>
      <c r="B1025" s="133" t="s">
        <v>5</v>
      </c>
      <c r="C1025" s="94"/>
      <c r="D1025" s="1454" t="s">
        <v>122</v>
      </c>
      <c r="E1025" s="94"/>
      <c r="F1025" s="94"/>
      <c r="G1025" s="94"/>
      <c r="H1025" s="94"/>
      <c r="I1025" s="94"/>
      <c r="J1025" s="94"/>
      <c r="K1025" s="94"/>
      <c r="L1025" s="94"/>
      <c r="M1025" s="1454" t="s">
        <v>124</v>
      </c>
      <c r="N1025" s="136">
        <v>1</v>
      </c>
      <c r="O1025" s="93"/>
    </row>
    <row r="1026" spans="1:15" x14ac:dyDescent="0.25">
      <c r="A1026" s="1454" t="s">
        <v>123</v>
      </c>
      <c r="B1026" s="270" t="str">
        <f>'SU Assemblies'!B386</f>
        <v>Rear rocker</v>
      </c>
      <c r="C1026" s="94"/>
      <c r="D1026" s="1454" t="s">
        <v>119</v>
      </c>
      <c r="E1026" s="94"/>
      <c r="F1026" s="94"/>
      <c r="G1026" s="94"/>
      <c r="H1026" s="94"/>
      <c r="I1026" s="94"/>
      <c r="J1026" s="1455" t="s">
        <v>122</v>
      </c>
      <c r="K1026" s="94"/>
      <c r="L1026" s="94"/>
      <c r="M1026" s="94"/>
      <c r="N1026" s="94"/>
      <c r="O1026" s="93"/>
    </row>
    <row r="1027" spans="1:15" x14ac:dyDescent="0.25">
      <c r="A1027" s="1454" t="s">
        <v>114</v>
      </c>
      <c r="B1027" s="135" t="s">
        <v>2462</v>
      </c>
      <c r="C1027" s="94"/>
      <c r="D1027" s="1454" t="s">
        <v>116</v>
      </c>
      <c r="E1027" s="94"/>
      <c r="F1027" s="94"/>
      <c r="G1027" s="94"/>
      <c r="H1027" s="94"/>
      <c r="I1027" s="94"/>
      <c r="J1027" s="1455" t="s">
        <v>119</v>
      </c>
      <c r="K1027" s="94"/>
      <c r="L1027" s="94"/>
      <c r="M1027" s="1454" t="s">
        <v>118</v>
      </c>
      <c r="N1027" s="100">
        <f>N1025*N1024</f>
        <v>2.0214527503422883</v>
      </c>
      <c r="O1027" s="93"/>
    </row>
    <row r="1028" spans="1:15" x14ac:dyDescent="0.25">
      <c r="A1028" s="1454" t="s">
        <v>121</v>
      </c>
      <c r="B1028" s="269" t="s">
        <v>2581</v>
      </c>
      <c r="C1028" s="94"/>
      <c r="D1028" s="94"/>
      <c r="E1028" s="94"/>
      <c r="F1028" s="94"/>
      <c r="G1028" s="94"/>
      <c r="H1028" s="94"/>
      <c r="I1028" s="94"/>
      <c r="J1028" s="1455" t="s">
        <v>116</v>
      </c>
      <c r="K1028" s="94"/>
      <c r="L1028" s="94"/>
      <c r="M1028" s="94"/>
      <c r="N1028" s="94"/>
      <c r="O1028" s="93"/>
    </row>
    <row r="1029" spans="1:15" x14ac:dyDescent="0.25">
      <c r="A1029" s="1454" t="s">
        <v>117</v>
      </c>
      <c r="B1029" s="133" t="s">
        <v>23</v>
      </c>
      <c r="C1029" s="94"/>
      <c r="D1029" s="94"/>
      <c r="E1029" s="94"/>
      <c r="F1029" s="94"/>
      <c r="G1029" s="94"/>
      <c r="H1029" s="94"/>
      <c r="I1029" s="94"/>
      <c r="J1029" s="94"/>
      <c r="K1029" s="94"/>
      <c r="L1029" s="94"/>
      <c r="M1029" s="94"/>
      <c r="N1029" s="94"/>
      <c r="O1029" s="93"/>
    </row>
    <row r="1030" spans="1:15" x14ac:dyDescent="0.25">
      <c r="A1030" s="1454" t="s">
        <v>115</v>
      </c>
      <c r="B1030" s="133"/>
      <c r="C1030" s="94"/>
      <c r="D1030" s="94"/>
      <c r="E1030" s="94"/>
      <c r="F1030" s="94"/>
      <c r="G1030" s="94"/>
      <c r="H1030" s="94"/>
      <c r="I1030" s="94"/>
      <c r="J1030" s="94"/>
      <c r="K1030" s="94"/>
      <c r="L1030" s="94"/>
      <c r="M1030" s="94"/>
      <c r="N1030" s="94"/>
      <c r="O1030" s="93"/>
    </row>
    <row r="1031" spans="1:15" x14ac:dyDescent="0.25">
      <c r="A1031" s="266"/>
      <c r="B1031" s="265"/>
      <c r="C1031" s="265"/>
      <c r="D1031" s="265"/>
      <c r="E1031" s="265"/>
      <c r="F1031" s="94"/>
      <c r="G1031" s="94"/>
      <c r="H1031" s="94"/>
      <c r="I1031" s="94"/>
      <c r="J1031" s="94"/>
      <c r="K1031" s="94"/>
      <c r="L1031" s="94"/>
      <c r="M1031" s="94"/>
      <c r="N1031" s="94"/>
      <c r="O1031" s="93"/>
    </row>
    <row r="1032" spans="1:15" x14ac:dyDescent="0.25">
      <c r="A1032" s="1453" t="s">
        <v>67</v>
      </c>
      <c r="B1032" s="1452" t="s">
        <v>112</v>
      </c>
      <c r="C1032" s="1452" t="s">
        <v>66</v>
      </c>
      <c r="D1032" s="1452" t="s">
        <v>65</v>
      </c>
      <c r="E1032" s="1452" t="s">
        <v>81</v>
      </c>
      <c r="F1032" s="1465" t="s">
        <v>80</v>
      </c>
      <c r="G1032" s="1465" t="s">
        <v>79</v>
      </c>
      <c r="H1032" s="1465" t="s">
        <v>78</v>
      </c>
      <c r="I1032" s="1465" t="s">
        <v>111</v>
      </c>
      <c r="J1032" s="1465" t="s">
        <v>110</v>
      </c>
      <c r="K1032" s="1465" t="s">
        <v>109</v>
      </c>
      <c r="L1032" s="1465" t="s">
        <v>108</v>
      </c>
      <c r="M1032" s="1465" t="s">
        <v>40</v>
      </c>
      <c r="N1032" s="1465" t="s">
        <v>58</v>
      </c>
      <c r="O1032" s="93"/>
    </row>
    <row r="1033" spans="1:15" ht="30" x14ac:dyDescent="0.25">
      <c r="A1033" s="1458">
        <v>10</v>
      </c>
      <c r="B1033" s="1460" t="s">
        <v>729</v>
      </c>
      <c r="C1033" s="1508"/>
      <c r="D1033" s="1459">
        <v>2.25</v>
      </c>
      <c r="E1033" s="1458">
        <v>26</v>
      </c>
      <c r="F1033" s="1458" t="s">
        <v>68</v>
      </c>
      <c r="G1033" s="1458"/>
      <c r="H1033" s="1470"/>
      <c r="I1033" s="1473" t="s">
        <v>2580</v>
      </c>
      <c r="J1033" s="1472">
        <f>PI()*0.013*0.013</f>
        <v>5.3092915845667505E-4</v>
      </c>
      <c r="K1033" s="1471">
        <v>1.4E-2</v>
      </c>
      <c r="L1033" s="1470">
        <v>7860</v>
      </c>
      <c r="M1033" s="1469">
        <v>1</v>
      </c>
      <c r="N1033" s="1468">
        <f>IF(J1033="",D1033*M1033,D1033*J1033*K1033*L1033*M1033)</f>
        <v>0.13145275034228818</v>
      </c>
      <c r="O1033" s="143"/>
    </row>
    <row r="1034" spans="1:15" x14ac:dyDescent="0.25">
      <c r="A1034" s="98"/>
      <c r="B1034" s="95"/>
      <c r="C1034" s="95"/>
      <c r="D1034" s="95"/>
      <c r="E1034" s="95"/>
      <c r="F1034" s="95"/>
      <c r="G1034" s="95"/>
      <c r="H1034" s="95"/>
      <c r="I1034" s="95"/>
      <c r="J1034" s="95"/>
      <c r="K1034" s="95"/>
      <c r="L1034" s="95"/>
      <c r="M1034" s="1467" t="s">
        <v>58</v>
      </c>
      <c r="N1034" s="1447">
        <f>SUM(N1033:N1033)</f>
        <v>0.13145275034228818</v>
      </c>
      <c r="O1034" s="93"/>
    </row>
    <row r="1035" spans="1:15" x14ac:dyDescent="0.25">
      <c r="A1035" s="107"/>
      <c r="B1035" s="94"/>
      <c r="C1035" s="94"/>
      <c r="D1035" s="94"/>
      <c r="E1035" s="94"/>
      <c r="F1035" s="94"/>
      <c r="G1035" s="94"/>
      <c r="H1035" s="94"/>
      <c r="I1035" s="94"/>
      <c r="J1035" s="94"/>
      <c r="K1035" s="94"/>
      <c r="L1035" s="94"/>
      <c r="M1035" s="94"/>
      <c r="N1035" s="94"/>
      <c r="O1035" s="93"/>
    </row>
    <row r="1036" spans="1:15" x14ac:dyDescent="0.25">
      <c r="A1036" s="1466" t="s">
        <v>67</v>
      </c>
      <c r="B1036" s="1465" t="s">
        <v>106</v>
      </c>
      <c r="C1036" s="1465" t="s">
        <v>66</v>
      </c>
      <c r="D1036" s="1465" t="s">
        <v>65</v>
      </c>
      <c r="E1036" s="1465" t="s">
        <v>64</v>
      </c>
      <c r="F1036" s="1465" t="s">
        <v>40</v>
      </c>
      <c r="G1036" s="1465" t="s">
        <v>105</v>
      </c>
      <c r="H1036" s="1465" t="s">
        <v>104</v>
      </c>
      <c r="I1036" s="1465" t="s">
        <v>58</v>
      </c>
      <c r="J1036" s="95"/>
      <c r="K1036" s="95"/>
      <c r="L1036" s="95"/>
      <c r="M1036" s="95"/>
      <c r="N1036" s="95"/>
      <c r="O1036" s="93"/>
    </row>
    <row r="1037" spans="1:15" ht="30" x14ac:dyDescent="0.25">
      <c r="A1037" s="1497">
        <v>10</v>
      </c>
      <c r="B1037" s="1498" t="s">
        <v>516</v>
      </c>
      <c r="C1037" s="1503" t="s">
        <v>528</v>
      </c>
      <c r="D1037" s="1501">
        <v>1.3</v>
      </c>
      <c r="E1037" s="1498" t="s">
        <v>64</v>
      </c>
      <c r="F1037" s="1497">
        <v>1</v>
      </c>
      <c r="G1037" s="1497"/>
      <c r="H1037" s="1497"/>
      <c r="I1037" s="1462">
        <f>IF(H1037="",D1037*F1037,D1037*F1037*H1037)</f>
        <v>1.3</v>
      </c>
      <c r="J1037" s="142"/>
      <c r="K1037" s="142"/>
      <c r="L1037" s="142"/>
      <c r="M1037" s="142"/>
      <c r="N1037" s="142"/>
      <c r="O1037" s="120"/>
    </row>
    <row r="1038" spans="1:15" x14ac:dyDescent="0.25">
      <c r="A1038" s="1550">
        <v>20</v>
      </c>
      <c r="B1038" s="1550" t="s">
        <v>514</v>
      </c>
      <c r="C1038" s="1550" t="s">
        <v>1263</v>
      </c>
      <c r="D1038" s="1551">
        <v>0.04</v>
      </c>
      <c r="E1038" s="1550" t="s">
        <v>512</v>
      </c>
      <c r="F1038" s="1550">
        <v>2</v>
      </c>
      <c r="G1038" s="1553" t="s">
        <v>724</v>
      </c>
      <c r="H1038" s="1550">
        <v>3</v>
      </c>
      <c r="I1038" s="1462">
        <f>IF(H1038="",D1038*F1038,D1038*F1038*H1038)</f>
        <v>0.24</v>
      </c>
      <c r="J1038" s="94"/>
      <c r="K1038" s="94"/>
      <c r="L1038" s="94"/>
      <c r="M1038" s="94"/>
      <c r="N1038" s="94"/>
      <c r="O1038" s="93"/>
    </row>
    <row r="1039" spans="1:15" x14ac:dyDescent="0.25">
      <c r="A1039" s="1497">
        <v>30</v>
      </c>
      <c r="B1039" s="1497" t="s">
        <v>2177</v>
      </c>
      <c r="C1039" s="1497"/>
      <c r="D1039" s="1552">
        <v>0.35</v>
      </c>
      <c r="E1039" s="1497" t="s">
        <v>294</v>
      </c>
      <c r="F1039" s="1497">
        <v>1</v>
      </c>
      <c r="G1039" s="1497"/>
      <c r="H1039" s="1497"/>
      <c r="I1039" s="1468">
        <f>IF(H1039="",D1039*F1039,D1039*F1039*H1039)</f>
        <v>0.35</v>
      </c>
      <c r="J1039" s="99"/>
      <c r="K1039" s="99"/>
      <c r="L1039" s="99"/>
      <c r="M1039" s="99"/>
      <c r="N1039" s="99"/>
      <c r="O1039" s="130"/>
    </row>
    <row r="1040" spans="1:15" x14ac:dyDescent="0.25">
      <c r="A1040" s="98"/>
      <c r="B1040" s="95"/>
      <c r="C1040" s="95"/>
      <c r="D1040" s="95"/>
      <c r="E1040" s="95"/>
      <c r="F1040" s="95"/>
      <c r="G1040" s="95"/>
      <c r="H1040" s="1448" t="s">
        <v>58</v>
      </c>
      <c r="I1040" s="1447">
        <f>SUM(I1037:I1039)</f>
        <v>1.8900000000000001</v>
      </c>
      <c r="J1040" s="95"/>
      <c r="K1040" s="95"/>
      <c r="L1040" s="95"/>
      <c r="M1040" s="95"/>
      <c r="N1040" s="95"/>
      <c r="O1040" s="93"/>
    </row>
    <row r="1041" spans="1:15" x14ac:dyDescent="0.25">
      <c r="A1041" s="107"/>
      <c r="B1041" s="94"/>
      <c r="C1041" s="94"/>
      <c r="D1041" s="94"/>
      <c r="E1041" s="94"/>
      <c r="F1041" s="94"/>
      <c r="G1041" s="94"/>
      <c r="H1041" s="94"/>
      <c r="I1041" s="99"/>
      <c r="J1041" s="94"/>
      <c r="K1041" s="94"/>
      <c r="L1041" s="94"/>
      <c r="M1041" s="94"/>
      <c r="N1041" s="94"/>
      <c r="O1041" s="93"/>
    </row>
    <row r="1042" spans="1:15" ht="15.75" thickBot="1" x14ac:dyDescent="0.3">
      <c r="A1042" s="92"/>
      <c r="B1042" s="91"/>
      <c r="C1042" s="91"/>
      <c r="D1042" s="91"/>
      <c r="E1042" s="91"/>
      <c r="F1042" s="91"/>
      <c r="G1042" s="91"/>
      <c r="H1042" s="91"/>
      <c r="I1042" s="91"/>
      <c r="J1042" s="91"/>
      <c r="K1042" s="91"/>
      <c r="L1042" s="91"/>
      <c r="M1042" s="91"/>
      <c r="N1042" s="91"/>
      <c r="O1042" s="90"/>
    </row>
    <row r="1043" spans="1:15" ht="15.75" thickBot="1" x14ac:dyDescent="0.3">
      <c r="A1043" s="94"/>
      <c r="B1043" s="94"/>
      <c r="C1043" s="94"/>
      <c r="D1043" s="94"/>
      <c r="E1043" s="94"/>
      <c r="F1043" s="94"/>
      <c r="G1043" s="94"/>
      <c r="H1043" s="94"/>
      <c r="I1043" s="94"/>
      <c r="J1043" s="94"/>
      <c r="K1043" s="94"/>
      <c r="L1043" s="94"/>
      <c r="M1043" s="94"/>
      <c r="N1043" s="94"/>
      <c r="O1043" s="94"/>
    </row>
    <row r="1044" spans="1:15" x14ac:dyDescent="0.25">
      <c r="A1044" s="141"/>
      <c r="B1044" s="140"/>
      <c r="C1044" s="140"/>
      <c r="D1044" s="140"/>
      <c r="E1044" s="140"/>
      <c r="F1044" s="140"/>
      <c r="G1044" s="140"/>
      <c r="H1044" s="140"/>
      <c r="I1044" s="140"/>
      <c r="J1044" s="272"/>
      <c r="K1044" s="140"/>
      <c r="L1044" s="140"/>
      <c r="M1044" s="140"/>
      <c r="N1044" s="140"/>
      <c r="O1044" s="139"/>
    </row>
    <row r="1045" spans="1:15" x14ac:dyDescent="0.25">
      <c r="A1045" s="1454" t="s">
        <v>57</v>
      </c>
      <c r="B1045" s="133" t="s">
        <v>523</v>
      </c>
      <c r="C1045" s="94"/>
      <c r="D1045" s="94"/>
      <c r="E1045" s="94"/>
      <c r="F1045" s="94"/>
      <c r="G1045" s="94"/>
      <c r="H1045" s="94"/>
      <c r="I1045" s="94"/>
      <c r="J1045" s="1456" t="s">
        <v>51</v>
      </c>
      <c r="K1045" s="138">
        <v>81</v>
      </c>
      <c r="L1045" s="94"/>
      <c r="M1045" s="1454" t="s">
        <v>113</v>
      </c>
      <c r="N1045" s="100">
        <f>SU_08003_m+SU_08003_p</f>
        <v>1.3200069456555323</v>
      </c>
      <c r="O1045" s="93"/>
    </row>
    <row r="1046" spans="1:15" x14ac:dyDescent="0.25">
      <c r="A1046" s="1454" t="s">
        <v>125</v>
      </c>
      <c r="B1046" s="133" t="s">
        <v>5</v>
      </c>
      <c r="C1046" s="94"/>
      <c r="D1046" s="1454" t="s">
        <v>122</v>
      </c>
      <c r="E1046" s="94"/>
      <c r="F1046" s="94"/>
      <c r="G1046" s="94"/>
      <c r="H1046" s="94"/>
      <c r="I1046" s="94"/>
      <c r="J1046" s="94"/>
      <c r="K1046" s="94"/>
      <c r="L1046" s="94"/>
      <c r="M1046" s="1454" t="s">
        <v>124</v>
      </c>
      <c r="N1046" s="136">
        <v>2</v>
      </c>
      <c r="O1046" s="93"/>
    </row>
    <row r="1047" spans="1:15" x14ac:dyDescent="0.25">
      <c r="A1047" s="1454" t="s">
        <v>123</v>
      </c>
      <c r="B1047" s="270" t="str">
        <f>'SU Assemblies'!B386</f>
        <v>Rear rocker</v>
      </c>
      <c r="C1047" s="94"/>
      <c r="D1047" s="1454" t="s">
        <v>119</v>
      </c>
      <c r="E1047" s="94"/>
      <c r="F1047" s="94"/>
      <c r="G1047" s="94"/>
      <c r="H1047" s="94"/>
      <c r="I1047" s="94"/>
      <c r="J1047" s="1455" t="s">
        <v>122</v>
      </c>
      <c r="K1047" s="94"/>
      <c r="L1047" s="94"/>
      <c r="M1047" s="94"/>
      <c r="N1047" s="94"/>
      <c r="O1047" s="93"/>
    </row>
    <row r="1048" spans="1:15" x14ac:dyDescent="0.25">
      <c r="A1048" s="1454" t="s">
        <v>114</v>
      </c>
      <c r="B1048" s="135" t="s">
        <v>2546</v>
      </c>
      <c r="C1048" s="94"/>
      <c r="D1048" s="1454" t="s">
        <v>116</v>
      </c>
      <c r="E1048" s="94"/>
      <c r="F1048" s="94"/>
      <c r="G1048" s="94"/>
      <c r="H1048" s="94"/>
      <c r="I1048" s="94"/>
      <c r="J1048" s="1455" t="s">
        <v>119</v>
      </c>
      <c r="K1048" s="94"/>
      <c r="L1048" s="94"/>
      <c r="M1048" s="1454" t="s">
        <v>118</v>
      </c>
      <c r="N1048" s="100">
        <f>N1046*N1045</f>
        <v>2.6400138913110647</v>
      </c>
      <c r="O1048" s="93"/>
    </row>
    <row r="1049" spans="1:15" x14ac:dyDescent="0.25">
      <c r="A1049" s="1454" t="s">
        <v>121</v>
      </c>
      <c r="B1049" s="269" t="s">
        <v>2579</v>
      </c>
      <c r="C1049" s="94"/>
      <c r="D1049" s="94"/>
      <c r="E1049" s="94"/>
      <c r="F1049" s="94"/>
      <c r="G1049" s="94"/>
      <c r="H1049" s="94"/>
      <c r="I1049" s="94"/>
      <c r="J1049" s="1455" t="s">
        <v>116</v>
      </c>
      <c r="K1049" s="94"/>
      <c r="L1049" s="94"/>
      <c r="M1049" s="94"/>
      <c r="N1049" s="94"/>
      <c r="O1049" s="93"/>
    </row>
    <row r="1050" spans="1:15" x14ac:dyDescent="0.25">
      <c r="A1050" s="1454" t="s">
        <v>117</v>
      </c>
      <c r="B1050" s="133" t="s">
        <v>23</v>
      </c>
      <c r="C1050" s="94"/>
      <c r="D1050" s="94"/>
      <c r="E1050" s="94"/>
      <c r="F1050" s="94"/>
      <c r="G1050" s="94"/>
      <c r="H1050" s="94"/>
      <c r="I1050" s="94"/>
      <c r="J1050" s="94"/>
      <c r="K1050" s="94"/>
      <c r="L1050" s="94"/>
      <c r="M1050" s="94"/>
      <c r="N1050" s="94"/>
      <c r="O1050" s="93"/>
    </row>
    <row r="1051" spans="1:15" x14ac:dyDescent="0.25">
      <c r="A1051" s="1454" t="s">
        <v>115</v>
      </c>
      <c r="B1051" s="133"/>
      <c r="C1051" s="94"/>
      <c r="D1051" s="94"/>
      <c r="E1051" s="94"/>
      <c r="F1051" s="94"/>
      <c r="G1051" s="94"/>
      <c r="H1051" s="94"/>
      <c r="I1051" s="94"/>
      <c r="J1051" s="94"/>
      <c r="K1051" s="94"/>
      <c r="L1051" s="94"/>
      <c r="M1051" s="94"/>
      <c r="N1051" s="94"/>
      <c r="O1051" s="93"/>
    </row>
    <row r="1052" spans="1:15" x14ac:dyDescent="0.25">
      <c r="A1052" s="266"/>
      <c r="B1052" s="265"/>
      <c r="C1052" s="265"/>
      <c r="D1052" s="265"/>
      <c r="E1052" s="265"/>
      <c r="F1052" s="94"/>
      <c r="G1052" s="94"/>
      <c r="H1052" s="94"/>
      <c r="I1052" s="94"/>
      <c r="J1052" s="94"/>
      <c r="K1052" s="94"/>
      <c r="L1052" s="94"/>
      <c r="M1052" s="94"/>
      <c r="N1052" s="94"/>
      <c r="O1052" s="93"/>
    </row>
    <row r="1053" spans="1:15" x14ac:dyDescent="0.25">
      <c r="A1053" s="1453" t="s">
        <v>67</v>
      </c>
      <c r="B1053" s="1452" t="s">
        <v>112</v>
      </c>
      <c r="C1053" s="1452" t="s">
        <v>66</v>
      </c>
      <c r="D1053" s="1452" t="s">
        <v>65</v>
      </c>
      <c r="E1053" s="1452" t="s">
        <v>81</v>
      </c>
      <c r="F1053" s="1465" t="s">
        <v>80</v>
      </c>
      <c r="G1053" s="1465" t="s">
        <v>79</v>
      </c>
      <c r="H1053" s="1465" t="s">
        <v>78</v>
      </c>
      <c r="I1053" s="1465" t="s">
        <v>111</v>
      </c>
      <c r="J1053" s="1465" t="s">
        <v>110</v>
      </c>
      <c r="K1053" s="1465" t="s">
        <v>109</v>
      </c>
      <c r="L1053" s="1465" t="s">
        <v>108</v>
      </c>
      <c r="M1053" s="1465" t="s">
        <v>40</v>
      </c>
      <c r="N1053" s="1465" t="s">
        <v>58</v>
      </c>
      <c r="O1053" s="93"/>
    </row>
    <row r="1054" spans="1:15" ht="30" x14ac:dyDescent="0.25">
      <c r="A1054" s="1458">
        <v>10</v>
      </c>
      <c r="B1054" s="1460" t="s">
        <v>2545</v>
      </c>
      <c r="C1054" s="1508"/>
      <c r="D1054" s="1459">
        <v>2.2000000000000002</v>
      </c>
      <c r="E1054" s="1458">
        <v>10</v>
      </c>
      <c r="F1054" s="1458" t="s">
        <v>68</v>
      </c>
      <c r="G1054" s="1458"/>
      <c r="H1054" s="1470"/>
      <c r="I1054" s="1473" t="s">
        <v>2578</v>
      </c>
      <c r="J1054" s="1472">
        <f>PI()*0.005*0.005</f>
        <v>7.8539816339744841E-5</v>
      </c>
      <c r="K1054" s="1471">
        <v>0.01</v>
      </c>
      <c r="L1054" s="1470">
        <v>8500</v>
      </c>
      <c r="M1054" s="1469">
        <v>1</v>
      </c>
      <c r="N1054" s="1468">
        <f>IF(J1054="",D1054*M1054,D1054*J1054*K1054*L1054*M1054)</f>
        <v>1.4686945655532285E-2</v>
      </c>
      <c r="O1054" s="143"/>
    </row>
    <row r="1055" spans="1:15" x14ac:dyDescent="0.25">
      <c r="A1055" s="98"/>
      <c r="B1055" s="95"/>
      <c r="C1055" s="95"/>
      <c r="D1055" s="95"/>
      <c r="E1055" s="95"/>
      <c r="F1055" s="95"/>
      <c r="G1055" s="95"/>
      <c r="H1055" s="95"/>
      <c r="I1055" s="95"/>
      <c r="J1055" s="95"/>
      <c r="K1055" s="95"/>
      <c r="L1055" s="95"/>
      <c r="M1055" s="1467" t="s">
        <v>58</v>
      </c>
      <c r="N1055" s="1447">
        <f>SUM(N1054:N1054)</f>
        <v>1.4686945655532285E-2</v>
      </c>
      <c r="O1055" s="93"/>
    </row>
    <row r="1056" spans="1:15" x14ac:dyDescent="0.25">
      <c r="A1056" s="107"/>
      <c r="B1056" s="94"/>
      <c r="C1056" s="94"/>
      <c r="D1056" s="94"/>
      <c r="E1056" s="94"/>
      <c r="F1056" s="94"/>
      <c r="G1056" s="94"/>
      <c r="H1056" s="94"/>
      <c r="I1056" s="94"/>
      <c r="J1056" s="94"/>
      <c r="K1056" s="94"/>
      <c r="L1056" s="94"/>
      <c r="M1056" s="94"/>
      <c r="N1056" s="94"/>
      <c r="O1056" s="93"/>
    </row>
    <row r="1057" spans="1:15" x14ac:dyDescent="0.25">
      <c r="A1057" s="1466" t="s">
        <v>67</v>
      </c>
      <c r="B1057" s="1465" t="s">
        <v>106</v>
      </c>
      <c r="C1057" s="1465" t="s">
        <v>66</v>
      </c>
      <c r="D1057" s="1465" t="s">
        <v>65</v>
      </c>
      <c r="E1057" s="1465" t="s">
        <v>64</v>
      </c>
      <c r="F1057" s="1465" t="s">
        <v>40</v>
      </c>
      <c r="G1057" s="1465" t="s">
        <v>105</v>
      </c>
      <c r="H1057" s="1465" t="s">
        <v>104</v>
      </c>
      <c r="I1057" s="1465" t="s">
        <v>58</v>
      </c>
      <c r="J1057" s="95"/>
      <c r="K1057" s="95"/>
      <c r="L1057" s="95"/>
      <c r="M1057" s="95"/>
      <c r="N1057" s="95"/>
      <c r="O1057" s="93"/>
    </row>
    <row r="1058" spans="1:15" ht="30" x14ac:dyDescent="0.25">
      <c r="A1058" s="1497">
        <v>10</v>
      </c>
      <c r="B1058" s="1498" t="s">
        <v>516</v>
      </c>
      <c r="C1058" s="1503" t="s">
        <v>528</v>
      </c>
      <c r="D1058" s="1501">
        <v>1.3</v>
      </c>
      <c r="E1058" s="1498" t="s">
        <v>64</v>
      </c>
      <c r="F1058" s="1497">
        <v>1</v>
      </c>
      <c r="G1058" s="1497"/>
      <c r="H1058" s="1497"/>
      <c r="I1058" s="1462">
        <f>IF(H1058="",D1058*F1058,D1058*F1058*H1058)</f>
        <v>1.3</v>
      </c>
      <c r="J1058" s="142"/>
      <c r="K1058" s="142"/>
      <c r="L1058" s="142"/>
      <c r="M1058" s="142"/>
      <c r="N1058" s="142"/>
      <c r="O1058" s="120"/>
    </row>
    <row r="1059" spans="1:15" x14ac:dyDescent="0.25">
      <c r="A1059" s="1550">
        <v>20</v>
      </c>
      <c r="B1059" s="1550" t="s">
        <v>514</v>
      </c>
      <c r="C1059" s="1550" t="s">
        <v>1132</v>
      </c>
      <c r="D1059" s="1551">
        <v>0.04</v>
      </c>
      <c r="E1059" s="1550" t="s">
        <v>512</v>
      </c>
      <c r="F1059" s="1550">
        <v>0.1</v>
      </c>
      <c r="G1059" s="1553" t="s">
        <v>2577</v>
      </c>
      <c r="H1059" s="1550">
        <v>1.33</v>
      </c>
      <c r="I1059" s="1462">
        <f>IF(H1059="",D1059*F1059,D1059*F1059*H1059)</f>
        <v>5.3200000000000001E-3</v>
      </c>
      <c r="J1059" s="94"/>
      <c r="K1059" s="94"/>
      <c r="L1059" s="94"/>
      <c r="M1059" s="94"/>
      <c r="N1059" s="94"/>
      <c r="O1059" s="93"/>
    </row>
    <row r="1060" spans="1:15" x14ac:dyDescent="0.25">
      <c r="A1060" s="98"/>
      <c r="B1060" s="95"/>
      <c r="C1060" s="95"/>
      <c r="D1060" s="95"/>
      <c r="E1060" s="95"/>
      <c r="F1060" s="95"/>
      <c r="G1060" s="95"/>
      <c r="H1060" s="1448" t="s">
        <v>58</v>
      </c>
      <c r="I1060" s="1447">
        <f>SUM(I1058:I1059)</f>
        <v>1.30532</v>
      </c>
      <c r="J1060" s="95"/>
      <c r="K1060" s="95"/>
      <c r="L1060" s="95"/>
      <c r="M1060" s="95"/>
      <c r="N1060" s="95"/>
      <c r="O1060" s="93"/>
    </row>
    <row r="1061" spans="1:15" x14ac:dyDescent="0.25">
      <c r="A1061" s="107"/>
      <c r="B1061" s="94"/>
      <c r="C1061" s="94"/>
      <c r="D1061" s="94"/>
      <c r="E1061" s="94"/>
      <c r="F1061" s="94"/>
      <c r="G1061" s="94"/>
      <c r="H1061" s="94"/>
      <c r="I1061" s="99"/>
      <c r="J1061" s="94"/>
      <c r="K1061" s="94"/>
      <c r="L1061" s="94"/>
      <c r="M1061" s="94"/>
      <c r="N1061" s="94"/>
      <c r="O1061" s="93"/>
    </row>
    <row r="1062" spans="1:15" ht="15.75" thickBot="1" x14ac:dyDescent="0.3">
      <c r="A1062" s="92"/>
      <c r="B1062" s="91"/>
      <c r="C1062" s="91"/>
      <c r="D1062" s="91"/>
      <c r="E1062" s="91"/>
      <c r="F1062" s="91"/>
      <c r="G1062" s="91"/>
      <c r="H1062" s="91"/>
      <c r="I1062" s="91"/>
      <c r="J1062" s="91"/>
      <c r="K1062" s="91"/>
      <c r="L1062" s="91"/>
      <c r="M1062" s="91"/>
      <c r="N1062" s="91"/>
      <c r="O1062" s="90"/>
    </row>
    <row r="1063" spans="1:15" ht="15.75" thickBot="1" x14ac:dyDescent="0.3">
      <c r="A1063" s="94"/>
      <c r="B1063" s="94"/>
      <c r="C1063" s="94"/>
      <c r="D1063" s="94"/>
      <c r="E1063" s="94"/>
      <c r="F1063" s="94"/>
      <c r="G1063" s="94"/>
      <c r="H1063" s="94"/>
      <c r="I1063" s="94"/>
      <c r="J1063" s="94"/>
      <c r="K1063" s="94"/>
      <c r="L1063" s="94"/>
      <c r="M1063" s="94"/>
      <c r="N1063" s="94"/>
      <c r="O1063" s="94"/>
    </row>
    <row r="1064" spans="1:15" x14ac:dyDescent="0.25">
      <c r="A1064" s="141"/>
      <c r="B1064" s="140"/>
      <c r="C1064" s="140"/>
      <c r="D1064" s="140"/>
      <c r="E1064" s="140"/>
      <c r="F1064" s="140"/>
      <c r="G1064" s="140"/>
      <c r="H1064" s="140"/>
      <c r="I1064" s="140"/>
      <c r="J1064" s="272"/>
      <c r="K1064" s="140"/>
      <c r="L1064" s="140"/>
      <c r="M1064" s="140"/>
      <c r="N1064" s="140"/>
      <c r="O1064" s="139"/>
    </row>
    <row r="1065" spans="1:15" x14ac:dyDescent="0.25">
      <c r="A1065" s="1454" t="s">
        <v>57</v>
      </c>
      <c r="B1065" s="133" t="s">
        <v>523</v>
      </c>
      <c r="C1065" s="94"/>
      <c r="D1065" s="94"/>
      <c r="E1065" s="94"/>
      <c r="F1065" s="94"/>
      <c r="G1065" s="94"/>
      <c r="H1065" s="94"/>
      <c r="I1065" s="94"/>
      <c r="J1065" s="1456" t="s">
        <v>51</v>
      </c>
      <c r="K1065" s="138">
        <v>81</v>
      </c>
      <c r="L1065" s="94"/>
      <c r="M1065" s="1454" t="s">
        <v>113</v>
      </c>
      <c r="N1065" s="100">
        <f>SU_08004_m+SU_08004_p</f>
        <v>7.8336173125000013</v>
      </c>
      <c r="O1065" s="93"/>
    </row>
    <row r="1066" spans="1:15" x14ac:dyDescent="0.25">
      <c r="A1066" s="1454" t="s">
        <v>125</v>
      </c>
      <c r="B1066" s="133" t="s">
        <v>5</v>
      </c>
      <c r="C1066" s="94"/>
      <c r="D1066" s="1454" t="s">
        <v>122</v>
      </c>
      <c r="E1066" s="270" t="s">
        <v>522</v>
      </c>
      <c r="F1066" s="94"/>
      <c r="G1066" s="94"/>
      <c r="H1066" s="94"/>
      <c r="I1066" s="94"/>
      <c r="J1066" s="94"/>
      <c r="K1066" s="94"/>
      <c r="L1066" s="94"/>
      <c r="M1066" s="1454" t="s">
        <v>124</v>
      </c>
      <c r="N1066" s="136">
        <v>1</v>
      </c>
      <c r="O1066" s="93"/>
    </row>
    <row r="1067" spans="1:15" x14ac:dyDescent="0.25">
      <c r="A1067" s="1454" t="s">
        <v>123</v>
      </c>
      <c r="B1067" s="270" t="str">
        <f>'SU Assemblies'!B386</f>
        <v>Rear rocker</v>
      </c>
      <c r="C1067" s="94"/>
      <c r="D1067" s="1454" t="s">
        <v>119</v>
      </c>
      <c r="E1067" s="94"/>
      <c r="F1067" s="94"/>
      <c r="G1067" s="94"/>
      <c r="H1067" s="94"/>
      <c r="I1067" s="94"/>
      <c r="J1067" s="1455" t="s">
        <v>122</v>
      </c>
      <c r="K1067" s="94"/>
      <c r="L1067" s="94"/>
      <c r="M1067" s="94"/>
      <c r="N1067" s="94"/>
      <c r="O1067" s="93"/>
    </row>
    <row r="1068" spans="1:15" x14ac:dyDescent="0.25">
      <c r="A1068" s="1454" t="s">
        <v>114</v>
      </c>
      <c r="B1068" s="135" t="s">
        <v>2576</v>
      </c>
      <c r="C1068" s="94"/>
      <c r="D1068" s="1454" t="s">
        <v>116</v>
      </c>
      <c r="E1068" s="94"/>
      <c r="F1068" s="94"/>
      <c r="G1068" s="94"/>
      <c r="H1068" s="94"/>
      <c r="I1068" s="94"/>
      <c r="J1068" s="1455" t="s">
        <v>119</v>
      </c>
      <c r="K1068" s="94"/>
      <c r="L1068" s="94"/>
      <c r="M1068" s="1454" t="s">
        <v>118</v>
      </c>
      <c r="N1068" s="100">
        <f>N1066*N1065</f>
        <v>7.8336173125000013</v>
      </c>
      <c r="O1068" s="93"/>
    </row>
    <row r="1069" spans="1:15" x14ac:dyDescent="0.25">
      <c r="A1069" s="1454" t="s">
        <v>121</v>
      </c>
      <c r="B1069" s="269" t="s">
        <v>2575</v>
      </c>
      <c r="C1069" s="94"/>
      <c r="D1069" s="94"/>
      <c r="E1069" s="94"/>
      <c r="F1069" s="94"/>
      <c r="G1069" s="94"/>
      <c r="H1069" s="94"/>
      <c r="I1069" s="94"/>
      <c r="J1069" s="1455" t="s">
        <v>116</v>
      </c>
      <c r="K1069" s="94"/>
      <c r="L1069" s="94"/>
      <c r="M1069" s="94"/>
      <c r="N1069" s="94"/>
      <c r="O1069" s="93"/>
    </row>
    <row r="1070" spans="1:15" x14ac:dyDescent="0.25">
      <c r="A1070" s="1454" t="s">
        <v>117</v>
      </c>
      <c r="B1070" s="133" t="s">
        <v>23</v>
      </c>
      <c r="C1070" s="94"/>
      <c r="D1070" s="94"/>
      <c r="E1070" s="94"/>
      <c r="F1070" s="94"/>
      <c r="G1070" s="94"/>
      <c r="H1070" s="94"/>
      <c r="I1070" s="94"/>
      <c r="J1070" s="94"/>
      <c r="K1070" s="94"/>
      <c r="L1070" s="94"/>
      <c r="M1070" s="94"/>
      <c r="N1070" s="94"/>
      <c r="O1070" s="93"/>
    </row>
    <row r="1071" spans="1:15" x14ac:dyDescent="0.25">
      <c r="A1071" s="1454" t="s">
        <v>115</v>
      </c>
      <c r="B1071" s="194"/>
      <c r="C1071" s="94"/>
      <c r="D1071" s="94"/>
      <c r="E1071" s="94"/>
      <c r="F1071" s="94"/>
      <c r="G1071" s="94"/>
      <c r="H1071" s="94"/>
      <c r="I1071" s="94"/>
      <c r="J1071" s="94"/>
      <c r="K1071" s="94"/>
      <c r="L1071" s="94"/>
      <c r="M1071" s="94"/>
      <c r="N1071" s="94"/>
      <c r="O1071" s="93"/>
    </row>
    <row r="1072" spans="1:15" x14ac:dyDescent="0.25">
      <c r="A1072" s="266"/>
      <c r="B1072" s="265"/>
      <c r="C1072" s="265"/>
      <c r="D1072" s="265"/>
      <c r="E1072" s="265"/>
      <c r="F1072" s="94"/>
      <c r="G1072" s="94"/>
      <c r="H1072" s="94"/>
      <c r="I1072" s="94"/>
      <c r="J1072" s="94"/>
      <c r="K1072" s="94"/>
      <c r="L1072" s="94"/>
      <c r="M1072" s="94"/>
      <c r="N1072" s="94"/>
      <c r="O1072" s="93"/>
    </row>
    <row r="1073" spans="1:15" x14ac:dyDescent="0.25">
      <c r="A1073" s="1453" t="s">
        <v>67</v>
      </c>
      <c r="B1073" s="1452" t="s">
        <v>112</v>
      </c>
      <c r="C1073" s="1452" t="s">
        <v>66</v>
      </c>
      <c r="D1073" s="1452" t="s">
        <v>65</v>
      </c>
      <c r="E1073" s="1452" t="s">
        <v>81</v>
      </c>
      <c r="F1073" s="1465" t="s">
        <v>80</v>
      </c>
      <c r="G1073" s="1465" t="s">
        <v>79</v>
      </c>
      <c r="H1073" s="1465" t="s">
        <v>78</v>
      </c>
      <c r="I1073" s="1465" t="s">
        <v>111</v>
      </c>
      <c r="J1073" s="1465" t="s">
        <v>110</v>
      </c>
      <c r="K1073" s="1465" t="s">
        <v>109</v>
      </c>
      <c r="L1073" s="1465" t="s">
        <v>108</v>
      </c>
      <c r="M1073" s="1465" t="s">
        <v>40</v>
      </c>
      <c r="N1073" s="1465" t="s">
        <v>58</v>
      </c>
      <c r="O1073" s="93"/>
    </row>
    <row r="1074" spans="1:15" ht="30" x14ac:dyDescent="0.25">
      <c r="A1074" s="1458">
        <v>10</v>
      </c>
      <c r="B1074" s="1475" t="s">
        <v>519</v>
      </c>
      <c r="C1074" s="1508" t="s">
        <v>2561</v>
      </c>
      <c r="D1074" s="1507">
        <v>2.25</v>
      </c>
      <c r="E1074" s="1458">
        <v>31</v>
      </c>
      <c r="F1074" s="1458" t="s">
        <v>68</v>
      </c>
      <c r="G1074" s="1458">
        <v>25</v>
      </c>
      <c r="H1074" s="1470" t="s">
        <v>68</v>
      </c>
      <c r="I1074" s="1473" t="s">
        <v>2574</v>
      </c>
      <c r="J1074" s="1476">
        <f>0.031*0.025</f>
        <v>7.7500000000000008E-4</v>
      </c>
      <c r="K1074" s="1471">
        <v>4.5499999999999999E-2</v>
      </c>
      <c r="L1074" s="1549">
        <v>7860</v>
      </c>
      <c r="M1074" s="1469">
        <v>1</v>
      </c>
      <c r="N1074" s="1468">
        <f>IF(J1074="",D1074*M1074,D1074*J1074*K1074*L1074*M1074)</f>
        <v>0.62361731250000008</v>
      </c>
      <c r="O1074" s="143"/>
    </row>
    <row r="1075" spans="1:15" x14ac:dyDescent="0.25">
      <c r="A1075" s="98"/>
      <c r="B1075" s="95"/>
      <c r="C1075" s="95"/>
      <c r="D1075" s="95"/>
      <c r="E1075" s="95"/>
      <c r="F1075" s="95"/>
      <c r="G1075" s="95"/>
      <c r="H1075" s="95"/>
      <c r="I1075" s="95"/>
      <c r="J1075" s="95"/>
      <c r="K1075" s="95"/>
      <c r="L1075" s="95"/>
      <c r="M1075" s="1467" t="s">
        <v>58</v>
      </c>
      <c r="N1075" s="1447">
        <f>SUM(N1074:N1074)</f>
        <v>0.62361731250000008</v>
      </c>
      <c r="O1075" s="93"/>
    </row>
    <row r="1076" spans="1:15" x14ac:dyDescent="0.25">
      <c r="A1076" s="107"/>
      <c r="B1076" s="94"/>
      <c r="C1076" s="94"/>
      <c r="D1076" s="94"/>
      <c r="E1076" s="94"/>
      <c r="F1076" s="94"/>
      <c r="G1076" s="94"/>
      <c r="H1076" s="94"/>
      <c r="I1076" s="94"/>
      <c r="J1076" s="94"/>
      <c r="K1076" s="94"/>
      <c r="L1076" s="94"/>
      <c r="M1076" s="94"/>
      <c r="N1076" s="94"/>
      <c r="O1076" s="93"/>
    </row>
    <row r="1077" spans="1:15" x14ac:dyDescent="0.25">
      <c r="A1077" s="1466" t="s">
        <v>67</v>
      </c>
      <c r="B1077" s="1465" t="s">
        <v>106</v>
      </c>
      <c r="C1077" s="1465" t="s">
        <v>66</v>
      </c>
      <c r="D1077" s="1465" t="s">
        <v>65</v>
      </c>
      <c r="E1077" s="1465" t="s">
        <v>64</v>
      </c>
      <c r="F1077" s="1465" t="s">
        <v>40</v>
      </c>
      <c r="G1077" s="1465" t="s">
        <v>105</v>
      </c>
      <c r="H1077" s="1465" t="s">
        <v>104</v>
      </c>
      <c r="I1077" s="1465" t="s">
        <v>58</v>
      </c>
      <c r="J1077" s="95"/>
      <c r="K1077" s="95"/>
      <c r="L1077" s="95"/>
      <c r="M1077" s="95"/>
      <c r="N1077" s="95"/>
      <c r="O1077" s="93"/>
    </row>
    <row r="1078" spans="1:15" ht="30" x14ac:dyDescent="0.25">
      <c r="A1078" s="1497">
        <v>10</v>
      </c>
      <c r="B1078" s="1498" t="s">
        <v>516</v>
      </c>
      <c r="C1078" s="1503" t="s">
        <v>528</v>
      </c>
      <c r="D1078" s="1501">
        <v>1.3</v>
      </c>
      <c r="E1078" s="1498" t="s">
        <v>64</v>
      </c>
      <c r="F1078" s="1497">
        <v>1</v>
      </c>
      <c r="G1078" s="1497"/>
      <c r="H1078" s="1497"/>
      <c r="I1078" s="1462">
        <f t="shared" ref="I1078:I1084" si="19">IF(H1078="",D1078*F1078,D1078*F1078*H1078)</f>
        <v>1.3</v>
      </c>
      <c r="J1078" s="142"/>
      <c r="K1078" s="142"/>
      <c r="L1078" s="142"/>
      <c r="M1078" s="142"/>
      <c r="N1078" s="142"/>
      <c r="O1078" s="120"/>
    </row>
    <row r="1079" spans="1:15" x14ac:dyDescent="0.25">
      <c r="A1079" s="1550">
        <v>20</v>
      </c>
      <c r="B1079" s="1550" t="s">
        <v>514</v>
      </c>
      <c r="C1079" s="1550" t="s">
        <v>1263</v>
      </c>
      <c r="D1079" s="1551">
        <v>0.04</v>
      </c>
      <c r="E1079" s="1550" t="s">
        <v>512</v>
      </c>
      <c r="F1079" s="1550">
        <v>16.100000000000001</v>
      </c>
      <c r="G1079" s="1553" t="s">
        <v>2557</v>
      </c>
      <c r="H1079" s="1550">
        <v>3</v>
      </c>
      <c r="I1079" s="1462">
        <f t="shared" si="19"/>
        <v>1.9319999999999999</v>
      </c>
      <c r="J1079" s="142"/>
      <c r="K1079" s="142"/>
      <c r="L1079" s="142"/>
      <c r="M1079" s="142"/>
      <c r="N1079" s="142"/>
      <c r="O1079" s="120"/>
    </row>
    <row r="1080" spans="1:15" x14ac:dyDescent="0.25">
      <c r="A1080" s="1497">
        <v>30</v>
      </c>
      <c r="B1080" s="1497" t="s">
        <v>2177</v>
      </c>
      <c r="C1080" s="1497" t="s">
        <v>1252</v>
      </c>
      <c r="D1080" s="1552">
        <v>0.35</v>
      </c>
      <c r="E1080" s="1497" t="s">
        <v>294</v>
      </c>
      <c r="F1080" s="1497">
        <v>1</v>
      </c>
      <c r="G1080" s="1497"/>
      <c r="H1080" s="1497"/>
      <c r="I1080" s="1462">
        <f t="shared" si="19"/>
        <v>0.35</v>
      </c>
      <c r="J1080" s="142"/>
      <c r="K1080" s="142"/>
      <c r="L1080" s="142"/>
      <c r="M1080" s="142"/>
      <c r="N1080" s="142"/>
      <c r="O1080" s="120"/>
    </row>
    <row r="1081" spans="1:15" x14ac:dyDescent="0.25">
      <c r="A1081" s="1550">
        <v>40</v>
      </c>
      <c r="B1081" s="1550" t="s">
        <v>2536</v>
      </c>
      <c r="C1081" s="1550"/>
      <c r="D1081" s="1551">
        <v>0.65</v>
      </c>
      <c r="E1081" s="1550" t="s">
        <v>64</v>
      </c>
      <c r="F1081" s="1550">
        <v>1</v>
      </c>
      <c r="G1081" s="1550"/>
      <c r="H1081" s="1550"/>
      <c r="I1081" s="1462">
        <f t="shared" si="19"/>
        <v>0.65</v>
      </c>
      <c r="J1081" s="142"/>
      <c r="K1081" s="142"/>
      <c r="L1081" s="142"/>
      <c r="M1081" s="142"/>
      <c r="N1081" s="142"/>
      <c r="O1081" s="120"/>
    </row>
    <row r="1082" spans="1:15" x14ac:dyDescent="0.25">
      <c r="A1082" s="1550">
        <v>50</v>
      </c>
      <c r="B1082" s="1550" t="s">
        <v>514</v>
      </c>
      <c r="C1082" s="1550" t="s">
        <v>2559</v>
      </c>
      <c r="D1082" s="1551">
        <v>0.04</v>
      </c>
      <c r="E1082" s="1550" t="s">
        <v>512</v>
      </c>
      <c r="F1082" s="1550">
        <v>18</v>
      </c>
      <c r="G1082" s="1550" t="s">
        <v>2557</v>
      </c>
      <c r="H1082" s="1550">
        <v>3</v>
      </c>
      <c r="I1082" s="1462">
        <f t="shared" si="19"/>
        <v>2.16</v>
      </c>
      <c r="J1082" s="94"/>
      <c r="K1082" s="94"/>
      <c r="L1082" s="94"/>
      <c r="M1082" s="94"/>
      <c r="N1082" s="94"/>
      <c r="O1082" s="93"/>
    </row>
    <row r="1083" spans="1:15" x14ac:dyDescent="0.25">
      <c r="A1083" s="1550">
        <v>60</v>
      </c>
      <c r="B1083" s="1550" t="s">
        <v>2536</v>
      </c>
      <c r="C1083" s="1550"/>
      <c r="D1083" s="1551">
        <v>0.65</v>
      </c>
      <c r="E1083" s="1550" t="s">
        <v>64</v>
      </c>
      <c r="F1083" s="1550">
        <v>1</v>
      </c>
      <c r="G1083" s="1550"/>
      <c r="H1083" s="1550"/>
      <c r="I1083" s="1468">
        <f t="shared" si="19"/>
        <v>0.65</v>
      </c>
      <c r="J1083" s="99"/>
      <c r="K1083" s="99"/>
      <c r="L1083" s="99"/>
      <c r="M1083" s="99"/>
      <c r="N1083" s="99"/>
      <c r="O1083" s="130"/>
    </row>
    <row r="1084" spans="1:15" x14ac:dyDescent="0.25">
      <c r="A1084" s="1550">
        <v>70</v>
      </c>
      <c r="B1084" s="1550" t="s">
        <v>514</v>
      </c>
      <c r="C1084" s="1550" t="s">
        <v>1252</v>
      </c>
      <c r="D1084" s="1551">
        <v>0.04</v>
      </c>
      <c r="E1084" s="1550" t="s">
        <v>512</v>
      </c>
      <c r="F1084" s="1550">
        <v>1.4</v>
      </c>
      <c r="G1084" s="1550" t="s">
        <v>2557</v>
      </c>
      <c r="H1084" s="1550">
        <v>3</v>
      </c>
      <c r="I1084" s="1468">
        <f t="shared" si="19"/>
        <v>0.16799999999999998</v>
      </c>
      <c r="J1084" s="94"/>
      <c r="K1084" s="94"/>
      <c r="L1084" s="94"/>
      <c r="M1084" s="94"/>
      <c r="N1084" s="94"/>
      <c r="O1084" s="93"/>
    </row>
    <row r="1085" spans="1:15" x14ac:dyDescent="0.25">
      <c r="A1085" s="98"/>
      <c r="B1085" s="95"/>
      <c r="C1085" s="95"/>
      <c r="D1085" s="95"/>
      <c r="E1085" s="95"/>
      <c r="F1085" s="95"/>
      <c r="G1085" s="95"/>
      <c r="H1085" s="1448" t="s">
        <v>58</v>
      </c>
      <c r="I1085" s="1447">
        <f>SUM(I1078:I1084)</f>
        <v>7.2100000000000009</v>
      </c>
      <c r="J1085" s="95"/>
      <c r="K1085" s="95"/>
      <c r="L1085" s="95"/>
      <c r="M1085" s="95"/>
      <c r="N1085" s="95"/>
      <c r="O1085" s="93"/>
    </row>
    <row r="1086" spans="1:15" x14ac:dyDescent="0.25">
      <c r="A1086" s="107"/>
      <c r="B1086" s="94"/>
      <c r="C1086" s="94"/>
      <c r="D1086" s="94"/>
      <c r="E1086" s="94"/>
      <c r="F1086" s="94"/>
      <c r="G1086" s="94"/>
      <c r="H1086" s="94"/>
      <c r="I1086" s="99"/>
      <c r="J1086" s="94"/>
      <c r="K1086" s="94"/>
      <c r="L1086" s="94"/>
      <c r="M1086" s="94"/>
      <c r="N1086" s="94"/>
      <c r="O1086" s="93"/>
    </row>
    <row r="1087" spans="1:15" ht="15.75" thickBot="1" x14ac:dyDescent="0.3">
      <c r="A1087" s="92"/>
      <c r="B1087" s="91"/>
      <c r="C1087" s="91"/>
      <c r="D1087" s="91"/>
      <c r="E1087" s="91"/>
      <c r="F1087" s="91"/>
      <c r="G1087" s="91"/>
      <c r="H1087" s="91"/>
      <c r="I1087" s="91"/>
      <c r="J1087" s="91"/>
      <c r="K1087" s="91"/>
      <c r="L1087" s="91"/>
      <c r="M1087" s="91"/>
      <c r="N1087" s="91"/>
      <c r="O1087" s="90"/>
    </row>
    <row r="1088" spans="1:15" ht="15.75" thickBot="1" x14ac:dyDescent="0.3">
      <c r="A1088" s="94"/>
      <c r="B1088" s="94"/>
      <c r="C1088" s="94"/>
      <c r="D1088" s="94"/>
      <c r="E1088" s="94"/>
      <c r="F1088" s="94"/>
      <c r="G1088" s="94"/>
      <c r="H1088" s="94"/>
      <c r="I1088" s="94"/>
      <c r="J1088" s="94"/>
      <c r="K1088" s="94"/>
      <c r="L1088" s="94"/>
      <c r="M1088" s="94"/>
      <c r="N1088" s="94"/>
      <c r="O1088" s="94"/>
    </row>
    <row r="1089" spans="1:15" x14ac:dyDescent="0.25">
      <c r="A1089" s="141"/>
      <c r="B1089" s="140"/>
      <c r="C1089" s="140"/>
      <c r="D1089" s="140"/>
      <c r="E1089" s="140"/>
      <c r="F1089" s="140"/>
      <c r="G1089" s="140"/>
      <c r="H1089" s="140"/>
      <c r="I1089" s="140"/>
      <c r="J1089" s="272"/>
      <c r="K1089" s="140"/>
      <c r="L1089" s="140"/>
      <c r="M1089" s="140"/>
      <c r="N1089" s="140"/>
      <c r="O1089" s="139"/>
    </row>
    <row r="1090" spans="1:15" x14ac:dyDescent="0.25">
      <c r="A1090" s="1454" t="s">
        <v>57</v>
      </c>
      <c r="B1090" s="133" t="s">
        <v>523</v>
      </c>
      <c r="C1090" s="94"/>
      <c r="D1090" s="94"/>
      <c r="E1090" s="94"/>
      <c r="F1090" s="94"/>
      <c r="G1090" s="94"/>
      <c r="H1090" s="94"/>
      <c r="I1090" s="94"/>
      <c r="J1090" s="1456" t="s">
        <v>51</v>
      </c>
      <c r="K1090" s="138">
        <v>81</v>
      </c>
      <c r="L1090" s="94"/>
      <c r="M1090" s="1454" t="s">
        <v>113</v>
      </c>
      <c r="N1090" s="100">
        <f>SU_08005_m+SU_08005_p</f>
        <v>6.1134331711914687</v>
      </c>
      <c r="O1090" s="93"/>
    </row>
    <row r="1091" spans="1:15" x14ac:dyDescent="0.25">
      <c r="A1091" s="1454" t="s">
        <v>125</v>
      </c>
      <c r="B1091" s="133" t="s">
        <v>5</v>
      </c>
      <c r="C1091" s="94"/>
      <c r="D1091" s="1454" t="s">
        <v>122</v>
      </c>
      <c r="E1091" s="270" t="s">
        <v>522</v>
      </c>
      <c r="F1091" s="94"/>
      <c r="G1091" s="94"/>
      <c r="H1091" s="94"/>
      <c r="I1091" s="94"/>
      <c r="J1091" s="94"/>
      <c r="K1091" s="94"/>
      <c r="L1091" s="94"/>
      <c r="M1091" s="1454" t="s">
        <v>124</v>
      </c>
      <c r="N1091" s="136">
        <v>1</v>
      </c>
      <c r="O1091" s="93"/>
    </row>
    <row r="1092" spans="1:15" x14ac:dyDescent="0.25">
      <c r="A1092" s="1454" t="s">
        <v>123</v>
      </c>
      <c r="B1092" s="270" t="str">
        <f>'SU Assemblies'!B386</f>
        <v>Rear rocker</v>
      </c>
      <c r="C1092" s="94"/>
      <c r="D1092" s="1454" t="s">
        <v>119</v>
      </c>
      <c r="E1092" s="94"/>
      <c r="F1092" s="94"/>
      <c r="G1092" s="94"/>
      <c r="H1092" s="94"/>
      <c r="I1092" s="94"/>
      <c r="J1092" s="1455" t="s">
        <v>122</v>
      </c>
      <c r="K1092" s="94"/>
      <c r="L1092" s="94"/>
      <c r="M1092" s="94"/>
      <c r="N1092" s="94"/>
      <c r="O1092" s="93"/>
    </row>
    <row r="1093" spans="1:15" x14ac:dyDescent="0.25">
      <c r="A1093" s="1454" t="s">
        <v>114</v>
      </c>
      <c r="B1093" s="135" t="s">
        <v>2573</v>
      </c>
      <c r="C1093" s="94"/>
      <c r="D1093" s="1454" t="s">
        <v>116</v>
      </c>
      <c r="E1093" s="94"/>
      <c r="F1093" s="94"/>
      <c r="G1093" s="94"/>
      <c r="H1093" s="94"/>
      <c r="I1093" s="94"/>
      <c r="J1093" s="1455" t="s">
        <v>119</v>
      </c>
      <c r="K1093" s="94"/>
      <c r="L1093" s="94"/>
      <c r="M1093" s="1454" t="s">
        <v>118</v>
      </c>
      <c r="N1093" s="100">
        <f>N1091*N1090</f>
        <v>6.1134331711914687</v>
      </c>
      <c r="O1093" s="93"/>
    </row>
    <row r="1094" spans="1:15" x14ac:dyDescent="0.25">
      <c r="A1094" s="1454" t="s">
        <v>121</v>
      </c>
      <c r="B1094" s="269" t="s">
        <v>2572</v>
      </c>
      <c r="C1094" s="94"/>
      <c r="D1094" s="94"/>
      <c r="E1094" s="94"/>
      <c r="F1094" s="94"/>
      <c r="G1094" s="94"/>
      <c r="H1094" s="94"/>
      <c r="I1094" s="94"/>
      <c r="J1094" s="1455" t="s">
        <v>116</v>
      </c>
      <c r="K1094" s="94"/>
      <c r="L1094" s="94"/>
      <c r="M1094" s="94"/>
      <c r="N1094" s="94"/>
      <c r="O1094" s="93"/>
    </row>
    <row r="1095" spans="1:15" x14ac:dyDescent="0.25">
      <c r="A1095" s="1454" t="s">
        <v>117</v>
      </c>
      <c r="B1095" s="133" t="s">
        <v>23</v>
      </c>
      <c r="C1095" s="94"/>
      <c r="D1095" s="94"/>
      <c r="E1095" s="94"/>
      <c r="F1095" s="94"/>
      <c r="G1095" s="94"/>
      <c r="H1095" s="94"/>
      <c r="I1095" s="94"/>
      <c r="J1095" s="94"/>
      <c r="K1095" s="94"/>
      <c r="L1095" s="94"/>
      <c r="M1095" s="94"/>
      <c r="N1095" s="94"/>
      <c r="O1095" s="93"/>
    </row>
    <row r="1096" spans="1:15" x14ac:dyDescent="0.25">
      <c r="A1096" s="1454" t="s">
        <v>115</v>
      </c>
      <c r="B1096" s="194"/>
      <c r="C1096" s="94"/>
      <c r="D1096" s="94"/>
      <c r="E1096" s="94"/>
      <c r="F1096" s="94"/>
      <c r="G1096" s="94"/>
      <c r="H1096" s="94"/>
      <c r="I1096" s="94"/>
      <c r="J1096" s="94"/>
      <c r="K1096" s="94"/>
      <c r="L1096" s="94"/>
      <c r="M1096" s="94"/>
      <c r="N1096" s="94"/>
      <c r="O1096" s="93"/>
    </row>
    <row r="1097" spans="1:15" x14ac:dyDescent="0.25">
      <c r="A1097" s="266"/>
      <c r="B1097" s="265"/>
      <c r="C1097" s="265"/>
      <c r="D1097" s="265"/>
      <c r="E1097" s="265"/>
      <c r="F1097" s="94"/>
      <c r="G1097" s="94"/>
      <c r="H1097" s="94"/>
      <c r="I1097" s="94"/>
      <c r="J1097" s="94"/>
      <c r="K1097" s="94"/>
      <c r="L1097" s="94"/>
      <c r="M1097" s="94"/>
      <c r="N1097" s="94"/>
      <c r="O1097" s="93"/>
    </row>
    <row r="1098" spans="1:15" x14ac:dyDescent="0.25">
      <c r="A1098" s="1453" t="s">
        <v>67</v>
      </c>
      <c r="B1098" s="1452" t="s">
        <v>112</v>
      </c>
      <c r="C1098" s="1452" t="s">
        <v>66</v>
      </c>
      <c r="D1098" s="1452" t="s">
        <v>65</v>
      </c>
      <c r="E1098" s="1452" t="s">
        <v>81</v>
      </c>
      <c r="F1098" s="1465" t="s">
        <v>80</v>
      </c>
      <c r="G1098" s="1465" t="s">
        <v>79</v>
      </c>
      <c r="H1098" s="1465" t="s">
        <v>78</v>
      </c>
      <c r="I1098" s="1465" t="s">
        <v>111</v>
      </c>
      <c r="J1098" s="1465" t="s">
        <v>110</v>
      </c>
      <c r="K1098" s="1465" t="s">
        <v>109</v>
      </c>
      <c r="L1098" s="1465" t="s">
        <v>108</v>
      </c>
      <c r="M1098" s="1465" t="s">
        <v>40</v>
      </c>
      <c r="N1098" s="1465" t="s">
        <v>58</v>
      </c>
      <c r="O1098" s="93"/>
    </row>
    <row r="1099" spans="1:15" x14ac:dyDescent="0.25">
      <c r="A1099" s="1458">
        <v>10</v>
      </c>
      <c r="B1099" s="1475" t="s">
        <v>797</v>
      </c>
      <c r="C1099" s="1508" t="s">
        <v>2561</v>
      </c>
      <c r="D1099" s="1507">
        <v>200</v>
      </c>
      <c r="E1099" s="1458">
        <v>16</v>
      </c>
      <c r="F1099" s="1458" t="s">
        <v>68</v>
      </c>
      <c r="G1099" s="1458">
        <v>2</v>
      </c>
      <c r="H1099" s="1470" t="s">
        <v>68</v>
      </c>
      <c r="I1099" s="1473" t="s">
        <v>1092</v>
      </c>
      <c r="J1099" s="1472">
        <f>(1/4)*PI()*((E1099*0.001)^2-(E1099*0.001-2*G1099*0.001)^2)</f>
        <v>8.7964594300514196E-5</v>
      </c>
      <c r="K1099" s="1471">
        <v>0.153</v>
      </c>
      <c r="L1099" s="1549">
        <v>2000</v>
      </c>
      <c r="M1099" s="1469">
        <v>1</v>
      </c>
      <c r="N1099" s="1468">
        <f>IF(J1099="",D1099*M1099,D1099*J1099*K1099*L1099*M1099)</f>
        <v>5.3834331711914691</v>
      </c>
      <c r="O1099" s="143"/>
    </row>
    <row r="1100" spans="1:15" x14ac:dyDescent="0.25">
      <c r="A1100" s="98"/>
      <c r="B1100" s="95"/>
      <c r="C1100" s="95"/>
      <c r="D1100" s="95"/>
      <c r="E1100" s="95"/>
      <c r="F1100" s="95"/>
      <c r="G1100" s="95"/>
      <c r="H1100" s="95"/>
      <c r="I1100" s="95"/>
      <c r="J1100" s="95"/>
      <c r="K1100" s="95"/>
      <c r="L1100" s="95"/>
      <c r="M1100" s="1467" t="s">
        <v>58</v>
      </c>
      <c r="N1100" s="1447">
        <f>SUM(N1099:N1099)</f>
        <v>5.3834331711914691</v>
      </c>
      <c r="O1100" s="93"/>
    </row>
    <row r="1101" spans="1:15" x14ac:dyDescent="0.25">
      <c r="A1101" s="107"/>
      <c r="B1101" s="94"/>
      <c r="C1101" s="94"/>
      <c r="D1101" s="94"/>
      <c r="E1101" s="94"/>
      <c r="F1101" s="94"/>
      <c r="G1101" s="94"/>
      <c r="H1101" s="94"/>
      <c r="I1101" s="94"/>
      <c r="J1101" s="94"/>
      <c r="K1101" s="94"/>
      <c r="L1101" s="94"/>
      <c r="M1101" s="94"/>
      <c r="N1101" s="94"/>
      <c r="O1101" s="93"/>
    </row>
    <row r="1102" spans="1:15" x14ac:dyDescent="0.25">
      <c r="A1102" s="1466" t="s">
        <v>67</v>
      </c>
      <c r="B1102" s="1465" t="s">
        <v>106</v>
      </c>
      <c r="C1102" s="1465" t="s">
        <v>66</v>
      </c>
      <c r="D1102" s="1465" t="s">
        <v>65</v>
      </c>
      <c r="E1102" s="1465" t="s">
        <v>64</v>
      </c>
      <c r="F1102" s="1465" t="s">
        <v>40</v>
      </c>
      <c r="G1102" s="1465" t="s">
        <v>105</v>
      </c>
      <c r="H1102" s="1465" t="s">
        <v>104</v>
      </c>
      <c r="I1102" s="1465" t="s">
        <v>58</v>
      </c>
      <c r="J1102" s="95"/>
      <c r="K1102" s="95"/>
      <c r="L1102" s="95"/>
      <c r="M1102" s="95"/>
      <c r="N1102" s="95"/>
      <c r="O1102" s="93"/>
    </row>
    <row r="1103" spans="1:15" x14ac:dyDescent="0.25">
      <c r="A1103" s="1497">
        <v>10</v>
      </c>
      <c r="B1103" s="1498" t="s">
        <v>2565</v>
      </c>
      <c r="C1103" s="1503" t="s">
        <v>2564</v>
      </c>
      <c r="D1103" s="1501">
        <v>25</v>
      </c>
      <c r="E1103" s="1498" t="s">
        <v>794</v>
      </c>
      <c r="F1103" s="1497">
        <v>2.92E-2</v>
      </c>
      <c r="G1103" s="1497"/>
      <c r="H1103" s="1497"/>
      <c r="I1103" s="1462">
        <f>IF(H1103="",D1103*F1103,D1103*F1103*H1103)</f>
        <v>0.73</v>
      </c>
      <c r="J1103" s="142"/>
      <c r="K1103" s="142"/>
      <c r="L1103" s="142"/>
      <c r="M1103" s="142"/>
      <c r="N1103" s="142"/>
      <c r="O1103" s="120"/>
    </row>
    <row r="1104" spans="1:15" x14ac:dyDescent="0.25">
      <c r="A1104" s="98"/>
      <c r="B1104" s="95"/>
      <c r="C1104" s="95"/>
      <c r="D1104" s="95"/>
      <c r="E1104" s="95"/>
      <c r="F1104" s="95"/>
      <c r="G1104" s="95"/>
      <c r="H1104" s="1448" t="s">
        <v>58</v>
      </c>
      <c r="I1104" s="1447">
        <f>SUM(I1103:I1103)</f>
        <v>0.73</v>
      </c>
      <c r="J1104" s="95"/>
      <c r="K1104" s="95"/>
      <c r="L1104" s="95"/>
      <c r="M1104" s="95"/>
      <c r="N1104" s="95"/>
      <c r="O1104" s="93"/>
    </row>
    <row r="1105" spans="1:15" x14ac:dyDescent="0.25">
      <c r="A1105" s="107"/>
      <c r="B1105" s="94"/>
      <c r="C1105" s="94"/>
      <c r="D1105" s="94"/>
      <c r="E1105" s="94"/>
      <c r="F1105" s="94"/>
      <c r="G1105" s="94"/>
      <c r="H1105" s="94"/>
      <c r="I1105" s="99"/>
      <c r="J1105" s="94"/>
      <c r="K1105" s="94"/>
      <c r="L1105" s="94"/>
      <c r="M1105" s="94"/>
      <c r="N1105" s="94"/>
      <c r="O1105" s="93"/>
    </row>
    <row r="1106" spans="1:15" ht="15.75" thickBot="1" x14ac:dyDescent="0.3">
      <c r="A1106" s="92"/>
      <c r="B1106" s="91"/>
      <c r="C1106" s="91"/>
      <c r="D1106" s="91"/>
      <c r="E1106" s="91"/>
      <c r="F1106" s="91"/>
      <c r="G1106" s="91"/>
      <c r="H1106" s="91"/>
      <c r="I1106" s="91"/>
      <c r="J1106" s="91"/>
      <c r="K1106" s="91"/>
      <c r="L1106" s="91"/>
      <c r="M1106" s="91"/>
      <c r="N1106" s="91"/>
      <c r="O1106" s="90"/>
    </row>
    <row r="1107" spans="1:15" ht="15.75" thickBot="1" x14ac:dyDescent="0.3">
      <c r="A1107" s="94"/>
      <c r="B1107" s="94"/>
      <c r="C1107" s="94"/>
      <c r="D1107" s="94"/>
      <c r="E1107" s="94"/>
      <c r="F1107" s="94"/>
      <c r="G1107" s="94"/>
      <c r="H1107" s="94"/>
      <c r="I1107" s="94"/>
      <c r="J1107" s="94"/>
      <c r="K1107" s="94"/>
      <c r="L1107" s="94"/>
      <c r="M1107" s="94"/>
      <c r="N1107" s="94"/>
      <c r="O1107" s="94"/>
    </row>
    <row r="1108" spans="1:15" x14ac:dyDescent="0.25">
      <c r="A1108" s="141"/>
      <c r="B1108" s="140"/>
      <c r="C1108" s="140"/>
      <c r="D1108" s="140"/>
      <c r="E1108" s="140"/>
      <c r="F1108" s="140"/>
      <c r="G1108" s="140"/>
      <c r="H1108" s="140"/>
      <c r="I1108" s="140"/>
      <c r="J1108" s="272"/>
      <c r="K1108" s="140"/>
      <c r="L1108" s="140"/>
      <c r="M1108" s="140"/>
      <c r="N1108" s="140"/>
      <c r="O1108" s="139"/>
    </row>
    <row r="1109" spans="1:15" x14ac:dyDescent="0.25">
      <c r="A1109" s="1454" t="s">
        <v>57</v>
      </c>
      <c r="B1109" s="133" t="s">
        <v>523</v>
      </c>
      <c r="C1109" s="94"/>
      <c r="D1109" s="94"/>
      <c r="E1109" s="94"/>
      <c r="F1109" s="94"/>
      <c r="G1109" s="94"/>
      <c r="H1109" s="94"/>
      <c r="I1109" s="94"/>
      <c r="J1109" s="1456" t="s">
        <v>51</v>
      </c>
      <c r="K1109" s="138">
        <v>81</v>
      </c>
      <c r="L1109" s="94"/>
      <c r="M1109" s="1454" t="s">
        <v>113</v>
      </c>
      <c r="N1109" s="100">
        <f>SU_08006_m+SU_08006_p</f>
        <v>2.9527811127747987</v>
      </c>
      <c r="O1109" s="93"/>
    </row>
    <row r="1110" spans="1:15" x14ac:dyDescent="0.25">
      <c r="A1110" s="1454" t="s">
        <v>125</v>
      </c>
      <c r="B1110" s="133" t="s">
        <v>5</v>
      </c>
      <c r="C1110" s="94"/>
      <c r="D1110" s="1454" t="s">
        <v>122</v>
      </c>
      <c r="E1110" s="270" t="s">
        <v>522</v>
      </c>
      <c r="F1110" s="94"/>
      <c r="G1110" s="94"/>
      <c r="H1110" s="94"/>
      <c r="I1110" s="94"/>
      <c r="J1110" s="94"/>
      <c r="K1110" s="94"/>
      <c r="L1110" s="94"/>
      <c r="M1110" s="1454" t="s">
        <v>124</v>
      </c>
      <c r="N1110" s="136">
        <v>2</v>
      </c>
      <c r="O1110" s="93"/>
    </row>
    <row r="1111" spans="1:15" x14ac:dyDescent="0.25">
      <c r="A1111" s="1454" t="s">
        <v>123</v>
      </c>
      <c r="B1111" s="270" t="str">
        <f>'SU Assemblies'!B386</f>
        <v>Rear rocker</v>
      </c>
      <c r="C1111" s="94"/>
      <c r="D1111" s="1454" t="s">
        <v>119</v>
      </c>
      <c r="E1111" s="94"/>
      <c r="F1111" s="94"/>
      <c r="G1111" s="94"/>
      <c r="H1111" s="94"/>
      <c r="I1111" s="94"/>
      <c r="J1111" s="1455" t="s">
        <v>122</v>
      </c>
      <c r="K1111" s="94"/>
      <c r="L1111" s="94"/>
      <c r="M1111" s="94"/>
      <c r="N1111" s="94"/>
      <c r="O1111" s="93"/>
    </row>
    <row r="1112" spans="1:15" x14ac:dyDescent="0.25">
      <c r="A1112" s="1454" t="s">
        <v>114</v>
      </c>
      <c r="B1112" s="135" t="s">
        <v>2571</v>
      </c>
      <c r="C1112" s="94"/>
      <c r="D1112" s="1454" t="s">
        <v>116</v>
      </c>
      <c r="E1112" s="94"/>
      <c r="F1112" s="94"/>
      <c r="G1112" s="94"/>
      <c r="H1112" s="94"/>
      <c r="I1112" s="94"/>
      <c r="J1112" s="1455" t="s">
        <v>119</v>
      </c>
      <c r="K1112" s="94"/>
      <c r="L1112" s="94"/>
      <c r="M1112" s="1454" t="s">
        <v>118</v>
      </c>
      <c r="N1112" s="100">
        <f>N1110*N1109</f>
        <v>5.9055622255495974</v>
      </c>
      <c r="O1112" s="93"/>
    </row>
    <row r="1113" spans="1:15" x14ac:dyDescent="0.25">
      <c r="A1113" s="1454" t="s">
        <v>121</v>
      </c>
      <c r="B1113" s="269" t="s">
        <v>2570</v>
      </c>
      <c r="C1113" s="94"/>
      <c r="D1113" s="94"/>
      <c r="E1113" s="94"/>
      <c r="F1113" s="94"/>
      <c r="G1113" s="94"/>
      <c r="H1113" s="94"/>
      <c r="I1113" s="94"/>
      <c r="J1113" s="1455" t="s">
        <v>116</v>
      </c>
      <c r="K1113" s="94"/>
      <c r="L1113" s="94"/>
      <c r="M1113" s="94"/>
      <c r="N1113" s="94"/>
      <c r="O1113" s="93"/>
    </row>
    <row r="1114" spans="1:15" x14ac:dyDescent="0.25">
      <c r="A1114" s="1454" t="s">
        <v>117</v>
      </c>
      <c r="B1114" s="133" t="s">
        <v>23</v>
      </c>
      <c r="C1114" s="94"/>
      <c r="D1114" s="94"/>
      <c r="E1114" s="94"/>
      <c r="F1114" s="94"/>
      <c r="G1114" s="94"/>
      <c r="H1114" s="94"/>
      <c r="I1114" s="94"/>
      <c r="J1114" s="94"/>
      <c r="K1114" s="94"/>
      <c r="L1114" s="94"/>
      <c r="M1114" s="94"/>
      <c r="N1114" s="94"/>
      <c r="O1114" s="93"/>
    </row>
    <row r="1115" spans="1:15" x14ac:dyDescent="0.25">
      <c r="A1115" s="1454" t="s">
        <v>115</v>
      </c>
      <c r="B1115" s="133"/>
      <c r="C1115" s="94"/>
      <c r="D1115" s="94"/>
      <c r="E1115" s="94"/>
      <c r="F1115" s="94"/>
      <c r="G1115" s="94"/>
      <c r="H1115" s="94"/>
      <c r="I1115" s="94"/>
      <c r="J1115" s="94"/>
      <c r="K1115" s="94"/>
      <c r="L1115" s="94"/>
      <c r="M1115" s="94"/>
      <c r="N1115" s="94"/>
      <c r="O1115" s="93"/>
    </row>
    <row r="1116" spans="1:15" x14ac:dyDescent="0.25">
      <c r="A1116" s="266"/>
      <c r="B1116" s="265"/>
      <c r="C1116" s="265"/>
      <c r="D1116" s="265"/>
      <c r="E1116" s="265"/>
      <c r="F1116" s="94"/>
      <c r="G1116" s="94"/>
      <c r="H1116" s="94"/>
      <c r="I1116" s="94"/>
      <c r="J1116" s="94"/>
      <c r="K1116" s="94"/>
      <c r="L1116" s="94"/>
      <c r="M1116" s="94"/>
      <c r="N1116" s="94"/>
      <c r="O1116" s="93"/>
    </row>
    <row r="1117" spans="1:15" x14ac:dyDescent="0.25">
      <c r="A1117" s="1453" t="s">
        <v>67</v>
      </c>
      <c r="B1117" s="1452" t="s">
        <v>112</v>
      </c>
      <c r="C1117" s="1452" t="s">
        <v>66</v>
      </c>
      <c r="D1117" s="1452" t="s">
        <v>65</v>
      </c>
      <c r="E1117" s="1452" t="s">
        <v>81</v>
      </c>
      <c r="F1117" s="1465" t="s">
        <v>80</v>
      </c>
      <c r="G1117" s="1465" t="s">
        <v>79</v>
      </c>
      <c r="H1117" s="1465" t="s">
        <v>78</v>
      </c>
      <c r="I1117" s="1465" t="s">
        <v>111</v>
      </c>
      <c r="J1117" s="1465" t="s">
        <v>110</v>
      </c>
      <c r="K1117" s="1465" t="s">
        <v>109</v>
      </c>
      <c r="L1117" s="1465" t="s">
        <v>108</v>
      </c>
      <c r="M1117" s="1465" t="s">
        <v>40</v>
      </c>
      <c r="N1117" s="1465" t="s">
        <v>58</v>
      </c>
      <c r="O1117" s="93"/>
    </row>
    <row r="1118" spans="1:15" ht="30" x14ac:dyDescent="0.25">
      <c r="A1118" s="1458">
        <v>10</v>
      </c>
      <c r="B1118" s="1475" t="s">
        <v>729</v>
      </c>
      <c r="C1118" s="1508" t="s">
        <v>1268</v>
      </c>
      <c r="D1118" s="1507">
        <v>2.25</v>
      </c>
      <c r="E1118" s="1458">
        <v>19</v>
      </c>
      <c r="F1118" s="1458" t="s">
        <v>68</v>
      </c>
      <c r="G1118" s="1458"/>
      <c r="H1118" s="1470"/>
      <c r="I1118" s="1473" t="s">
        <v>1267</v>
      </c>
      <c r="J1118" s="1476">
        <f>PI()*E1118/2^2/10^6</f>
        <v>1.4922565104551517E-5</v>
      </c>
      <c r="K1118" s="1471">
        <v>20</v>
      </c>
      <c r="L1118" s="1516">
        <v>7860</v>
      </c>
      <c r="M1118" s="1469">
        <v>1</v>
      </c>
      <c r="N1118" s="1505">
        <f>IF(J1118="",D1118*M1118,D1118*J1118*K1118*L1118*M1118)/100</f>
        <v>5.2781112774798716E-2</v>
      </c>
      <c r="O1118" s="143"/>
    </row>
    <row r="1119" spans="1:15" x14ac:dyDescent="0.25">
      <c r="A1119" s="98"/>
      <c r="B1119" s="95"/>
      <c r="C1119" s="95"/>
      <c r="D1119" s="95"/>
      <c r="E1119" s="95"/>
      <c r="F1119" s="95"/>
      <c r="G1119" s="95"/>
      <c r="H1119" s="95"/>
      <c r="I1119" s="95"/>
      <c r="J1119" s="95"/>
      <c r="K1119" s="95"/>
      <c r="L1119" s="95"/>
      <c r="M1119" s="1467" t="s">
        <v>58</v>
      </c>
      <c r="N1119" s="1447">
        <f>SUM(N1118:N1118)</f>
        <v>5.2781112774798716E-2</v>
      </c>
      <c r="O1119" s="93"/>
    </row>
    <row r="1120" spans="1:15" x14ac:dyDescent="0.25">
      <c r="A1120" s="107"/>
      <c r="B1120" s="94"/>
      <c r="C1120" s="94"/>
      <c r="D1120" s="94"/>
      <c r="E1120" s="94"/>
      <c r="F1120" s="94"/>
      <c r="G1120" s="94"/>
      <c r="H1120" s="94"/>
      <c r="I1120" s="94"/>
      <c r="J1120" s="94"/>
      <c r="K1120" s="94"/>
      <c r="L1120" s="94"/>
      <c r="M1120" s="94"/>
      <c r="N1120" s="94"/>
      <c r="O1120" s="93"/>
    </row>
    <row r="1121" spans="1:15" x14ac:dyDescent="0.25">
      <c r="A1121" s="1466" t="s">
        <v>67</v>
      </c>
      <c r="B1121" s="1465" t="s">
        <v>106</v>
      </c>
      <c r="C1121" s="1465" t="s">
        <v>66</v>
      </c>
      <c r="D1121" s="1465" t="s">
        <v>65</v>
      </c>
      <c r="E1121" s="1465" t="s">
        <v>64</v>
      </c>
      <c r="F1121" s="1465" t="s">
        <v>40</v>
      </c>
      <c r="G1121" s="1465" t="s">
        <v>105</v>
      </c>
      <c r="H1121" s="1465" t="s">
        <v>104</v>
      </c>
      <c r="I1121" s="1465" t="s">
        <v>58</v>
      </c>
      <c r="J1121" s="95"/>
      <c r="K1121" s="95"/>
      <c r="L1121" s="95"/>
      <c r="M1121" s="95"/>
      <c r="N1121" s="95"/>
      <c r="O1121" s="93"/>
    </row>
    <row r="1122" spans="1:15" ht="30" x14ac:dyDescent="0.25">
      <c r="A1122" s="1544">
        <v>10</v>
      </c>
      <c r="B1122" s="1461" t="s">
        <v>516</v>
      </c>
      <c r="C1122" s="1546" t="s">
        <v>1248</v>
      </c>
      <c r="D1122" s="1507">
        <v>1.3</v>
      </c>
      <c r="E1122" s="1461" t="s">
        <v>64</v>
      </c>
      <c r="F1122" s="1544">
        <v>1</v>
      </c>
      <c r="G1122" s="1544"/>
      <c r="H1122" s="1544"/>
      <c r="I1122" s="1511">
        <f>IF(H1122="",D1122*F1122,D1122*F1122*H1122)</f>
        <v>1.3</v>
      </c>
      <c r="J1122" s="95"/>
      <c r="K1122" s="95"/>
      <c r="L1122" s="95"/>
      <c r="M1122" s="95"/>
      <c r="N1122" s="95"/>
      <c r="O1122" s="93"/>
    </row>
    <row r="1123" spans="1:15" x14ac:dyDescent="0.25">
      <c r="A1123" s="1544">
        <v>20</v>
      </c>
      <c r="B1123" s="1461" t="s">
        <v>514</v>
      </c>
      <c r="C1123" s="1546" t="s">
        <v>1266</v>
      </c>
      <c r="D1123" s="1507">
        <v>0.04</v>
      </c>
      <c r="E1123" s="1461" t="s">
        <v>512</v>
      </c>
      <c r="F1123" s="1544">
        <v>2.5</v>
      </c>
      <c r="G1123" s="1544" t="s">
        <v>724</v>
      </c>
      <c r="H1123" s="1544">
        <v>3</v>
      </c>
      <c r="I1123" s="1511">
        <f>IF(H1123="",D1123*F1123,D1123*F1123*H1123)</f>
        <v>0.30000000000000004</v>
      </c>
      <c r="J1123" s="95"/>
      <c r="K1123" s="95"/>
      <c r="L1123" s="95"/>
      <c r="M1123" s="95"/>
      <c r="N1123" s="95"/>
      <c r="O1123" s="93"/>
    </row>
    <row r="1124" spans="1:15" x14ac:dyDescent="0.25">
      <c r="A1124" s="1458">
        <v>30</v>
      </c>
      <c r="B1124" s="1458" t="s">
        <v>1265</v>
      </c>
      <c r="C1124" s="1460" t="s">
        <v>1264</v>
      </c>
      <c r="D1124" s="1507">
        <v>0.65</v>
      </c>
      <c r="E1124" s="1458" t="s">
        <v>64</v>
      </c>
      <c r="F1124" s="1474">
        <v>1</v>
      </c>
      <c r="G1124" s="1548"/>
      <c r="H1124" s="1544"/>
      <c r="I1124" s="1511">
        <f>IF(H1124="",D1124*F1124,D1124*F1124*H1124)</f>
        <v>0.65</v>
      </c>
      <c r="J1124" s="142"/>
      <c r="K1124" s="142"/>
      <c r="L1124" s="142"/>
      <c r="M1124" s="142"/>
      <c r="N1124" s="142"/>
      <c r="O1124" s="120"/>
    </row>
    <row r="1125" spans="1:15" x14ac:dyDescent="0.25">
      <c r="A1125" s="1544">
        <v>40</v>
      </c>
      <c r="B1125" s="1461" t="s">
        <v>514</v>
      </c>
      <c r="C1125" s="1546" t="s">
        <v>1263</v>
      </c>
      <c r="D1125" s="1507">
        <v>0.04</v>
      </c>
      <c r="E1125" s="1461" t="s">
        <v>512</v>
      </c>
      <c r="F1125" s="1544">
        <v>2.5</v>
      </c>
      <c r="G1125" s="1544" t="s">
        <v>724</v>
      </c>
      <c r="H1125" s="1544">
        <v>3</v>
      </c>
      <c r="I1125" s="1511">
        <f>IF(H1125="",D1125*F1125,D1125*F1125*H1125)</f>
        <v>0.30000000000000004</v>
      </c>
      <c r="J1125" s="94"/>
      <c r="K1125" s="94"/>
      <c r="L1125" s="94"/>
      <c r="M1125" s="94"/>
      <c r="N1125" s="94"/>
      <c r="O1125" s="93"/>
    </row>
    <row r="1126" spans="1:15" x14ac:dyDescent="0.25">
      <c r="A1126" s="1544">
        <v>50</v>
      </c>
      <c r="B1126" s="1460" t="s">
        <v>1262</v>
      </c>
      <c r="C1126" s="1460" t="s">
        <v>1261</v>
      </c>
      <c r="D1126" s="1507">
        <v>0.35</v>
      </c>
      <c r="E1126" s="1458"/>
      <c r="F1126" s="1474">
        <v>1</v>
      </c>
      <c r="G1126" s="1548"/>
      <c r="H1126" s="1544"/>
      <c r="I1126" s="1511">
        <f>IF(H1126="",D1126*F1126,D1126*F1126*H1126)</f>
        <v>0.35</v>
      </c>
      <c r="J1126" s="99"/>
      <c r="K1126" s="99"/>
      <c r="L1126" s="99"/>
      <c r="M1126" s="99"/>
      <c r="N1126" s="99"/>
      <c r="O1126" s="130"/>
    </row>
    <row r="1127" spans="1:15" x14ac:dyDescent="0.25">
      <c r="A1127" s="98"/>
      <c r="B1127" s="95"/>
      <c r="C1127" s="95"/>
      <c r="D1127" s="95"/>
      <c r="E1127" s="95"/>
      <c r="F1127" s="95"/>
      <c r="G1127" s="95"/>
      <c r="H1127" s="1448" t="s">
        <v>58</v>
      </c>
      <c r="I1127" s="1447">
        <f>SUM(I1122:I1126)</f>
        <v>2.9</v>
      </c>
      <c r="J1127" s="95"/>
      <c r="K1127" s="95"/>
      <c r="L1127" s="95"/>
      <c r="M1127" s="95"/>
      <c r="N1127" s="95"/>
      <c r="O1127" s="93"/>
    </row>
    <row r="1128" spans="1:15" x14ac:dyDescent="0.25">
      <c r="A1128" s="107"/>
      <c r="B1128" s="94"/>
      <c r="C1128" s="94"/>
      <c r="D1128" s="94"/>
      <c r="E1128" s="94"/>
      <c r="F1128" s="94"/>
      <c r="G1128" s="94"/>
      <c r="H1128" s="94"/>
      <c r="I1128" s="99"/>
      <c r="J1128" s="94"/>
      <c r="K1128" s="94"/>
      <c r="L1128" s="94"/>
      <c r="M1128" s="94"/>
      <c r="N1128" s="94"/>
      <c r="O1128" s="93"/>
    </row>
    <row r="1129" spans="1:15" ht="15.75" thickBot="1" x14ac:dyDescent="0.3">
      <c r="A1129" s="92"/>
      <c r="B1129" s="91"/>
      <c r="C1129" s="91"/>
      <c r="D1129" s="91"/>
      <c r="E1129" s="91"/>
      <c r="F1129" s="91"/>
      <c r="G1129" s="91"/>
      <c r="H1129" s="91"/>
      <c r="I1129" s="91"/>
      <c r="J1129" s="91"/>
      <c r="K1129" s="91"/>
      <c r="L1129" s="91"/>
      <c r="M1129" s="91"/>
      <c r="N1129" s="91"/>
      <c r="O1129" s="90"/>
    </row>
    <row r="1130" spans="1:15" ht="15.75" thickBot="1" x14ac:dyDescent="0.3">
      <c r="A1130" s="94"/>
      <c r="B1130" s="94"/>
      <c r="C1130" s="94"/>
      <c r="D1130" s="94"/>
      <c r="E1130" s="94"/>
      <c r="F1130" s="94"/>
      <c r="G1130" s="94"/>
      <c r="H1130" s="94"/>
      <c r="I1130" s="94"/>
      <c r="J1130" s="94"/>
      <c r="K1130" s="94"/>
      <c r="L1130" s="94"/>
      <c r="M1130" s="94"/>
      <c r="N1130" s="94"/>
      <c r="O1130" s="94"/>
    </row>
    <row r="1131" spans="1:15" x14ac:dyDescent="0.25">
      <c r="A1131" s="600"/>
      <c r="B1131" s="599"/>
      <c r="C1131" s="599"/>
      <c r="D1131" s="599"/>
      <c r="E1131" s="599"/>
      <c r="F1131" s="599"/>
      <c r="G1131" s="599"/>
      <c r="H1131" s="599"/>
      <c r="I1131" s="599"/>
      <c r="J1131" s="599"/>
      <c r="K1131" s="599"/>
      <c r="L1131" s="599"/>
      <c r="M1131" s="599"/>
      <c r="N1131" s="599"/>
      <c r="O1131" s="598"/>
    </row>
    <row r="1132" spans="1:15" x14ac:dyDescent="0.25">
      <c r="A1132" s="1510" t="s">
        <v>57</v>
      </c>
      <c r="B1132" s="133" t="s">
        <v>523</v>
      </c>
      <c r="C1132" s="94"/>
      <c r="D1132" s="94"/>
      <c r="E1132" s="94"/>
      <c r="F1132" s="94"/>
      <c r="G1132" s="94"/>
      <c r="H1132" s="94"/>
      <c r="I1132" s="94"/>
      <c r="J1132" s="1456" t="s">
        <v>51</v>
      </c>
      <c r="K1132" s="138">
        <v>81</v>
      </c>
      <c r="L1132" s="94"/>
      <c r="M1132" s="1454" t="s">
        <v>113</v>
      </c>
      <c r="N1132" s="100">
        <f>SU_09001_m+SU_09001_p</f>
        <v>2.9527811127747987</v>
      </c>
      <c r="O1132" s="594"/>
    </row>
    <row r="1133" spans="1:15" x14ac:dyDescent="0.25">
      <c r="A1133" s="1510" t="s">
        <v>125</v>
      </c>
      <c r="B1133" s="133" t="s">
        <v>5</v>
      </c>
      <c r="C1133" s="94"/>
      <c r="D1133" s="1454" t="s">
        <v>122</v>
      </c>
      <c r="E1133" s="270" t="s">
        <v>522</v>
      </c>
      <c r="F1133" s="94"/>
      <c r="G1133" s="94"/>
      <c r="H1133" s="94"/>
      <c r="I1133" s="94"/>
      <c r="J1133" s="94"/>
      <c r="K1133" s="94"/>
      <c r="L1133" s="94"/>
      <c r="M1133" s="1454" t="s">
        <v>124</v>
      </c>
      <c r="N1133" s="136">
        <v>2</v>
      </c>
      <c r="O1133" s="594"/>
    </row>
    <row r="1134" spans="1:15" x14ac:dyDescent="0.25">
      <c r="A1134" s="1510" t="s">
        <v>123</v>
      </c>
      <c r="B1134" s="270" t="s">
        <v>2403</v>
      </c>
      <c r="C1134" s="94"/>
      <c r="D1134" s="1454" t="s">
        <v>119</v>
      </c>
      <c r="E1134" s="94"/>
      <c r="F1134" s="94"/>
      <c r="G1134" s="94"/>
      <c r="H1134" s="94"/>
      <c r="I1134" s="94"/>
      <c r="J1134" s="1455" t="s">
        <v>122</v>
      </c>
      <c r="K1134" s="94"/>
      <c r="L1134" s="94"/>
      <c r="M1134" s="94"/>
      <c r="N1134" s="94"/>
      <c r="O1134" s="594"/>
    </row>
    <row r="1135" spans="1:15" x14ac:dyDescent="0.25">
      <c r="A1135" s="1510" t="s">
        <v>114</v>
      </c>
      <c r="B1135" s="135" t="s">
        <v>2569</v>
      </c>
      <c r="C1135" s="94"/>
      <c r="D1135" s="1454" t="s">
        <v>116</v>
      </c>
      <c r="E1135" s="94"/>
      <c r="F1135" s="94"/>
      <c r="G1135" s="94"/>
      <c r="H1135" s="94"/>
      <c r="I1135" s="94"/>
      <c r="J1135" s="1455" t="s">
        <v>119</v>
      </c>
      <c r="K1135" s="94"/>
      <c r="L1135" s="94"/>
      <c r="M1135" s="1454" t="s">
        <v>118</v>
      </c>
      <c r="N1135" s="100">
        <f>N1133*N1132</f>
        <v>5.9055622255495974</v>
      </c>
      <c r="O1135" s="594"/>
    </row>
    <row r="1136" spans="1:15" x14ac:dyDescent="0.25">
      <c r="A1136" s="1510" t="s">
        <v>121</v>
      </c>
      <c r="B1136" s="269" t="s">
        <v>2568</v>
      </c>
      <c r="C1136" s="94"/>
      <c r="D1136" s="94"/>
      <c r="E1136" s="94"/>
      <c r="F1136" s="94"/>
      <c r="G1136" s="94"/>
      <c r="H1136" s="94"/>
      <c r="I1136" s="94"/>
      <c r="J1136" s="1455" t="s">
        <v>116</v>
      </c>
      <c r="K1136" s="94"/>
      <c r="L1136" s="94"/>
      <c r="M1136" s="94"/>
      <c r="N1136" s="94"/>
      <c r="O1136" s="594"/>
    </row>
    <row r="1137" spans="1:15" x14ac:dyDescent="0.25">
      <c r="A1137" s="1510" t="s">
        <v>117</v>
      </c>
      <c r="B1137" s="133" t="s">
        <v>23</v>
      </c>
      <c r="C1137" s="94"/>
      <c r="D1137" s="94"/>
      <c r="E1137" s="94"/>
      <c r="F1137" s="94"/>
      <c r="G1137" s="94"/>
      <c r="H1137" s="94"/>
      <c r="I1137" s="94"/>
      <c r="J1137" s="94"/>
      <c r="K1137" s="94"/>
      <c r="L1137" s="94"/>
      <c r="M1137" s="94"/>
      <c r="N1137" s="94"/>
      <c r="O1137" s="594"/>
    </row>
    <row r="1138" spans="1:15" x14ac:dyDescent="0.25">
      <c r="A1138" s="1510" t="s">
        <v>115</v>
      </c>
      <c r="B1138" s="133"/>
      <c r="C1138" s="94"/>
      <c r="D1138" s="94"/>
      <c r="E1138" s="94"/>
      <c r="F1138" s="94"/>
      <c r="G1138" s="94"/>
      <c r="H1138" s="94"/>
      <c r="I1138" s="94"/>
      <c r="J1138" s="94"/>
      <c r="K1138" s="94"/>
      <c r="L1138" s="94"/>
      <c r="M1138" s="94"/>
      <c r="N1138" s="94"/>
      <c r="O1138" s="594"/>
    </row>
    <row r="1139" spans="1:15" x14ac:dyDescent="0.25">
      <c r="A1139" s="596"/>
      <c r="B1139" s="265"/>
      <c r="C1139" s="265"/>
      <c r="D1139" s="265"/>
      <c r="E1139" s="265"/>
      <c r="F1139" s="94"/>
      <c r="G1139" s="94"/>
      <c r="H1139" s="94"/>
      <c r="I1139" s="94"/>
      <c r="J1139" s="94"/>
      <c r="K1139" s="94"/>
      <c r="L1139" s="94"/>
      <c r="M1139" s="94"/>
      <c r="N1139" s="94"/>
      <c r="O1139" s="594"/>
    </row>
    <row r="1140" spans="1:15" x14ac:dyDescent="0.25">
      <c r="A1140" s="1509" t="s">
        <v>67</v>
      </c>
      <c r="B1140" s="1452" t="s">
        <v>112</v>
      </c>
      <c r="C1140" s="1452" t="s">
        <v>66</v>
      </c>
      <c r="D1140" s="1452" t="s">
        <v>65</v>
      </c>
      <c r="E1140" s="1452" t="s">
        <v>81</v>
      </c>
      <c r="F1140" s="1465" t="s">
        <v>80</v>
      </c>
      <c r="G1140" s="1465" t="s">
        <v>79</v>
      </c>
      <c r="H1140" s="1465" t="s">
        <v>78</v>
      </c>
      <c r="I1140" s="1465" t="s">
        <v>111</v>
      </c>
      <c r="J1140" s="1465" t="s">
        <v>110</v>
      </c>
      <c r="K1140" s="1465" t="s">
        <v>109</v>
      </c>
      <c r="L1140" s="1465" t="s">
        <v>108</v>
      </c>
      <c r="M1140" s="1465" t="s">
        <v>40</v>
      </c>
      <c r="N1140" s="1465" t="s">
        <v>58</v>
      </c>
      <c r="O1140" s="594"/>
    </row>
    <row r="1141" spans="1:15" ht="30" x14ac:dyDescent="0.25">
      <c r="A1141" s="1458">
        <v>10</v>
      </c>
      <c r="B1141" s="1475" t="s">
        <v>729</v>
      </c>
      <c r="C1141" s="1508" t="s">
        <v>1268</v>
      </c>
      <c r="D1141" s="1507">
        <v>2.25</v>
      </c>
      <c r="E1141" s="1458">
        <v>19</v>
      </c>
      <c r="F1141" s="1458" t="s">
        <v>68</v>
      </c>
      <c r="G1141" s="1458"/>
      <c r="H1141" s="1470"/>
      <c r="I1141" s="1473" t="s">
        <v>1267</v>
      </c>
      <c r="J1141" s="1476">
        <f>PI()*E1141/2^2/10^6</f>
        <v>1.4922565104551517E-5</v>
      </c>
      <c r="K1141" s="1471">
        <v>20</v>
      </c>
      <c r="L1141" s="1516">
        <v>7860</v>
      </c>
      <c r="M1141" s="1469">
        <v>1</v>
      </c>
      <c r="N1141" s="1505">
        <f>IF(J1141="",D1141*M1141,D1141*J1141*K1141*L1141*M1141)/100</f>
        <v>5.2781112774798716E-2</v>
      </c>
      <c r="O1141" s="592"/>
    </row>
    <row r="1142" spans="1:15" x14ac:dyDescent="0.25">
      <c r="A1142" s="1106"/>
      <c r="B1142" s="95"/>
      <c r="C1142" s="95"/>
      <c r="D1142" s="95"/>
      <c r="E1142" s="95"/>
      <c r="F1142" s="95"/>
      <c r="G1142" s="95"/>
      <c r="H1142" s="95"/>
      <c r="I1142" s="95"/>
      <c r="J1142" s="95"/>
      <c r="K1142" s="95"/>
      <c r="L1142" s="95"/>
      <c r="M1142" s="1467" t="s">
        <v>58</v>
      </c>
      <c r="N1142" s="1447">
        <f>SUM(N1141:N1141)</f>
        <v>5.2781112774798716E-2</v>
      </c>
      <c r="O1142" s="594"/>
    </row>
    <row r="1143" spans="1:15" x14ac:dyDescent="0.25">
      <c r="A1143" s="1111"/>
      <c r="B1143" s="94"/>
      <c r="C1143" s="94"/>
      <c r="D1143" s="94"/>
      <c r="E1143" s="94"/>
      <c r="F1143" s="94"/>
      <c r="G1143" s="94"/>
      <c r="H1143" s="94"/>
      <c r="I1143" s="94"/>
      <c r="J1143" s="94"/>
      <c r="K1143" s="94"/>
      <c r="L1143" s="94"/>
      <c r="M1143" s="94"/>
      <c r="N1143" s="94"/>
      <c r="O1143" s="594"/>
    </row>
    <row r="1144" spans="1:15" x14ac:dyDescent="0.25">
      <c r="A1144" s="1504" t="s">
        <v>67</v>
      </c>
      <c r="B1144" s="1465" t="s">
        <v>106</v>
      </c>
      <c r="C1144" s="1465" t="s">
        <v>66</v>
      </c>
      <c r="D1144" s="1465" t="s">
        <v>65</v>
      </c>
      <c r="E1144" s="1465" t="s">
        <v>64</v>
      </c>
      <c r="F1144" s="1465" t="s">
        <v>40</v>
      </c>
      <c r="G1144" s="1465" t="s">
        <v>105</v>
      </c>
      <c r="H1144" s="1465" t="s">
        <v>104</v>
      </c>
      <c r="I1144" s="1465" t="s">
        <v>58</v>
      </c>
      <c r="J1144" s="95"/>
      <c r="K1144" s="95"/>
      <c r="L1144" s="95"/>
      <c r="M1144" s="95"/>
      <c r="N1144" s="95"/>
      <c r="O1144" s="594"/>
    </row>
    <row r="1145" spans="1:15" ht="30" x14ac:dyDescent="0.25">
      <c r="A1145" s="1544">
        <v>10</v>
      </c>
      <c r="B1145" s="1461" t="s">
        <v>516</v>
      </c>
      <c r="C1145" s="1546" t="s">
        <v>1248</v>
      </c>
      <c r="D1145" s="1507">
        <v>1.3</v>
      </c>
      <c r="E1145" s="1461" t="s">
        <v>64</v>
      </c>
      <c r="F1145" s="1544">
        <v>1</v>
      </c>
      <c r="G1145" s="1544"/>
      <c r="H1145" s="1544"/>
      <c r="I1145" s="1511">
        <f>IF(H1145="",D1145*F1145,D1145*F1145*H1145)</f>
        <v>1.3</v>
      </c>
      <c r="J1145" s="142"/>
      <c r="K1145" s="142"/>
      <c r="L1145" s="142"/>
      <c r="M1145" s="142"/>
      <c r="N1145" s="142"/>
      <c r="O1145" s="734"/>
    </row>
    <row r="1146" spans="1:15" x14ac:dyDescent="0.25">
      <c r="A1146" s="1544">
        <v>20</v>
      </c>
      <c r="B1146" s="1461" t="s">
        <v>514</v>
      </c>
      <c r="C1146" s="1546" t="s">
        <v>1266</v>
      </c>
      <c r="D1146" s="1507">
        <v>0.04</v>
      </c>
      <c r="E1146" s="1461" t="s">
        <v>512</v>
      </c>
      <c r="F1146" s="1544">
        <v>2.5</v>
      </c>
      <c r="G1146" s="1544" t="s">
        <v>724</v>
      </c>
      <c r="H1146" s="1544">
        <v>3</v>
      </c>
      <c r="I1146" s="1511">
        <f>IF(H1146="",D1146*F1146,D1146*F1146*H1146)</f>
        <v>0.30000000000000004</v>
      </c>
      <c r="J1146" s="94"/>
      <c r="K1146" s="94"/>
      <c r="L1146" s="94"/>
      <c r="M1146" s="94"/>
      <c r="N1146" s="94"/>
      <c r="O1146" s="594"/>
    </row>
    <row r="1147" spans="1:15" x14ac:dyDescent="0.25">
      <c r="A1147" s="1458">
        <v>30</v>
      </c>
      <c r="B1147" s="1458" t="s">
        <v>1265</v>
      </c>
      <c r="C1147" s="1460" t="s">
        <v>1264</v>
      </c>
      <c r="D1147" s="1507">
        <v>0.65</v>
      </c>
      <c r="E1147" s="1458" t="s">
        <v>64</v>
      </c>
      <c r="F1147" s="1474">
        <v>1</v>
      </c>
      <c r="G1147" s="1461"/>
      <c r="H1147" s="1545"/>
      <c r="I1147" s="1511">
        <f>IF(H1147="",D1147*F1147,D1147*F1147*H1147)</f>
        <v>0.65</v>
      </c>
      <c r="J1147" s="94"/>
      <c r="K1147" s="94"/>
      <c r="L1147" s="94"/>
      <c r="M1147" s="94"/>
      <c r="N1147" s="94"/>
      <c r="O1147" s="594"/>
    </row>
    <row r="1148" spans="1:15" x14ac:dyDescent="0.25">
      <c r="A1148" s="1545">
        <v>40</v>
      </c>
      <c r="B1148" s="1461" t="s">
        <v>514</v>
      </c>
      <c r="C1148" s="1547" t="s">
        <v>1263</v>
      </c>
      <c r="D1148" s="1507">
        <v>0.04</v>
      </c>
      <c r="E1148" s="1461" t="s">
        <v>512</v>
      </c>
      <c r="F1148" s="1545">
        <v>2.5</v>
      </c>
      <c r="G1148" s="1545" t="s">
        <v>724</v>
      </c>
      <c r="H1148" s="1545">
        <v>3</v>
      </c>
      <c r="I1148" s="1511">
        <f>IF(H1148="",D1148*F1148,D1148*F1148*H1148)</f>
        <v>0.30000000000000004</v>
      </c>
      <c r="J1148" s="94"/>
      <c r="K1148" s="94"/>
      <c r="L1148" s="94"/>
      <c r="M1148" s="94"/>
      <c r="N1148" s="94"/>
      <c r="O1148" s="594"/>
    </row>
    <row r="1149" spans="1:15" x14ac:dyDescent="0.25">
      <c r="A1149" s="1545">
        <v>50</v>
      </c>
      <c r="B1149" s="1460" t="s">
        <v>1262</v>
      </c>
      <c r="C1149" s="1460" t="s">
        <v>1261</v>
      </c>
      <c r="D1149" s="1507">
        <v>0.35</v>
      </c>
      <c r="E1149" s="1458"/>
      <c r="F1149" s="1474">
        <v>1</v>
      </c>
      <c r="G1149" s="1461"/>
      <c r="H1149" s="1545"/>
      <c r="I1149" s="1511">
        <f>IF(H1149="",D1149*F1149,D1149*F1149*H1149)</f>
        <v>0.35</v>
      </c>
      <c r="J1149" s="99"/>
      <c r="K1149" s="99"/>
      <c r="L1149" s="99"/>
      <c r="M1149" s="99"/>
      <c r="N1149" s="99"/>
      <c r="O1149" s="1121"/>
    </row>
    <row r="1150" spans="1:15" x14ac:dyDescent="0.25">
      <c r="A1150" s="1106"/>
      <c r="B1150" s="95"/>
      <c r="C1150" s="95"/>
      <c r="D1150" s="95"/>
      <c r="E1150" s="95"/>
      <c r="F1150" s="95"/>
      <c r="G1150" s="95"/>
      <c r="H1150" s="1448" t="s">
        <v>58</v>
      </c>
      <c r="I1150" s="1447">
        <f>SUM(I1145:I1149)</f>
        <v>2.9</v>
      </c>
      <c r="J1150" s="95"/>
      <c r="K1150" s="95"/>
      <c r="L1150" s="95"/>
      <c r="M1150" s="95"/>
      <c r="N1150" s="95"/>
      <c r="O1150" s="594"/>
    </row>
    <row r="1151" spans="1:15" x14ac:dyDescent="0.25">
      <c r="A1151" s="1111"/>
      <c r="B1151" s="94"/>
      <c r="C1151" s="94"/>
      <c r="D1151" s="94"/>
      <c r="E1151" s="94"/>
      <c r="F1151" s="94"/>
      <c r="G1151" s="94"/>
      <c r="H1151" s="94"/>
      <c r="I1151" s="99"/>
      <c r="J1151" s="94"/>
      <c r="K1151" s="94"/>
      <c r="L1151" s="94"/>
      <c r="M1151" s="94"/>
      <c r="N1151" s="94"/>
      <c r="O1151" s="594"/>
    </row>
    <row r="1152" spans="1:15" ht="15.75" thickBot="1" x14ac:dyDescent="0.3">
      <c r="A1152" s="1103"/>
      <c r="B1152" s="304"/>
      <c r="C1152" s="304"/>
      <c r="D1152" s="304"/>
      <c r="E1152" s="304"/>
      <c r="F1152" s="304"/>
      <c r="G1152" s="304"/>
      <c r="H1152" s="304"/>
      <c r="I1152" s="304"/>
      <c r="J1152" s="304"/>
      <c r="K1152" s="304"/>
      <c r="L1152" s="304"/>
      <c r="M1152" s="304"/>
      <c r="N1152" s="304"/>
      <c r="O1152" s="588"/>
    </row>
    <row r="1153" spans="1:16" ht="15.75" thickBot="1" x14ac:dyDescent="0.3">
      <c r="A1153" s="107"/>
      <c r="B1153" s="94"/>
      <c r="C1153" s="94"/>
      <c r="D1153" s="94"/>
      <c r="E1153" s="94"/>
      <c r="F1153" s="94"/>
      <c r="G1153" s="94"/>
      <c r="H1153" s="94"/>
      <c r="I1153" s="94"/>
      <c r="J1153" s="94"/>
      <c r="K1153" s="94"/>
      <c r="L1153" s="94"/>
      <c r="M1153" s="94"/>
      <c r="N1153" s="94"/>
      <c r="O1153" s="94"/>
      <c r="P1153" s="94"/>
    </row>
    <row r="1154" spans="1:16" x14ac:dyDescent="0.25">
      <c r="A1154" s="600"/>
      <c r="B1154" s="599"/>
      <c r="C1154" s="599"/>
      <c r="D1154" s="599"/>
      <c r="E1154" s="599"/>
      <c r="F1154" s="599"/>
      <c r="G1154" s="599"/>
      <c r="H1154" s="599"/>
      <c r="I1154" s="599"/>
      <c r="J1154" s="599"/>
      <c r="K1154" s="599"/>
      <c r="L1154" s="599"/>
      <c r="M1154" s="599"/>
      <c r="N1154" s="599"/>
      <c r="O1154" s="598"/>
    </row>
    <row r="1155" spans="1:16" x14ac:dyDescent="0.25">
      <c r="A1155" s="1510" t="s">
        <v>57</v>
      </c>
      <c r="B1155" s="133" t="s">
        <v>523</v>
      </c>
      <c r="C1155" s="94"/>
      <c r="D1155" s="94"/>
      <c r="E1155" s="94"/>
      <c r="F1155" s="94"/>
      <c r="G1155" s="94"/>
      <c r="H1155" s="94"/>
      <c r="I1155" s="94"/>
      <c r="J1155" s="1456" t="s">
        <v>51</v>
      </c>
      <c r="K1155" s="138">
        <v>81</v>
      </c>
      <c r="L1155" s="94"/>
      <c r="M1155" s="1454" t="s">
        <v>113</v>
      </c>
      <c r="N1155" s="100">
        <f>SU_09002_m+SU_09002_p</f>
        <v>23.1650866452988</v>
      </c>
      <c r="O1155" s="594"/>
    </row>
    <row r="1156" spans="1:16" x14ac:dyDescent="0.25">
      <c r="A1156" s="1510" t="s">
        <v>125</v>
      </c>
      <c r="B1156" s="133" t="s">
        <v>5</v>
      </c>
      <c r="C1156" s="94"/>
      <c r="D1156" s="1454" t="s">
        <v>122</v>
      </c>
      <c r="E1156" s="270"/>
      <c r="F1156" s="94"/>
      <c r="G1156" s="94"/>
      <c r="H1156" s="94"/>
      <c r="I1156" s="94"/>
      <c r="J1156" s="94"/>
      <c r="K1156" s="94"/>
      <c r="L1156" s="94"/>
      <c r="M1156" s="1454" t="s">
        <v>124</v>
      </c>
      <c r="N1156" s="136">
        <v>1</v>
      </c>
      <c r="O1156" s="594"/>
    </row>
    <row r="1157" spans="1:16" x14ac:dyDescent="0.25">
      <c r="A1157" s="1510" t="s">
        <v>123</v>
      </c>
      <c r="B1157" s="270" t="s">
        <v>2403</v>
      </c>
      <c r="C1157" s="94"/>
      <c r="D1157" s="1454" t="s">
        <v>119</v>
      </c>
      <c r="E1157" s="94"/>
      <c r="F1157" s="94"/>
      <c r="G1157" s="94"/>
      <c r="H1157" s="94"/>
      <c r="I1157" s="94"/>
      <c r="J1157" s="1455" t="s">
        <v>122</v>
      </c>
      <c r="K1157" s="94"/>
      <c r="L1157" s="94"/>
      <c r="M1157" s="94"/>
      <c r="N1157" s="94"/>
      <c r="O1157" s="594"/>
    </row>
    <row r="1158" spans="1:16" x14ac:dyDescent="0.25">
      <c r="A1158" s="1510" t="s">
        <v>114</v>
      </c>
      <c r="B1158" s="135" t="s">
        <v>1283</v>
      </c>
      <c r="C1158" s="94"/>
      <c r="D1158" s="1454" t="s">
        <v>116</v>
      </c>
      <c r="E1158" s="94"/>
      <c r="F1158" s="94"/>
      <c r="G1158" s="94"/>
      <c r="H1158" s="94"/>
      <c r="I1158" s="94"/>
      <c r="J1158" s="1455" t="s">
        <v>119</v>
      </c>
      <c r="K1158" s="94"/>
      <c r="L1158" s="94"/>
      <c r="M1158" s="1454" t="s">
        <v>118</v>
      </c>
      <c r="N1158" s="100">
        <f>N1156*N1155</f>
        <v>23.1650866452988</v>
      </c>
      <c r="O1158" s="594"/>
    </row>
    <row r="1159" spans="1:16" x14ac:dyDescent="0.25">
      <c r="A1159" s="1510" t="s">
        <v>121</v>
      </c>
      <c r="B1159" s="269" t="s">
        <v>2567</v>
      </c>
      <c r="C1159" s="94"/>
      <c r="D1159" s="94"/>
      <c r="E1159" s="94"/>
      <c r="F1159" s="94"/>
      <c r="G1159" s="94"/>
      <c r="H1159" s="94"/>
      <c r="I1159" s="94"/>
      <c r="J1159" s="1455" t="s">
        <v>116</v>
      </c>
      <c r="K1159" s="94"/>
      <c r="L1159" s="94"/>
      <c r="M1159" s="94"/>
      <c r="N1159" s="94"/>
      <c r="O1159" s="594"/>
    </row>
    <row r="1160" spans="1:16" x14ac:dyDescent="0.25">
      <c r="A1160" s="1510" t="s">
        <v>117</v>
      </c>
      <c r="B1160" s="133" t="s">
        <v>23</v>
      </c>
      <c r="C1160" s="94"/>
      <c r="D1160" s="94"/>
      <c r="E1160" s="94"/>
      <c r="F1160" s="94"/>
      <c r="G1160" s="94"/>
      <c r="H1160" s="94"/>
      <c r="I1160" s="94"/>
      <c r="J1160" s="94"/>
      <c r="K1160" s="94"/>
      <c r="L1160" s="94"/>
      <c r="M1160" s="94"/>
      <c r="N1160" s="94"/>
      <c r="O1160" s="594"/>
    </row>
    <row r="1161" spans="1:16" x14ac:dyDescent="0.25">
      <c r="A1161" s="1510" t="s">
        <v>115</v>
      </c>
      <c r="B1161" s="133"/>
      <c r="C1161" s="94"/>
      <c r="D1161" s="94"/>
      <c r="E1161" s="94"/>
      <c r="F1161" s="94"/>
      <c r="G1161" s="94"/>
      <c r="H1161" s="94"/>
      <c r="I1161" s="94"/>
      <c r="J1161" s="94"/>
      <c r="K1161" s="94"/>
      <c r="L1161" s="94"/>
      <c r="M1161" s="94"/>
      <c r="N1161" s="94"/>
      <c r="O1161" s="594"/>
    </row>
    <row r="1162" spans="1:16" x14ac:dyDescent="0.25">
      <c r="A1162" s="596"/>
      <c r="B1162" s="265"/>
      <c r="C1162" s="265"/>
      <c r="D1162" s="265"/>
      <c r="E1162" s="265"/>
      <c r="F1162" s="94"/>
      <c r="G1162" s="94"/>
      <c r="H1162" s="94"/>
      <c r="I1162" s="94"/>
      <c r="J1162" s="94"/>
      <c r="K1162" s="94"/>
      <c r="L1162" s="94"/>
      <c r="M1162" s="94"/>
      <c r="N1162" s="94"/>
      <c r="O1162" s="594"/>
    </row>
    <row r="1163" spans="1:16" x14ac:dyDescent="0.25">
      <c r="A1163" s="1509" t="s">
        <v>67</v>
      </c>
      <c r="B1163" s="1452" t="s">
        <v>112</v>
      </c>
      <c r="C1163" s="1452" t="s">
        <v>66</v>
      </c>
      <c r="D1163" s="1452" t="s">
        <v>65</v>
      </c>
      <c r="E1163" s="1452" t="s">
        <v>81</v>
      </c>
      <c r="F1163" s="1465" t="s">
        <v>80</v>
      </c>
      <c r="G1163" s="1465" t="s">
        <v>79</v>
      </c>
      <c r="H1163" s="1465" t="s">
        <v>78</v>
      </c>
      <c r="I1163" s="1465" t="s">
        <v>111</v>
      </c>
      <c r="J1163" s="1465" t="s">
        <v>110</v>
      </c>
      <c r="K1163" s="1465" t="s">
        <v>109</v>
      </c>
      <c r="L1163" s="1465" t="s">
        <v>108</v>
      </c>
      <c r="M1163" s="1465" t="s">
        <v>40</v>
      </c>
      <c r="N1163" s="1465" t="s">
        <v>58</v>
      </c>
      <c r="O1163" s="594"/>
    </row>
    <row r="1164" spans="1:16" ht="30" x14ac:dyDescent="0.25">
      <c r="A1164" s="1458">
        <v>10</v>
      </c>
      <c r="B1164" s="1475" t="s">
        <v>1000</v>
      </c>
      <c r="C1164" s="1508" t="s">
        <v>1240</v>
      </c>
      <c r="D1164" s="1507">
        <v>200</v>
      </c>
      <c r="E1164" s="1458">
        <v>16</v>
      </c>
      <c r="F1164" s="1458" t="s">
        <v>68</v>
      </c>
      <c r="G1164" s="1458">
        <v>2</v>
      </c>
      <c r="H1164" s="1470" t="s">
        <v>68</v>
      </c>
      <c r="I1164" s="1473" t="s">
        <v>2566</v>
      </c>
      <c r="J1164" s="1469">
        <f>(1/4)*PI()*((E1164*0.001)^2-(E1160*0.001-2*G1164*0.001)^2)</f>
        <v>1.8849555921538757E-4</v>
      </c>
      <c r="K1164" s="1471">
        <v>0.28899999999999998</v>
      </c>
      <c r="L1164" s="1516">
        <v>2000</v>
      </c>
      <c r="M1164" s="1469">
        <v>1</v>
      </c>
      <c r="N1164" s="1505">
        <f>IF(J1164="",D1164*M1164,D1164*J1164*K1164*L1164*M1164)</f>
        <v>21.7900866452988</v>
      </c>
      <c r="O1164" s="592"/>
    </row>
    <row r="1165" spans="1:16" x14ac:dyDescent="0.25">
      <c r="A1165" s="1106"/>
      <c r="B1165" s="95"/>
      <c r="C1165" s="95"/>
      <c r="D1165" s="95"/>
      <c r="E1165" s="95"/>
      <c r="F1165" s="95"/>
      <c r="G1165" s="95"/>
      <c r="H1165" s="95"/>
      <c r="I1165" s="95"/>
      <c r="J1165" s="95"/>
      <c r="K1165" s="95"/>
      <c r="L1165" s="95"/>
      <c r="M1165" s="1467" t="s">
        <v>58</v>
      </c>
      <c r="N1165" s="1447">
        <f>SUM(N1164:N1164)</f>
        <v>21.7900866452988</v>
      </c>
      <c r="O1165" s="594"/>
    </row>
    <row r="1166" spans="1:16" x14ac:dyDescent="0.25">
      <c r="A1166" s="1111"/>
      <c r="B1166" s="94"/>
      <c r="C1166" s="94"/>
      <c r="D1166" s="94"/>
      <c r="E1166" s="94"/>
      <c r="F1166" s="94"/>
      <c r="G1166" s="94"/>
      <c r="H1166" s="94"/>
      <c r="I1166" s="94"/>
      <c r="J1166" s="94"/>
      <c r="K1166" s="94"/>
      <c r="L1166" s="94"/>
      <c r="M1166" s="94"/>
      <c r="N1166" s="94"/>
      <c r="O1166" s="594"/>
    </row>
    <row r="1167" spans="1:16" x14ac:dyDescent="0.25">
      <c r="A1167" s="1504" t="s">
        <v>67</v>
      </c>
      <c r="B1167" s="1465" t="s">
        <v>106</v>
      </c>
      <c r="C1167" s="1465" t="s">
        <v>66</v>
      </c>
      <c r="D1167" s="1465" t="s">
        <v>65</v>
      </c>
      <c r="E1167" s="1465" t="s">
        <v>64</v>
      </c>
      <c r="F1167" s="1465" t="s">
        <v>40</v>
      </c>
      <c r="G1167" s="1465" t="s">
        <v>105</v>
      </c>
      <c r="H1167" s="1465" t="s">
        <v>104</v>
      </c>
      <c r="I1167" s="1465" t="s">
        <v>58</v>
      </c>
      <c r="J1167" s="95"/>
      <c r="K1167" s="95"/>
      <c r="L1167" s="95"/>
      <c r="M1167" s="95"/>
      <c r="N1167" s="95"/>
      <c r="O1167" s="594"/>
    </row>
    <row r="1168" spans="1:16" x14ac:dyDescent="0.25">
      <c r="A1168" s="1497">
        <v>10</v>
      </c>
      <c r="B1168" s="1498" t="s">
        <v>2565</v>
      </c>
      <c r="C1168" s="1503" t="s">
        <v>2564</v>
      </c>
      <c r="D1168" s="1501">
        <v>25</v>
      </c>
      <c r="E1168" s="1498" t="s">
        <v>794</v>
      </c>
      <c r="F1168" s="1497">
        <v>5.5E-2</v>
      </c>
      <c r="G1168" s="1497"/>
      <c r="H1168" s="1497"/>
      <c r="I1168" s="1462">
        <f>IF(H1168="",D1168*F1168,D1168*F1168*H1168)</f>
        <v>1.375</v>
      </c>
      <c r="J1168" s="142"/>
      <c r="K1168" s="142"/>
      <c r="L1168" s="142"/>
      <c r="M1168" s="142"/>
      <c r="N1168" s="142"/>
      <c r="O1168" s="734"/>
    </row>
    <row r="1169" spans="1:15" x14ac:dyDescent="0.25">
      <c r="A1169" s="1106"/>
      <c r="B1169" s="95"/>
      <c r="C1169" s="95"/>
      <c r="D1169" s="95"/>
      <c r="E1169" s="95"/>
      <c r="F1169" s="95"/>
      <c r="G1169" s="95"/>
      <c r="H1169" s="1448" t="s">
        <v>58</v>
      </c>
      <c r="I1169" s="1447">
        <f>SUM(I1168:I1168)</f>
        <v>1.375</v>
      </c>
      <c r="J1169" s="95"/>
      <c r="K1169" s="95"/>
      <c r="L1169" s="95"/>
      <c r="M1169" s="95"/>
      <c r="N1169" s="95"/>
      <c r="O1169" s="594"/>
    </row>
    <row r="1170" spans="1:15" x14ac:dyDescent="0.25">
      <c r="A1170" s="1111"/>
      <c r="B1170" s="94"/>
      <c r="C1170" s="94"/>
      <c r="D1170" s="94"/>
      <c r="E1170" s="94"/>
      <c r="F1170" s="94"/>
      <c r="G1170" s="94"/>
      <c r="H1170" s="94"/>
      <c r="I1170" s="99"/>
      <c r="J1170" s="94"/>
      <c r="K1170" s="94"/>
      <c r="L1170" s="94"/>
      <c r="M1170" s="94"/>
      <c r="N1170" s="94"/>
      <c r="O1170" s="594"/>
    </row>
    <row r="1171" spans="1:15" ht="15.75" thickBot="1" x14ac:dyDescent="0.3">
      <c r="A1171" s="1103"/>
      <c r="B1171" s="304"/>
      <c r="C1171" s="304"/>
      <c r="D1171" s="304"/>
      <c r="E1171" s="304"/>
      <c r="F1171" s="304"/>
      <c r="G1171" s="304"/>
      <c r="H1171" s="304"/>
      <c r="I1171" s="304"/>
      <c r="J1171" s="304"/>
      <c r="K1171" s="304"/>
      <c r="L1171" s="304"/>
      <c r="M1171" s="304"/>
      <c r="N1171" s="304"/>
      <c r="O1171" s="588"/>
    </row>
    <row r="1172" spans="1:15" ht="15.75" thickBot="1" x14ac:dyDescent="0.3">
      <c r="A1172" s="107"/>
      <c r="B1172" s="94"/>
      <c r="C1172" s="94"/>
      <c r="D1172" s="94"/>
      <c r="E1172" s="94"/>
      <c r="F1172" s="94"/>
      <c r="G1172" s="94"/>
      <c r="H1172" s="94"/>
      <c r="I1172" s="94"/>
      <c r="J1172" s="94"/>
      <c r="K1172" s="94"/>
      <c r="L1172" s="94"/>
      <c r="M1172" s="94"/>
      <c r="N1172" s="94"/>
      <c r="O1172" s="94"/>
    </row>
    <row r="1173" spans="1:15" x14ac:dyDescent="0.25">
      <c r="A1173" s="600"/>
      <c r="B1173" s="599"/>
      <c r="C1173" s="599"/>
      <c r="D1173" s="599"/>
      <c r="E1173" s="599"/>
      <c r="F1173" s="599"/>
      <c r="G1173" s="599"/>
      <c r="H1173" s="599"/>
      <c r="I1173" s="599"/>
      <c r="J1173" s="599"/>
      <c r="K1173" s="599"/>
      <c r="L1173" s="599"/>
      <c r="M1173" s="599"/>
      <c r="N1173" s="599"/>
      <c r="O1173" s="598"/>
    </row>
    <row r="1174" spans="1:15" x14ac:dyDescent="0.25">
      <c r="A1174" s="1510" t="s">
        <v>57</v>
      </c>
      <c r="B1174" s="133" t="s">
        <v>523</v>
      </c>
      <c r="C1174" s="94"/>
      <c r="D1174" s="94"/>
      <c r="E1174" s="94"/>
      <c r="F1174" s="94"/>
      <c r="G1174" s="94"/>
      <c r="H1174" s="94"/>
      <c r="I1174" s="94"/>
      <c r="J1174" s="1456" t="s">
        <v>51</v>
      </c>
      <c r="K1174" s="138">
        <v>81</v>
      </c>
      <c r="L1174" s="94"/>
      <c r="M1174" s="1454" t="s">
        <v>113</v>
      </c>
      <c r="N1174" s="100">
        <f>SU_09003_m+SU_09003_p</f>
        <v>7.9300187500000003</v>
      </c>
      <c r="O1174" s="594"/>
    </row>
    <row r="1175" spans="1:15" x14ac:dyDescent="0.25">
      <c r="A1175" s="1510" t="s">
        <v>125</v>
      </c>
      <c r="B1175" s="133" t="s">
        <v>5</v>
      </c>
      <c r="C1175" s="94"/>
      <c r="D1175" s="1454" t="s">
        <v>122</v>
      </c>
      <c r="E1175" s="270" t="s">
        <v>522</v>
      </c>
      <c r="F1175" s="94"/>
      <c r="G1175" s="94"/>
      <c r="H1175" s="94"/>
      <c r="I1175" s="94"/>
      <c r="J1175" s="94"/>
      <c r="K1175" s="94"/>
      <c r="L1175" s="94"/>
      <c r="M1175" s="1454" t="s">
        <v>124</v>
      </c>
      <c r="N1175" s="136">
        <v>1</v>
      </c>
      <c r="O1175" s="594"/>
    </row>
    <row r="1176" spans="1:15" x14ac:dyDescent="0.25">
      <c r="A1176" s="1510" t="s">
        <v>123</v>
      </c>
      <c r="B1176" s="270" t="s">
        <v>2403</v>
      </c>
      <c r="C1176" s="94"/>
      <c r="D1176" s="1454" t="s">
        <v>119</v>
      </c>
      <c r="E1176" s="94"/>
      <c r="F1176" s="94"/>
      <c r="G1176" s="94"/>
      <c r="H1176" s="94"/>
      <c r="I1176" s="94"/>
      <c r="J1176" s="1455" t="s">
        <v>122</v>
      </c>
      <c r="K1176" s="94"/>
      <c r="L1176" s="94"/>
      <c r="M1176" s="94"/>
      <c r="N1176" s="94"/>
      <c r="O1176" s="594"/>
    </row>
    <row r="1177" spans="1:15" x14ac:dyDescent="0.25">
      <c r="A1177" s="1510" t="s">
        <v>114</v>
      </c>
      <c r="B1177" s="135" t="s">
        <v>2563</v>
      </c>
      <c r="C1177" s="94"/>
      <c r="D1177" s="1454" t="s">
        <v>116</v>
      </c>
      <c r="E1177" s="94"/>
      <c r="F1177" s="94"/>
      <c r="G1177" s="94"/>
      <c r="H1177" s="94"/>
      <c r="I1177" s="94"/>
      <c r="J1177" s="1455" t="s">
        <v>119</v>
      </c>
      <c r="K1177" s="94"/>
      <c r="L1177" s="94"/>
      <c r="M1177" s="1454" t="s">
        <v>118</v>
      </c>
      <c r="N1177" s="100">
        <f>N1175*N1174</f>
        <v>7.9300187500000003</v>
      </c>
      <c r="O1177" s="594"/>
    </row>
    <row r="1178" spans="1:15" x14ac:dyDescent="0.25">
      <c r="A1178" s="1510" t="s">
        <v>121</v>
      </c>
      <c r="B1178" s="269" t="s">
        <v>2562</v>
      </c>
      <c r="C1178" s="94"/>
      <c r="D1178" s="94"/>
      <c r="E1178" s="94"/>
      <c r="F1178" s="94"/>
      <c r="G1178" s="94"/>
      <c r="H1178" s="94"/>
      <c r="I1178" s="94"/>
      <c r="J1178" s="1455" t="s">
        <v>116</v>
      </c>
      <c r="K1178" s="94"/>
      <c r="L1178" s="94"/>
      <c r="M1178" s="94"/>
      <c r="N1178" s="94"/>
      <c r="O1178" s="594"/>
    </row>
    <row r="1179" spans="1:15" x14ac:dyDescent="0.25">
      <c r="A1179" s="1510" t="s">
        <v>117</v>
      </c>
      <c r="B1179" s="133" t="s">
        <v>23</v>
      </c>
      <c r="C1179" s="94"/>
      <c r="D1179" s="94"/>
      <c r="E1179" s="94"/>
      <c r="F1179" s="94"/>
      <c r="G1179" s="94"/>
      <c r="H1179" s="94"/>
      <c r="I1179" s="94"/>
      <c r="J1179" s="94"/>
      <c r="K1179" s="94"/>
      <c r="L1179" s="94"/>
      <c r="M1179" s="94"/>
      <c r="N1179" s="94"/>
      <c r="O1179" s="594"/>
    </row>
    <row r="1180" spans="1:15" x14ac:dyDescent="0.25">
      <c r="A1180" s="1510" t="s">
        <v>115</v>
      </c>
      <c r="B1180" s="133"/>
      <c r="C1180" s="94"/>
      <c r="D1180" s="94"/>
      <c r="E1180" s="94"/>
      <c r="F1180" s="94"/>
      <c r="G1180" s="94"/>
      <c r="H1180" s="94"/>
      <c r="I1180" s="94"/>
      <c r="J1180" s="94"/>
      <c r="K1180" s="94"/>
      <c r="L1180" s="94"/>
      <c r="M1180" s="94"/>
      <c r="N1180" s="94"/>
      <c r="O1180" s="594"/>
    </row>
    <row r="1181" spans="1:15" x14ac:dyDescent="0.25">
      <c r="A1181" s="596"/>
      <c r="B1181" s="265"/>
      <c r="C1181" s="265"/>
      <c r="D1181" s="265"/>
      <c r="E1181" s="265"/>
      <c r="F1181" s="94"/>
      <c r="G1181" s="94"/>
      <c r="H1181" s="94"/>
      <c r="I1181" s="94"/>
      <c r="J1181" s="94"/>
      <c r="K1181" s="94"/>
      <c r="L1181" s="94"/>
      <c r="M1181" s="94"/>
      <c r="N1181" s="94"/>
      <c r="O1181" s="594"/>
    </row>
    <row r="1182" spans="1:15" x14ac:dyDescent="0.25">
      <c r="A1182" s="1509" t="s">
        <v>67</v>
      </c>
      <c r="B1182" s="1452" t="s">
        <v>112</v>
      </c>
      <c r="C1182" s="1452" t="s">
        <v>66</v>
      </c>
      <c r="D1182" s="1452" t="s">
        <v>65</v>
      </c>
      <c r="E1182" s="1452" t="s">
        <v>81</v>
      </c>
      <c r="F1182" s="1465" t="s">
        <v>80</v>
      </c>
      <c r="G1182" s="1465" t="s">
        <v>79</v>
      </c>
      <c r="H1182" s="1465" t="s">
        <v>78</v>
      </c>
      <c r="I1182" s="1465" t="s">
        <v>111</v>
      </c>
      <c r="J1182" s="1465" t="s">
        <v>110</v>
      </c>
      <c r="K1182" s="1465" t="s">
        <v>109</v>
      </c>
      <c r="L1182" s="1465" t="s">
        <v>108</v>
      </c>
      <c r="M1182" s="1465" t="s">
        <v>40</v>
      </c>
      <c r="N1182" s="1465" t="s">
        <v>58</v>
      </c>
      <c r="O1182" s="594"/>
    </row>
    <row r="1183" spans="1:15" ht="30" x14ac:dyDescent="0.25">
      <c r="A1183" s="1458">
        <v>10</v>
      </c>
      <c r="B1183" s="1475" t="s">
        <v>519</v>
      </c>
      <c r="C1183" s="1508" t="s">
        <v>2561</v>
      </c>
      <c r="D1183" s="1507">
        <v>2.25</v>
      </c>
      <c r="E1183" s="1458">
        <v>25</v>
      </c>
      <c r="F1183" s="1458" t="s">
        <v>68</v>
      </c>
      <c r="G1183" s="1458">
        <v>25</v>
      </c>
      <c r="H1183" s="1470" t="s">
        <v>68</v>
      </c>
      <c r="I1183" s="1473" t="s">
        <v>2560</v>
      </c>
      <c r="J1183" s="1469">
        <f>0.025*0.025</f>
        <v>6.2500000000000012E-4</v>
      </c>
      <c r="K1183" s="1471">
        <v>3.7999999999999999E-2</v>
      </c>
      <c r="L1183" s="1516">
        <v>7860</v>
      </c>
      <c r="M1183" s="1469">
        <v>1</v>
      </c>
      <c r="N1183" s="1505">
        <f>IF(J1183="",D1183*M1183,D1183*J1183*K1183*L1183*M1183)</f>
        <v>0.42001875000000011</v>
      </c>
      <c r="O1183" s="592"/>
    </row>
    <row r="1184" spans="1:15" x14ac:dyDescent="0.25">
      <c r="A1184" s="1106"/>
      <c r="B1184" s="95"/>
      <c r="C1184" s="95"/>
      <c r="D1184" s="95"/>
      <c r="E1184" s="95"/>
      <c r="F1184" s="95"/>
      <c r="G1184" s="95"/>
      <c r="H1184" s="95"/>
      <c r="I1184" s="95"/>
      <c r="J1184" s="95"/>
      <c r="K1184" s="95"/>
      <c r="L1184" s="95"/>
      <c r="M1184" s="1467" t="s">
        <v>58</v>
      </c>
      <c r="N1184" s="1447">
        <f>SUM(N1183:N1183)</f>
        <v>0.42001875000000011</v>
      </c>
      <c r="O1184" s="594"/>
    </row>
    <row r="1185" spans="1:15" x14ac:dyDescent="0.25">
      <c r="A1185" s="1111"/>
      <c r="B1185" s="94"/>
      <c r="C1185" s="94"/>
      <c r="D1185" s="94"/>
      <c r="E1185" s="94"/>
      <c r="F1185" s="94"/>
      <c r="G1185" s="94"/>
      <c r="H1185" s="94"/>
      <c r="I1185" s="94"/>
      <c r="J1185" s="94"/>
      <c r="K1185" s="94"/>
      <c r="L1185" s="94"/>
      <c r="M1185" s="94"/>
      <c r="N1185" s="94"/>
      <c r="O1185" s="594"/>
    </row>
    <row r="1186" spans="1:15" x14ac:dyDescent="0.25">
      <c r="A1186" s="1504" t="s">
        <v>67</v>
      </c>
      <c r="B1186" s="1465" t="s">
        <v>106</v>
      </c>
      <c r="C1186" s="1465" t="s">
        <v>66</v>
      </c>
      <c r="D1186" s="1465" t="s">
        <v>65</v>
      </c>
      <c r="E1186" s="1465" t="s">
        <v>64</v>
      </c>
      <c r="F1186" s="1465" t="s">
        <v>40</v>
      </c>
      <c r="G1186" s="1465" t="s">
        <v>105</v>
      </c>
      <c r="H1186" s="1465" t="s">
        <v>104</v>
      </c>
      <c r="I1186" s="1465" t="s">
        <v>58</v>
      </c>
      <c r="J1186" s="95"/>
      <c r="K1186" s="95"/>
      <c r="L1186" s="95"/>
      <c r="M1186" s="95"/>
      <c r="N1186" s="95"/>
      <c r="O1186" s="594"/>
    </row>
    <row r="1187" spans="1:15" ht="30" x14ac:dyDescent="0.25">
      <c r="A1187" s="1544">
        <v>10</v>
      </c>
      <c r="B1187" s="1461" t="s">
        <v>516</v>
      </c>
      <c r="C1187" s="1546" t="s">
        <v>528</v>
      </c>
      <c r="D1187" s="1507">
        <v>1.3</v>
      </c>
      <c r="E1187" s="1461" t="s">
        <v>64</v>
      </c>
      <c r="F1187" s="1544">
        <v>1</v>
      </c>
      <c r="G1187" s="1544"/>
      <c r="H1187" s="1544"/>
      <c r="I1187" s="1511">
        <f t="shared" ref="I1187:I1193" si="20">IF(H1187="",D1187*F1187,D1187*F1187*H1187)</f>
        <v>1.3</v>
      </c>
      <c r="J1187" s="142"/>
      <c r="K1187" s="142"/>
      <c r="L1187" s="142"/>
      <c r="M1187" s="142"/>
      <c r="N1187" s="142"/>
      <c r="O1187" s="734"/>
    </row>
    <row r="1188" spans="1:15" x14ac:dyDescent="0.25">
      <c r="A1188" s="1541">
        <v>20</v>
      </c>
      <c r="B1188" s="1541" t="s">
        <v>514</v>
      </c>
      <c r="C1188" s="1541" t="s">
        <v>1263</v>
      </c>
      <c r="D1188" s="1542">
        <v>0.04</v>
      </c>
      <c r="E1188" s="1541" t="s">
        <v>512</v>
      </c>
      <c r="F1188" s="1541">
        <v>17.2</v>
      </c>
      <c r="G1188" s="1541" t="s">
        <v>2557</v>
      </c>
      <c r="H1188" s="1541">
        <v>3</v>
      </c>
      <c r="I1188" s="1511">
        <f t="shared" si="20"/>
        <v>2.0640000000000001</v>
      </c>
      <c r="J1188" s="94"/>
      <c r="K1188" s="94"/>
      <c r="L1188" s="94"/>
      <c r="M1188" s="94"/>
      <c r="N1188" s="94"/>
      <c r="O1188" s="594"/>
    </row>
    <row r="1189" spans="1:15" x14ac:dyDescent="0.25">
      <c r="A1189" s="1543">
        <v>30</v>
      </c>
      <c r="B1189" s="1545" t="s">
        <v>2177</v>
      </c>
      <c r="C1189" s="1544" t="s">
        <v>1252</v>
      </c>
      <c r="D1189" s="1544">
        <v>0.35</v>
      </c>
      <c r="E1189" s="1544" t="s">
        <v>294</v>
      </c>
      <c r="F1189" s="1543">
        <v>1</v>
      </c>
      <c r="G1189" s="1543"/>
      <c r="H1189" s="1543"/>
      <c r="I1189" s="1511">
        <f t="shared" si="20"/>
        <v>0.35</v>
      </c>
      <c r="J1189" s="94"/>
      <c r="K1189" s="94"/>
      <c r="L1189" s="94"/>
      <c r="M1189" s="94"/>
      <c r="N1189" s="94"/>
      <c r="O1189" s="594"/>
    </row>
    <row r="1190" spans="1:15" x14ac:dyDescent="0.25">
      <c r="A1190" s="1541">
        <v>40</v>
      </c>
      <c r="B1190" s="1541" t="s">
        <v>2536</v>
      </c>
      <c r="C1190" s="1541"/>
      <c r="D1190" s="1542">
        <v>0.65</v>
      </c>
      <c r="E1190" s="1541" t="s">
        <v>64</v>
      </c>
      <c r="F1190" s="1541">
        <v>1</v>
      </c>
      <c r="G1190" s="1541"/>
      <c r="H1190" s="1541"/>
      <c r="I1190" s="1511">
        <f t="shared" si="20"/>
        <v>0.65</v>
      </c>
      <c r="J1190" s="94"/>
      <c r="K1190" s="94"/>
      <c r="L1190" s="94"/>
      <c r="M1190" s="94"/>
      <c r="N1190" s="94"/>
      <c r="O1190" s="594"/>
    </row>
    <row r="1191" spans="1:15" x14ac:dyDescent="0.25">
      <c r="A1191" s="1541">
        <v>50</v>
      </c>
      <c r="B1191" s="1541" t="s">
        <v>514</v>
      </c>
      <c r="C1191" s="1541" t="s">
        <v>2559</v>
      </c>
      <c r="D1191" s="1542">
        <v>0.04</v>
      </c>
      <c r="E1191" s="1541" t="s">
        <v>512</v>
      </c>
      <c r="F1191" s="1541">
        <v>18.3</v>
      </c>
      <c r="G1191" s="1541" t="s">
        <v>2557</v>
      </c>
      <c r="H1191" s="1541">
        <v>3</v>
      </c>
      <c r="I1191" s="1511">
        <f t="shared" si="20"/>
        <v>2.1960000000000002</v>
      </c>
      <c r="J1191" s="94"/>
      <c r="K1191" s="94"/>
      <c r="L1191" s="94"/>
      <c r="M1191" s="94"/>
      <c r="N1191" s="94"/>
      <c r="O1191" s="594"/>
    </row>
    <row r="1192" spans="1:15" x14ac:dyDescent="0.25">
      <c r="A1192" s="1541">
        <v>60</v>
      </c>
      <c r="B1192" s="1541" t="s">
        <v>2536</v>
      </c>
      <c r="C1192" s="1541"/>
      <c r="D1192" s="1542">
        <v>0.65</v>
      </c>
      <c r="E1192" s="1541" t="s">
        <v>64</v>
      </c>
      <c r="F1192" s="1541">
        <v>1</v>
      </c>
      <c r="G1192" s="1541"/>
      <c r="H1192" s="1541"/>
      <c r="I1192" s="1511">
        <f t="shared" si="20"/>
        <v>0.65</v>
      </c>
      <c r="J1192" s="94"/>
      <c r="K1192" s="94"/>
      <c r="L1192" s="94"/>
      <c r="M1192" s="94"/>
      <c r="N1192" s="94"/>
      <c r="O1192" s="594"/>
    </row>
    <row r="1193" spans="1:15" x14ac:dyDescent="0.25">
      <c r="A1193" s="1541">
        <v>70</v>
      </c>
      <c r="B1193" s="1541" t="s">
        <v>514</v>
      </c>
      <c r="C1193" s="1541" t="s">
        <v>2558</v>
      </c>
      <c r="D1193" s="1542">
        <v>0.04</v>
      </c>
      <c r="E1193" s="1541" t="s">
        <v>512</v>
      </c>
      <c r="F1193" s="1541">
        <v>2.5</v>
      </c>
      <c r="G1193" s="1541" t="s">
        <v>2557</v>
      </c>
      <c r="H1193" s="1541">
        <v>3</v>
      </c>
      <c r="I1193" s="1511">
        <f t="shared" si="20"/>
        <v>0.30000000000000004</v>
      </c>
      <c r="J1193" s="99"/>
      <c r="K1193" s="99"/>
      <c r="L1193" s="99"/>
      <c r="M1193" s="99"/>
      <c r="N1193" s="99"/>
      <c r="O1193" s="1121"/>
    </row>
    <row r="1194" spans="1:15" x14ac:dyDescent="0.25">
      <c r="A1194" s="1106"/>
      <c r="B1194" s="95"/>
      <c r="C1194" s="95"/>
      <c r="D1194" s="95"/>
      <c r="E1194" s="95"/>
      <c r="F1194" s="95"/>
      <c r="G1194" s="95"/>
      <c r="H1194" s="1448" t="s">
        <v>58</v>
      </c>
      <c r="I1194" s="1447">
        <f>SUM(I1187:I1193)</f>
        <v>7.5100000000000007</v>
      </c>
      <c r="J1194" s="95"/>
      <c r="K1194" s="95"/>
      <c r="L1194" s="95"/>
      <c r="M1194" s="95"/>
      <c r="N1194" s="95"/>
      <c r="O1194" s="594"/>
    </row>
    <row r="1195" spans="1:15" x14ac:dyDescent="0.25">
      <c r="A1195" s="1111"/>
      <c r="B1195" s="94"/>
      <c r="C1195" s="94"/>
      <c r="D1195" s="94"/>
      <c r="E1195" s="94"/>
      <c r="F1195" s="94"/>
      <c r="G1195" s="94"/>
      <c r="H1195" s="94"/>
      <c r="I1195" s="99"/>
      <c r="J1195" s="94"/>
      <c r="K1195" s="94"/>
      <c r="L1195" s="94"/>
      <c r="M1195" s="94"/>
      <c r="N1195" s="94"/>
      <c r="O1195" s="594"/>
    </row>
    <row r="1196" spans="1:15" ht="15.75" thickBot="1" x14ac:dyDescent="0.3">
      <c r="A1196" s="1103"/>
      <c r="B1196" s="304"/>
      <c r="C1196" s="304"/>
      <c r="D1196" s="304"/>
      <c r="E1196" s="304"/>
      <c r="F1196" s="304"/>
      <c r="G1196" s="304"/>
      <c r="H1196" s="304"/>
      <c r="I1196" s="304"/>
      <c r="J1196" s="304"/>
      <c r="K1196" s="304"/>
      <c r="L1196" s="304"/>
      <c r="M1196" s="304"/>
      <c r="N1196" s="304"/>
      <c r="O1196" s="588"/>
    </row>
    <row r="1197" spans="1:15" ht="15.75" thickBot="1" x14ac:dyDescent="0.3">
      <c r="A1197" s="94"/>
      <c r="B1197" s="94"/>
      <c r="C1197" s="94"/>
      <c r="D1197" s="94"/>
      <c r="E1197" s="94"/>
      <c r="F1197" s="94"/>
      <c r="G1197" s="94"/>
      <c r="H1197" s="94"/>
      <c r="I1197" s="94"/>
      <c r="J1197" s="94"/>
      <c r="K1197" s="94"/>
      <c r="L1197" s="94"/>
      <c r="M1197" s="94"/>
      <c r="N1197" s="94"/>
      <c r="O1197" s="94"/>
    </row>
    <row r="1198" spans="1:15" x14ac:dyDescent="0.25">
      <c r="A1198" s="600"/>
      <c r="B1198" s="599"/>
      <c r="C1198" s="599"/>
      <c r="D1198" s="599"/>
      <c r="E1198" s="599"/>
      <c r="F1198" s="599"/>
      <c r="G1198" s="599"/>
      <c r="H1198" s="599"/>
      <c r="I1198" s="599"/>
      <c r="J1198" s="599"/>
      <c r="K1198" s="599"/>
      <c r="L1198" s="599"/>
      <c r="M1198" s="599"/>
      <c r="N1198" s="599"/>
      <c r="O1198" s="598"/>
    </row>
    <row r="1199" spans="1:15" x14ac:dyDescent="0.25">
      <c r="A1199" s="1510" t="s">
        <v>57</v>
      </c>
      <c r="B1199" s="133" t="s">
        <v>523</v>
      </c>
      <c r="C1199" s="94"/>
      <c r="D1199" s="94"/>
      <c r="E1199" s="94"/>
      <c r="F1199" s="94"/>
      <c r="G1199" s="94"/>
      <c r="H1199" s="94"/>
      <c r="I1199" s="94"/>
      <c r="J1199" s="1456" t="s">
        <v>51</v>
      </c>
      <c r="K1199" s="138">
        <v>81</v>
      </c>
      <c r="L1199" s="94"/>
      <c r="M1199" s="1454" t="s">
        <v>113</v>
      </c>
      <c r="N1199" s="100">
        <f>SU_10001_m</f>
        <v>2.4501548140722353</v>
      </c>
      <c r="O1199" s="594"/>
    </row>
    <row r="1200" spans="1:15" x14ac:dyDescent="0.25">
      <c r="A1200" s="1510" t="s">
        <v>125</v>
      </c>
      <c r="B1200" s="133" t="s">
        <v>5</v>
      </c>
      <c r="C1200" s="94"/>
      <c r="D1200" s="1454" t="s">
        <v>122</v>
      </c>
      <c r="E1200" s="270"/>
      <c r="F1200" s="94"/>
      <c r="G1200" s="94"/>
      <c r="H1200" s="94"/>
      <c r="I1200" s="94"/>
      <c r="J1200" s="94"/>
      <c r="K1200" s="94"/>
      <c r="L1200" s="94"/>
      <c r="M1200" s="1454" t="s">
        <v>124</v>
      </c>
      <c r="N1200" s="136">
        <v>1</v>
      </c>
      <c r="O1200" s="594"/>
    </row>
    <row r="1201" spans="1:15" x14ac:dyDescent="0.25">
      <c r="A1201" s="1510" t="s">
        <v>123</v>
      </c>
      <c r="B1201" s="270" t="str">
        <f>'SU Assemblies'!B485</f>
        <v>Front Anti Roll System</v>
      </c>
      <c r="C1201" s="94"/>
      <c r="D1201" s="1454" t="s">
        <v>119</v>
      </c>
      <c r="E1201" s="94"/>
      <c r="F1201" s="94"/>
      <c r="G1201" s="94"/>
      <c r="H1201" s="94"/>
      <c r="I1201" s="94"/>
      <c r="J1201" s="1455" t="s">
        <v>122</v>
      </c>
      <c r="K1201" s="94"/>
      <c r="L1201" s="94"/>
      <c r="M1201" s="94"/>
      <c r="N1201" s="94"/>
      <c r="O1201" s="594"/>
    </row>
    <row r="1202" spans="1:15" x14ac:dyDescent="0.25">
      <c r="A1202" s="1510" t="s">
        <v>114</v>
      </c>
      <c r="B1202" s="133" t="s">
        <v>2555</v>
      </c>
      <c r="C1202" s="94"/>
      <c r="D1202" s="1454" t="s">
        <v>116</v>
      </c>
      <c r="E1202" s="94"/>
      <c r="F1202" s="94"/>
      <c r="G1202" s="94"/>
      <c r="H1202" s="94"/>
      <c r="I1202" s="94"/>
      <c r="J1202" s="1455" t="s">
        <v>119</v>
      </c>
      <c r="K1202" s="94"/>
      <c r="L1202" s="94"/>
      <c r="M1202" s="1454" t="s">
        <v>118</v>
      </c>
      <c r="N1202" s="100">
        <f>N1200*N1199</f>
        <v>2.4501548140722353</v>
      </c>
      <c r="O1202" s="594"/>
    </row>
    <row r="1203" spans="1:15" x14ac:dyDescent="0.25">
      <c r="A1203" s="1510" t="s">
        <v>121</v>
      </c>
      <c r="B1203" s="269" t="s">
        <v>2556</v>
      </c>
      <c r="C1203" s="94"/>
      <c r="D1203" s="94"/>
      <c r="E1203" s="94"/>
      <c r="F1203" s="94"/>
      <c r="G1203" s="94"/>
      <c r="H1203" s="94"/>
      <c r="I1203" s="94"/>
      <c r="J1203" s="1455" t="s">
        <v>116</v>
      </c>
      <c r="K1203" s="94"/>
      <c r="L1203" s="94"/>
      <c r="M1203" s="94"/>
      <c r="N1203" s="94"/>
      <c r="O1203" s="594"/>
    </row>
    <row r="1204" spans="1:15" x14ac:dyDescent="0.25">
      <c r="A1204" s="1510" t="s">
        <v>117</v>
      </c>
      <c r="B1204" s="133" t="s">
        <v>23</v>
      </c>
      <c r="C1204" s="94"/>
      <c r="D1204" s="94"/>
      <c r="E1204" s="94"/>
      <c r="F1204" s="94"/>
      <c r="G1204" s="94"/>
      <c r="H1204" s="94"/>
      <c r="I1204" s="94"/>
      <c r="J1204" s="94"/>
      <c r="K1204" s="94"/>
      <c r="L1204" s="94"/>
      <c r="M1204" s="94"/>
      <c r="N1204" s="94"/>
      <c r="O1204" s="594"/>
    </row>
    <row r="1205" spans="1:15" x14ac:dyDescent="0.25">
      <c r="A1205" s="1510" t="s">
        <v>115</v>
      </c>
      <c r="B1205" s="133" t="s">
        <v>2555</v>
      </c>
      <c r="C1205" s="94"/>
      <c r="D1205" s="94"/>
      <c r="E1205" s="94"/>
      <c r="F1205" s="94"/>
      <c r="G1205" s="94"/>
      <c r="H1205" s="94"/>
      <c r="I1205" s="94"/>
      <c r="J1205" s="94"/>
      <c r="K1205" s="94"/>
      <c r="L1205" s="94"/>
      <c r="M1205" s="94"/>
      <c r="N1205" s="94"/>
      <c r="O1205" s="594"/>
    </row>
    <row r="1206" spans="1:15" x14ac:dyDescent="0.25">
      <c r="A1206" s="596"/>
      <c r="B1206" s="265"/>
      <c r="C1206" s="265"/>
      <c r="D1206" s="265"/>
      <c r="E1206" s="265"/>
      <c r="F1206" s="94"/>
      <c r="G1206" s="94"/>
      <c r="H1206" s="94"/>
      <c r="I1206" s="94"/>
      <c r="J1206" s="94"/>
      <c r="K1206" s="94"/>
      <c r="L1206" s="94"/>
      <c r="M1206" s="94"/>
      <c r="N1206" s="94"/>
      <c r="O1206" s="594"/>
    </row>
    <row r="1207" spans="1:15" x14ac:dyDescent="0.25">
      <c r="A1207" s="1509" t="s">
        <v>67</v>
      </c>
      <c r="B1207" s="1452" t="s">
        <v>112</v>
      </c>
      <c r="C1207" s="1452" t="s">
        <v>66</v>
      </c>
      <c r="D1207" s="1452" t="s">
        <v>65</v>
      </c>
      <c r="E1207" s="1452" t="s">
        <v>81</v>
      </c>
      <c r="F1207" s="1465" t="s">
        <v>80</v>
      </c>
      <c r="G1207" s="1465" t="s">
        <v>79</v>
      </c>
      <c r="H1207" s="1465" t="s">
        <v>78</v>
      </c>
      <c r="I1207" s="1465" t="s">
        <v>111</v>
      </c>
      <c r="J1207" s="1465" t="s">
        <v>110</v>
      </c>
      <c r="K1207" s="1465" t="s">
        <v>109</v>
      </c>
      <c r="L1207" s="1465" t="s">
        <v>108</v>
      </c>
      <c r="M1207" s="1465" t="s">
        <v>40</v>
      </c>
      <c r="N1207" s="1465" t="s">
        <v>58</v>
      </c>
      <c r="O1207" s="594"/>
    </row>
    <row r="1208" spans="1:15" ht="30" x14ac:dyDescent="0.25">
      <c r="A1208" s="1532">
        <v>10</v>
      </c>
      <c r="B1208" s="1520" t="s">
        <v>519</v>
      </c>
      <c r="C1208" s="1534" t="s">
        <v>2554</v>
      </c>
      <c r="D1208" s="1533">
        <v>2.25</v>
      </c>
      <c r="E1208" s="1532">
        <v>12</v>
      </c>
      <c r="F1208" s="1532" t="s">
        <v>68</v>
      </c>
      <c r="G1208" s="1532">
        <v>1.5</v>
      </c>
      <c r="H1208" s="1531" t="s">
        <v>68</v>
      </c>
      <c r="I1208" s="1517" t="s">
        <v>2553</v>
      </c>
      <c r="J1208" s="1540">
        <v>1.9792033717615698E-4</v>
      </c>
      <c r="K1208" s="1528">
        <v>0.7</v>
      </c>
      <c r="L1208" s="1538">
        <v>7860</v>
      </c>
      <c r="M1208" s="1512">
        <v>1</v>
      </c>
      <c r="N1208" s="1505">
        <f>IF(J1208="",D1208*M208,D1208*J1208*K1208*L1208*M1208)</f>
        <v>2.4501548140722353</v>
      </c>
      <c r="O1208" s="592"/>
    </row>
    <row r="1209" spans="1:15" x14ac:dyDescent="0.25">
      <c r="A1209" s="1106"/>
      <c r="B1209" s="95"/>
      <c r="C1209" s="95"/>
      <c r="D1209" s="95"/>
      <c r="E1209" s="95"/>
      <c r="F1209" s="95"/>
      <c r="G1209" s="95"/>
      <c r="H1209" s="95"/>
      <c r="I1209" s="95"/>
      <c r="J1209" s="95"/>
      <c r="K1209" s="95"/>
      <c r="L1209" s="95"/>
      <c r="M1209" s="1467" t="s">
        <v>58</v>
      </c>
      <c r="N1209" s="1447">
        <f>SUM(N1208:N1208)</f>
        <v>2.4501548140722353</v>
      </c>
      <c r="O1209" s="594"/>
    </row>
    <row r="1210" spans="1:15" ht="15.75" thickBot="1" x14ac:dyDescent="0.3">
      <c r="A1210" s="1103"/>
      <c r="B1210" s="304"/>
      <c r="C1210" s="304"/>
      <c r="D1210" s="304"/>
      <c r="E1210" s="304"/>
      <c r="F1210" s="304"/>
      <c r="G1210" s="304"/>
      <c r="H1210" s="304"/>
      <c r="I1210" s="304"/>
      <c r="J1210" s="304"/>
      <c r="K1210" s="304"/>
      <c r="L1210" s="304"/>
      <c r="M1210" s="304"/>
      <c r="N1210" s="304"/>
      <c r="O1210" s="588"/>
    </row>
    <row r="1211" spans="1:15" ht="15.75" thickBot="1" x14ac:dyDescent="0.3">
      <c r="A1211" s="94"/>
      <c r="B1211" s="94"/>
      <c r="C1211" s="94"/>
      <c r="D1211" s="94"/>
      <c r="E1211" s="94"/>
      <c r="F1211" s="94"/>
      <c r="G1211" s="94"/>
      <c r="H1211" s="94"/>
      <c r="I1211" s="94"/>
      <c r="J1211" s="94"/>
      <c r="K1211" s="94"/>
      <c r="L1211" s="94"/>
      <c r="M1211" s="94"/>
      <c r="N1211" s="94"/>
      <c r="O1211" s="94"/>
    </row>
    <row r="1212" spans="1:15" x14ac:dyDescent="0.25">
      <c r="A1212" s="600"/>
      <c r="B1212" s="599"/>
      <c r="C1212" s="599"/>
      <c r="D1212" s="599"/>
      <c r="E1212" s="599"/>
      <c r="F1212" s="599"/>
      <c r="G1212" s="599"/>
      <c r="H1212" s="599"/>
      <c r="I1212" s="599"/>
      <c r="J1212" s="599"/>
      <c r="K1212" s="599"/>
      <c r="L1212" s="599"/>
      <c r="M1212" s="599"/>
      <c r="N1212" s="599"/>
      <c r="O1212" s="598"/>
    </row>
    <row r="1213" spans="1:15" x14ac:dyDescent="0.25">
      <c r="A1213" s="1510" t="s">
        <v>57</v>
      </c>
      <c r="B1213" s="133" t="s">
        <v>523</v>
      </c>
      <c r="C1213" s="94"/>
      <c r="D1213" s="94"/>
      <c r="E1213" s="94"/>
      <c r="F1213" s="94"/>
      <c r="G1213" s="94"/>
      <c r="H1213" s="94"/>
      <c r="I1213" s="94"/>
      <c r="J1213" s="1456" t="s">
        <v>51</v>
      </c>
      <c r="K1213" s="138">
        <v>81</v>
      </c>
      <c r="L1213" s="94"/>
      <c r="M1213" s="1454" t="s">
        <v>113</v>
      </c>
      <c r="N1213" s="100">
        <f>SU_10002_m+SU_10002_p</f>
        <v>2.06393995</v>
      </c>
      <c r="O1213" s="594"/>
    </row>
    <row r="1214" spans="1:15" x14ac:dyDescent="0.25">
      <c r="A1214" s="1510" t="s">
        <v>125</v>
      </c>
      <c r="B1214" s="133" t="s">
        <v>5</v>
      </c>
      <c r="C1214" s="94"/>
      <c r="D1214" s="1454" t="s">
        <v>122</v>
      </c>
      <c r="E1214" s="270"/>
      <c r="F1214" s="94"/>
      <c r="G1214" s="94"/>
      <c r="H1214" s="94"/>
      <c r="I1214" s="94"/>
      <c r="J1214" s="94"/>
      <c r="K1214" s="94"/>
      <c r="L1214" s="94"/>
      <c r="M1214" s="1454" t="s">
        <v>124</v>
      </c>
      <c r="N1214" s="136">
        <v>4</v>
      </c>
      <c r="O1214" s="594"/>
    </row>
    <row r="1215" spans="1:15" x14ac:dyDescent="0.25">
      <c r="A1215" s="1510" t="s">
        <v>123</v>
      </c>
      <c r="B1215" s="270" t="str">
        <f>'SU Assemblies'!B485</f>
        <v>Front Anti Roll System</v>
      </c>
      <c r="C1215" s="94"/>
      <c r="D1215" s="1454" t="s">
        <v>119</v>
      </c>
      <c r="E1215" s="94"/>
      <c r="F1215" s="94"/>
      <c r="G1215" s="94"/>
      <c r="H1215" s="94"/>
      <c r="I1215" s="94"/>
      <c r="J1215" s="1455" t="s">
        <v>122</v>
      </c>
      <c r="K1215" s="94"/>
      <c r="L1215" s="94"/>
      <c r="M1215" s="94"/>
      <c r="N1215" s="94"/>
      <c r="O1215" s="594"/>
    </row>
    <row r="1216" spans="1:15" x14ac:dyDescent="0.25">
      <c r="A1216" s="1510" t="s">
        <v>114</v>
      </c>
      <c r="B1216" s="133" t="s">
        <v>2551</v>
      </c>
      <c r="C1216" s="94"/>
      <c r="D1216" s="1454" t="s">
        <v>116</v>
      </c>
      <c r="E1216" s="94"/>
      <c r="F1216" s="94"/>
      <c r="G1216" s="94"/>
      <c r="H1216" s="94"/>
      <c r="I1216" s="94"/>
      <c r="J1216" s="1455" t="s">
        <v>119</v>
      </c>
      <c r="K1216" s="94"/>
      <c r="L1216" s="94"/>
      <c r="M1216" s="1454" t="s">
        <v>118</v>
      </c>
      <c r="N1216" s="100">
        <f>N1214*N1213</f>
        <v>8.2557597999999999</v>
      </c>
      <c r="O1216" s="594"/>
    </row>
    <row r="1217" spans="1:15" x14ac:dyDescent="0.25">
      <c r="A1217" s="1510" t="s">
        <v>121</v>
      </c>
      <c r="B1217" s="269" t="s">
        <v>2552</v>
      </c>
      <c r="C1217" s="94"/>
      <c r="D1217" s="94"/>
      <c r="E1217" s="94"/>
      <c r="F1217" s="94"/>
      <c r="G1217" s="94"/>
      <c r="H1217" s="94"/>
      <c r="I1217" s="94"/>
      <c r="J1217" s="1455" t="s">
        <v>116</v>
      </c>
      <c r="K1217" s="94"/>
      <c r="L1217" s="94"/>
      <c r="M1217" s="94"/>
      <c r="N1217" s="94"/>
      <c r="O1217" s="594"/>
    </row>
    <row r="1218" spans="1:15" x14ac:dyDescent="0.25">
      <c r="A1218" s="1510" t="s">
        <v>117</v>
      </c>
      <c r="B1218" s="133" t="s">
        <v>23</v>
      </c>
      <c r="C1218" s="94"/>
      <c r="D1218" s="94"/>
      <c r="E1218" s="94"/>
      <c r="F1218" s="94"/>
      <c r="G1218" s="94"/>
      <c r="H1218" s="94"/>
      <c r="I1218" s="94"/>
      <c r="J1218" s="94"/>
      <c r="K1218" s="94"/>
      <c r="L1218" s="94"/>
      <c r="M1218" s="94"/>
      <c r="N1218" s="94"/>
      <c r="O1218" s="594"/>
    </row>
    <row r="1219" spans="1:15" x14ac:dyDescent="0.25">
      <c r="A1219" s="1510" t="s">
        <v>115</v>
      </c>
      <c r="B1219" s="133" t="s">
        <v>2551</v>
      </c>
      <c r="C1219" s="94"/>
      <c r="D1219" s="94"/>
      <c r="E1219" s="94"/>
      <c r="F1219" s="94"/>
      <c r="G1219" s="94"/>
      <c r="H1219" s="94"/>
      <c r="I1219" s="94"/>
      <c r="J1219" s="94"/>
      <c r="K1219" s="94"/>
      <c r="L1219" s="94"/>
      <c r="M1219" s="94"/>
      <c r="N1219" s="94"/>
      <c r="O1219" s="594"/>
    </row>
    <row r="1220" spans="1:15" x14ac:dyDescent="0.25">
      <c r="A1220" s="596"/>
      <c r="B1220" s="265"/>
      <c r="C1220" s="265"/>
      <c r="D1220" s="265"/>
      <c r="E1220" s="265"/>
      <c r="F1220" s="94"/>
      <c r="G1220" s="94"/>
      <c r="H1220" s="94"/>
      <c r="I1220" s="94"/>
      <c r="J1220" s="94"/>
      <c r="K1220" s="94"/>
      <c r="L1220" s="94"/>
      <c r="M1220" s="94"/>
      <c r="N1220" s="94"/>
      <c r="O1220" s="594"/>
    </row>
    <row r="1221" spans="1:15" x14ac:dyDescent="0.25">
      <c r="A1221" s="1509" t="s">
        <v>67</v>
      </c>
      <c r="B1221" s="1452" t="s">
        <v>112</v>
      </c>
      <c r="C1221" s="1452" t="s">
        <v>66</v>
      </c>
      <c r="D1221" s="1452" t="s">
        <v>65</v>
      </c>
      <c r="E1221" s="1452" t="s">
        <v>81</v>
      </c>
      <c r="F1221" s="1465" t="s">
        <v>80</v>
      </c>
      <c r="G1221" s="1465" t="s">
        <v>79</v>
      </c>
      <c r="H1221" s="1465" t="s">
        <v>78</v>
      </c>
      <c r="I1221" s="1465" t="s">
        <v>111</v>
      </c>
      <c r="J1221" s="1465" t="s">
        <v>110</v>
      </c>
      <c r="K1221" s="1465" t="s">
        <v>109</v>
      </c>
      <c r="L1221" s="1465" t="s">
        <v>108</v>
      </c>
      <c r="M1221" s="1465" t="s">
        <v>40</v>
      </c>
      <c r="N1221" s="1465" t="s">
        <v>58</v>
      </c>
      <c r="O1221" s="594"/>
    </row>
    <row r="1222" spans="1:15" ht="30" x14ac:dyDescent="0.25">
      <c r="A1222" s="1532">
        <v>10</v>
      </c>
      <c r="B1222" s="1520" t="s">
        <v>729</v>
      </c>
      <c r="C1222" s="1534" t="s">
        <v>841</v>
      </c>
      <c r="D1222" s="1533">
        <v>2.25</v>
      </c>
      <c r="E1222" s="1532">
        <v>30</v>
      </c>
      <c r="F1222" s="1532" t="s">
        <v>68</v>
      </c>
      <c r="G1222" s="1532">
        <v>3</v>
      </c>
      <c r="H1222" s="1531"/>
      <c r="I1222" s="1517" t="s">
        <v>2550</v>
      </c>
      <c r="J1222" s="1540">
        <f>E1222*G1222/10^6</f>
        <v>9.0000000000000006E-5</v>
      </c>
      <c r="K1222" s="1528">
        <v>0.10299999999999999</v>
      </c>
      <c r="L1222" s="1538">
        <v>7860</v>
      </c>
      <c r="M1222" s="1512">
        <v>1</v>
      </c>
      <c r="N1222" s="1505">
        <f>IF(J1222="",D1222*M231,D1222*J1222*K1222*L1222*M1222)</f>
        <v>0.16393995</v>
      </c>
      <c r="O1222" s="592"/>
    </row>
    <row r="1223" spans="1:15" x14ac:dyDescent="0.25">
      <c r="A1223" s="1106"/>
      <c r="B1223" s="95"/>
      <c r="C1223" s="95"/>
      <c r="D1223" s="95"/>
      <c r="E1223" s="95"/>
      <c r="F1223" s="95"/>
      <c r="G1223" s="95"/>
      <c r="H1223" s="95"/>
      <c r="I1223" s="95"/>
      <c r="J1223" s="95"/>
      <c r="K1223" s="95"/>
      <c r="L1223" s="95"/>
      <c r="M1223" s="1467" t="s">
        <v>58</v>
      </c>
      <c r="N1223" s="1447">
        <f>SUM(N1222:N1222)</f>
        <v>0.16393995</v>
      </c>
      <c r="O1223" s="594"/>
    </row>
    <row r="1224" spans="1:15" x14ac:dyDescent="0.25">
      <c r="A1224" s="1111"/>
      <c r="B1224" s="94"/>
      <c r="C1224" s="94"/>
      <c r="D1224" s="94"/>
      <c r="E1224" s="94"/>
      <c r="F1224" s="94"/>
      <c r="G1224" s="94"/>
      <c r="H1224" s="94"/>
      <c r="I1224" s="94"/>
      <c r="J1224" s="94"/>
      <c r="K1224" s="94"/>
      <c r="L1224" s="94"/>
      <c r="M1224" s="94"/>
      <c r="N1224" s="94"/>
      <c r="O1224" s="594"/>
    </row>
    <row r="1225" spans="1:15" x14ac:dyDescent="0.25">
      <c r="A1225" s="1504" t="s">
        <v>67</v>
      </c>
      <c r="B1225" s="1465" t="s">
        <v>106</v>
      </c>
      <c r="C1225" s="1465" t="s">
        <v>66</v>
      </c>
      <c r="D1225" s="1465" t="s">
        <v>65</v>
      </c>
      <c r="E1225" s="1465" t="s">
        <v>64</v>
      </c>
      <c r="F1225" s="1465" t="s">
        <v>40</v>
      </c>
      <c r="G1225" s="1465" t="s">
        <v>105</v>
      </c>
      <c r="H1225" s="1465" t="s">
        <v>104</v>
      </c>
      <c r="I1225" s="1465" t="s">
        <v>58</v>
      </c>
      <c r="J1225" s="95"/>
      <c r="K1225" s="95"/>
      <c r="L1225" s="95"/>
      <c r="M1225" s="95"/>
      <c r="N1225" s="95"/>
      <c r="O1225" s="594"/>
    </row>
    <row r="1226" spans="1:15" ht="30" x14ac:dyDescent="0.25">
      <c r="A1226" s="1515">
        <v>10</v>
      </c>
      <c r="B1226" s="1461" t="s">
        <v>516</v>
      </c>
      <c r="C1226" s="1515" t="s">
        <v>802</v>
      </c>
      <c r="D1226" s="1507">
        <v>1.3</v>
      </c>
      <c r="E1226" s="1461" t="s">
        <v>64</v>
      </c>
      <c r="F1226" s="1515">
        <v>1</v>
      </c>
      <c r="G1226" s="1515"/>
      <c r="H1226" s="1515"/>
      <c r="I1226" s="1511">
        <f>IF(H1226="",D1226*F1226,D1226*F1226*H1226)</f>
        <v>1.3</v>
      </c>
      <c r="J1226" s="142"/>
      <c r="K1226" s="142"/>
      <c r="L1226" s="142"/>
      <c r="M1226" s="142"/>
      <c r="N1226" s="142"/>
      <c r="O1226" s="734"/>
    </row>
    <row r="1227" spans="1:15" x14ac:dyDescent="0.25">
      <c r="A1227" s="1518">
        <v>20</v>
      </c>
      <c r="B1227" s="1461" t="s">
        <v>541</v>
      </c>
      <c r="C1227" s="1518"/>
      <c r="D1227" s="1507">
        <v>0.01</v>
      </c>
      <c r="E1227" s="1518" t="s">
        <v>101</v>
      </c>
      <c r="F1227" s="1518">
        <v>20</v>
      </c>
      <c r="G1227" s="1461" t="s">
        <v>724</v>
      </c>
      <c r="H1227" s="1515">
        <v>3</v>
      </c>
      <c r="I1227" s="1511">
        <f>IF(H1227="",D1227*F1227,D1227*F1227*H1227)</f>
        <v>0.60000000000000009</v>
      </c>
      <c r="J1227" s="94"/>
      <c r="K1227" s="94"/>
      <c r="L1227" s="94"/>
      <c r="M1227" s="94"/>
      <c r="N1227" s="94"/>
      <c r="O1227" s="594"/>
    </row>
    <row r="1228" spans="1:15" x14ac:dyDescent="0.25">
      <c r="A1228" s="1106"/>
      <c r="B1228" s="95"/>
      <c r="C1228" s="95"/>
      <c r="D1228" s="95"/>
      <c r="E1228" s="95"/>
      <c r="F1228" s="95"/>
      <c r="G1228" s="95"/>
      <c r="H1228" s="1448" t="s">
        <v>58</v>
      </c>
      <c r="I1228" s="1447">
        <f>SUM(I1226:I1227)</f>
        <v>1.9000000000000001</v>
      </c>
      <c r="J1228" s="95"/>
      <c r="K1228" s="95"/>
      <c r="L1228" s="95"/>
      <c r="M1228" s="95"/>
      <c r="N1228" s="95"/>
      <c r="O1228" s="594"/>
    </row>
    <row r="1229" spans="1:15" ht="15.75" thickBot="1" x14ac:dyDescent="0.3">
      <c r="A1229" s="1103"/>
      <c r="B1229" s="304"/>
      <c r="C1229" s="304"/>
      <c r="D1229" s="304"/>
      <c r="E1229" s="304"/>
      <c r="F1229" s="304"/>
      <c r="G1229" s="304"/>
      <c r="H1229" s="304"/>
      <c r="I1229" s="304"/>
      <c r="J1229" s="304"/>
      <c r="K1229" s="304"/>
      <c r="L1229" s="304"/>
      <c r="M1229" s="304"/>
      <c r="N1229" s="304"/>
      <c r="O1229" s="588"/>
    </row>
    <row r="1230" spans="1:15" ht="15.75" thickBot="1" x14ac:dyDescent="0.3">
      <c r="A1230" s="94"/>
      <c r="B1230" s="94"/>
      <c r="C1230" s="94"/>
      <c r="D1230" s="94"/>
      <c r="E1230" s="94"/>
      <c r="F1230" s="94"/>
      <c r="G1230" s="94"/>
      <c r="H1230" s="94"/>
      <c r="I1230" s="94"/>
      <c r="J1230" s="94"/>
      <c r="K1230" s="94"/>
      <c r="L1230" s="94"/>
      <c r="M1230" s="94"/>
      <c r="N1230" s="94"/>
      <c r="O1230" s="94"/>
    </row>
    <row r="1231" spans="1:15" x14ac:dyDescent="0.25">
      <c r="A1231" s="600"/>
      <c r="B1231" s="599"/>
      <c r="C1231" s="599"/>
      <c r="D1231" s="599"/>
      <c r="E1231" s="599"/>
      <c r="F1231" s="599"/>
      <c r="G1231" s="599"/>
      <c r="H1231" s="599"/>
      <c r="I1231" s="599"/>
      <c r="J1231" s="599"/>
      <c r="K1231" s="599"/>
      <c r="L1231" s="599"/>
      <c r="M1231" s="599"/>
      <c r="N1231" s="599"/>
      <c r="O1231" s="598"/>
    </row>
    <row r="1232" spans="1:15" x14ac:dyDescent="0.25">
      <c r="A1232" s="1510" t="s">
        <v>57</v>
      </c>
      <c r="B1232" s="133" t="s">
        <v>523</v>
      </c>
      <c r="C1232" s="94"/>
      <c r="D1232" s="94"/>
      <c r="E1232" s="94"/>
      <c r="F1232" s="94"/>
      <c r="G1232" s="94"/>
      <c r="H1232" s="94"/>
      <c r="I1232" s="94"/>
      <c r="J1232" s="1456" t="s">
        <v>51</v>
      </c>
      <c r="K1232" s="138">
        <v>81</v>
      </c>
      <c r="L1232" s="94"/>
      <c r="M1232" s="1454" t="s">
        <v>113</v>
      </c>
      <c r="N1232" s="100">
        <f>SU_10003_m+SU_10003_p</f>
        <v>1.8931695999999998</v>
      </c>
      <c r="O1232" s="594"/>
    </row>
    <row r="1233" spans="1:15" x14ac:dyDescent="0.25">
      <c r="A1233" s="1510" t="s">
        <v>125</v>
      </c>
      <c r="B1233" s="133" t="s">
        <v>5</v>
      </c>
      <c r="C1233" s="94"/>
      <c r="D1233" s="1454" t="s">
        <v>122</v>
      </c>
      <c r="E1233" s="270"/>
      <c r="F1233" s="94"/>
      <c r="G1233" s="94"/>
      <c r="H1233" s="94"/>
      <c r="I1233" s="94"/>
      <c r="J1233" s="94"/>
      <c r="K1233" s="94"/>
      <c r="L1233" s="94"/>
      <c r="M1233" s="1454" t="s">
        <v>124</v>
      </c>
      <c r="N1233" s="136">
        <v>2</v>
      </c>
      <c r="O1233" s="594"/>
    </row>
    <row r="1234" spans="1:15" x14ac:dyDescent="0.25">
      <c r="A1234" s="1510" t="s">
        <v>123</v>
      </c>
      <c r="B1234" s="270" t="str">
        <f>'SU Assemblies'!B485</f>
        <v>Front Anti Roll System</v>
      </c>
      <c r="C1234" s="94"/>
      <c r="D1234" s="1454" t="s">
        <v>119</v>
      </c>
      <c r="E1234" s="94"/>
      <c r="F1234" s="94"/>
      <c r="G1234" s="94"/>
      <c r="H1234" s="94"/>
      <c r="I1234" s="94"/>
      <c r="J1234" s="1455" t="s">
        <v>122</v>
      </c>
      <c r="K1234" s="94"/>
      <c r="L1234" s="94"/>
      <c r="M1234" s="94"/>
      <c r="N1234" s="94"/>
      <c r="O1234" s="594"/>
    </row>
    <row r="1235" spans="1:15" x14ac:dyDescent="0.25">
      <c r="A1235" s="1510" t="s">
        <v>114</v>
      </c>
      <c r="B1235" s="133" t="s">
        <v>2702</v>
      </c>
      <c r="C1235" s="94"/>
      <c r="D1235" s="1454" t="s">
        <v>116</v>
      </c>
      <c r="E1235" s="94"/>
      <c r="F1235" s="94"/>
      <c r="G1235" s="94"/>
      <c r="H1235" s="94"/>
      <c r="I1235" s="94"/>
      <c r="J1235" s="1455" t="s">
        <v>119</v>
      </c>
      <c r="K1235" s="94"/>
      <c r="L1235" s="94"/>
      <c r="M1235" s="1454" t="s">
        <v>118</v>
      </c>
      <c r="N1235" s="100">
        <f>N1233*N1232</f>
        <v>3.7863391999999996</v>
      </c>
      <c r="O1235" s="594"/>
    </row>
    <row r="1236" spans="1:15" x14ac:dyDescent="0.25">
      <c r="A1236" s="1510" t="s">
        <v>121</v>
      </c>
      <c r="B1236" s="269" t="s">
        <v>2549</v>
      </c>
      <c r="C1236" s="94"/>
      <c r="D1236" s="94"/>
      <c r="E1236" s="94"/>
      <c r="F1236" s="94"/>
      <c r="G1236" s="94"/>
      <c r="H1236" s="94"/>
      <c r="I1236" s="94"/>
      <c r="J1236" s="1455" t="s">
        <v>116</v>
      </c>
      <c r="K1236" s="94"/>
      <c r="L1236" s="94"/>
      <c r="M1236" s="94"/>
      <c r="N1236" s="94"/>
      <c r="O1236" s="594"/>
    </row>
    <row r="1237" spans="1:15" x14ac:dyDescent="0.25">
      <c r="A1237" s="1510" t="s">
        <v>117</v>
      </c>
      <c r="B1237" s="133" t="s">
        <v>23</v>
      </c>
      <c r="C1237" s="94"/>
      <c r="D1237" s="94"/>
      <c r="E1237" s="94"/>
      <c r="F1237" s="94"/>
      <c r="G1237" s="94"/>
      <c r="H1237" s="94"/>
      <c r="I1237" s="94"/>
      <c r="J1237" s="94"/>
      <c r="K1237" s="94"/>
      <c r="L1237" s="94"/>
      <c r="M1237" s="94"/>
      <c r="N1237" s="94"/>
      <c r="O1237" s="594"/>
    </row>
    <row r="1238" spans="1:15" x14ac:dyDescent="0.25">
      <c r="A1238" s="1510" t="s">
        <v>115</v>
      </c>
      <c r="B1238" s="133" t="s">
        <v>2702</v>
      </c>
      <c r="C1238" s="94"/>
      <c r="D1238" s="94"/>
      <c r="E1238" s="94"/>
      <c r="F1238" s="94"/>
      <c r="G1238" s="94"/>
      <c r="H1238" s="94"/>
      <c r="I1238" s="94"/>
      <c r="J1238" s="94"/>
      <c r="K1238" s="94"/>
      <c r="L1238" s="94"/>
      <c r="M1238" s="94"/>
      <c r="N1238" s="94"/>
      <c r="O1238" s="594"/>
    </row>
    <row r="1239" spans="1:15" x14ac:dyDescent="0.25">
      <c r="A1239" s="596"/>
      <c r="B1239" s="265"/>
      <c r="C1239" s="265"/>
      <c r="D1239" s="265"/>
      <c r="E1239" s="265"/>
      <c r="F1239" s="94"/>
      <c r="G1239" s="94"/>
      <c r="H1239" s="94"/>
      <c r="I1239" s="94"/>
      <c r="J1239" s="94"/>
      <c r="K1239" s="94"/>
      <c r="L1239" s="94"/>
      <c r="M1239" s="94"/>
      <c r="N1239" s="94"/>
      <c r="O1239" s="594"/>
    </row>
    <row r="1240" spans="1:15" x14ac:dyDescent="0.25">
      <c r="A1240" s="1509" t="s">
        <v>67</v>
      </c>
      <c r="B1240" s="1452" t="s">
        <v>112</v>
      </c>
      <c r="C1240" s="1452" t="s">
        <v>66</v>
      </c>
      <c r="D1240" s="1452" t="s">
        <v>65</v>
      </c>
      <c r="E1240" s="1452" t="s">
        <v>81</v>
      </c>
      <c r="F1240" s="1465" t="s">
        <v>80</v>
      </c>
      <c r="G1240" s="1465" t="s">
        <v>79</v>
      </c>
      <c r="H1240" s="1465" t="s">
        <v>78</v>
      </c>
      <c r="I1240" s="1465" t="s">
        <v>111</v>
      </c>
      <c r="J1240" s="1465" t="s">
        <v>110</v>
      </c>
      <c r="K1240" s="1465" t="s">
        <v>109</v>
      </c>
      <c r="L1240" s="1465" t="s">
        <v>108</v>
      </c>
      <c r="M1240" s="1465" t="s">
        <v>40</v>
      </c>
      <c r="N1240" s="1465" t="s">
        <v>58</v>
      </c>
      <c r="O1240" s="594"/>
    </row>
    <row r="1241" spans="1:15" ht="30" x14ac:dyDescent="0.25">
      <c r="A1241" s="1532">
        <v>10</v>
      </c>
      <c r="B1241" s="1520" t="s">
        <v>729</v>
      </c>
      <c r="C1241" s="1534" t="s">
        <v>841</v>
      </c>
      <c r="D1241" s="1533">
        <v>2.25</v>
      </c>
      <c r="E1241" s="1532">
        <v>32</v>
      </c>
      <c r="F1241" s="1532" t="s">
        <v>68</v>
      </c>
      <c r="G1241" s="1532">
        <v>2</v>
      </c>
      <c r="H1241" s="1531"/>
      <c r="I1241" s="1517" t="s">
        <v>2548</v>
      </c>
      <c r="J1241" s="1539">
        <f>E1241*G1241/10^6</f>
        <v>6.3999999999999997E-5</v>
      </c>
      <c r="K1241" s="1528">
        <v>6.5000000000000002E-2</v>
      </c>
      <c r="L1241" s="1538">
        <v>7860</v>
      </c>
      <c r="M1241" s="1512">
        <v>1</v>
      </c>
      <c r="N1241" s="1505">
        <f>IF(J1241="",D1241*M250,D1241*J1241*K1241*L1241*M1241)</f>
        <v>7.3569599999999999E-2</v>
      </c>
      <c r="O1241" s="592"/>
    </row>
    <row r="1242" spans="1:15" x14ac:dyDescent="0.25">
      <c r="A1242" s="1106"/>
      <c r="B1242" s="95"/>
      <c r="C1242" s="95"/>
      <c r="D1242" s="95"/>
      <c r="E1242" s="95"/>
      <c r="F1242" s="95"/>
      <c r="G1242" s="95"/>
      <c r="H1242" s="95"/>
      <c r="I1242" s="95"/>
      <c r="J1242" s="95"/>
      <c r="K1242" s="95"/>
      <c r="L1242" s="95"/>
      <c r="M1242" s="1467" t="s">
        <v>58</v>
      </c>
      <c r="N1242" s="1447">
        <f>SUM(N1241:N1241)</f>
        <v>7.3569599999999999E-2</v>
      </c>
      <c r="O1242" s="594"/>
    </row>
    <row r="1243" spans="1:15" x14ac:dyDescent="0.25">
      <c r="A1243" s="1111"/>
      <c r="B1243" s="94"/>
      <c r="C1243" s="94"/>
      <c r="D1243" s="94"/>
      <c r="E1243" s="94"/>
      <c r="F1243" s="94"/>
      <c r="G1243" s="94"/>
      <c r="H1243" s="94"/>
      <c r="I1243" s="94"/>
      <c r="J1243" s="94"/>
      <c r="K1243" s="94"/>
      <c r="L1243" s="94"/>
      <c r="M1243" s="94"/>
      <c r="N1243" s="94"/>
      <c r="O1243" s="594"/>
    </row>
    <row r="1244" spans="1:15" x14ac:dyDescent="0.25">
      <c r="A1244" s="1504" t="s">
        <v>67</v>
      </c>
      <c r="B1244" s="1465" t="s">
        <v>106</v>
      </c>
      <c r="C1244" s="1465" t="s">
        <v>66</v>
      </c>
      <c r="D1244" s="1465" t="s">
        <v>65</v>
      </c>
      <c r="E1244" s="1465" t="s">
        <v>64</v>
      </c>
      <c r="F1244" s="1465" t="s">
        <v>40</v>
      </c>
      <c r="G1244" s="1465" t="s">
        <v>105</v>
      </c>
      <c r="H1244" s="1465" t="s">
        <v>104</v>
      </c>
      <c r="I1244" s="1465" t="s">
        <v>58</v>
      </c>
      <c r="J1244" s="95"/>
      <c r="K1244" s="95"/>
      <c r="L1244" s="95"/>
      <c r="M1244" s="95"/>
      <c r="N1244" s="95"/>
      <c r="O1244" s="594"/>
    </row>
    <row r="1245" spans="1:15" ht="30" x14ac:dyDescent="0.25">
      <c r="A1245" s="1536">
        <v>10</v>
      </c>
      <c r="B1245" s="1537" t="s">
        <v>516</v>
      </c>
      <c r="C1245" s="1536" t="s">
        <v>802</v>
      </c>
      <c r="D1245" s="785">
        <v>1.3</v>
      </c>
      <c r="E1245" s="1537" t="s">
        <v>64</v>
      </c>
      <c r="F1245" s="1536">
        <v>1</v>
      </c>
      <c r="G1245" s="1536"/>
      <c r="H1245" s="1536"/>
      <c r="I1245" s="1535">
        <f>IF(H1245="",D1245*F1245,D1245*F1245*H1245)</f>
        <v>1.3</v>
      </c>
      <c r="J1245" s="142"/>
      <c r="K1245" s="142"/>
      <c r="L1245" s="142"/>
      <c r="M1245" s="142"/>
      <c r="N1245" s="142"/>
      <c r="O1245" s="734"/>
    </row>
    <row r="1246" spans="1:15" x14ac:dyDescent="0.25">
      <c r="A1246" s="1518">
        <v>20</v>
      </c>
      <c r="B1246" s="1461" t="s">
        <v>541</v>
      </c>
      <c r="C1246" s="1518"/>
      <c r="D1246" s="1507">
        <v>0.01</v>
      </c>
      <c r="E1246" s="1518" t="s">
        <v>101</v>
      </c>
      <c r="F1246" s="1518">
        <v>17.32</v>
      </c>
      <c r="G1246" s="1461" t="s">
        <v>724</v>
      </c>
      <c r="H1246" s="1515">
        <v>3</v>
      </c>
      <c r="I1246" s="1511">
        <f>IF(H1246="",D1246*F1246,D1246*F1246*H1246)</f>
        <v>0.51959999999999995</v>
      </c>
      <c r="J1246" s="94"/>
      <c r="K1246" s="94"/>
      <c r="L1246" s="94"/>
      <c r="M1246" s="94"/>
      <c r="N1246" s="94"/>
      <c r="O1246" s="594"/>
    </row>
    <row r="1247" spans="1:15" x14ac:dyDescent="0.25">
      <c r="A1247" s="1106"/>
      <c r="B1247" s="95"/>
      <c r="C1247" s="95"/>
      <c r="D1247" s="95"/>
      <c r="E1247" s="95"/>
      <c r="F1247" s="95"/>
      <c r="G1247" s="95"/>
      <c r="H1247" s="1448" t="s">
        <v>58</v>
      </c>
      <c r="I1247" s="1447">
        <f>SUM(I1245:I1246)</f>
        <v>1.8195999999999999</v>
      </c>
      <c r="J1247" s="95"/>
      <c r="K1247" s="95"/>
      <c r="L1247" s="95"/>
      <c r="M1247" s="95"/>
      <c r="N1247" s="95"/>
      <c r="O1247" s="594"/>
    </row>
    <row r="1248" spans="1:15" ht="15.75" thickBot="1" x14ac:dyDescent="0.3">
      <c r="A1248" s="1103"/>
      <c r="B1248" s="304"/>
      <c r="C1248" s="304"/>
      <c r="D1248" s="304"/>
      <c r="E1248" s="304"/>
      <c r="F1248" s="304"/>
      <c r="G1248" s="304"/>
      <c r="H1248" s="304"/>
      <c r="I1248" s="304"/>
      <c r="J1248" s="304"/>
      <c r="K1248" s="304"/>
      <c r="L1248" s="304"/>
      <c r="M1248" s="304"/>
      <c r="N1248" s="304"/>
      <c r="O1248" s="588"/>
    </row>
    <row r="1249" spans="1:15" ht="15.75" thickBot="1" x14ac:dyDescent="0.3">
      <c r="A1249" s="94"/>
      <c r="B1249" s="94"/>
      <c r="C1249" s="94"/>
      <c r="D1249" s="94"/>
      <c r="E1249" s="94"/>
      <c r="F1249" s="94"/>
      <c r="G1249" s="94"/>
      <c r="H1249" s="94"/>
      <c r="I1249" s="94"/>
      <c r="J1249" s="94"/>
      <c r="K1249" s="94"/>
      <c r="L1249" s="94"/>
      <c r="M1249" s="94"/>
      <c r="N1249" s="94"/>
      <c r="O1249" s="94"/>
    </row>
    <row r="1250" spans="1:15" x14ac:dyDescent="0.25">
      <c r="A1250" s="600"/>
      <c r="B1250" s="599"/>
      <c r="C1250" s="599"/>
      <c r="D1250" s="599"/>
      <c r="E1250" s="599"/>
      <c r="F1250" s="599"/>
      <c r="G1250" s="599"/>
      <c r="H1250" s="599"/>
      <c r="I1250" s="599"/>
      <c r="J1250" s="599"/>
      <c r="K1250" s="599"/>
      <c r="L1250" s="599"/>
      <c r="M1250" s="599"/>
      <c r="N1250" s="599"/>
      <c r="O1250" s="598"/>
    </row>
    <row r="1251" spans="1:15" x14ac:dyDescent="0.25">
      <c r="A1251" s="1510" t="s">
        <v>57</v>
      </c>
      <c r="B1251" s="133" t="s">
        <v>523</v>
      </c>
      <c r="C1251" s="94"/>
      <c r="D1251" s="94"/>
      <c r="E1251" s="94"/>
      <c r="F1251" s="94"/>
      <c r="G1251" s="94"/>
      <c r="H1251" s="94"/>
      <c r="I1251" s="94"/>
      <c r="J1251" s="1456" t="s">
        <v>51</v>
      </c>
      <c r="K1251" s="138">
        <v>81</v>
      </c>
      <c r="L1251" s="94"/>
      <c r="M1251" s="1454" t="s">
        <v>113</v>
      </c>
      <c r="N1251" s="100">
        <f>SU_10004_m+SU_10004_p</f>
        <v>1.3288451250000002</v>
      </c>
      <c r="O1251" s="594"/>
    </row>
    <row r="1252" spans="1:15" x14ac:dyDescent="0.25">
      <c r="A1252" s="1510" t="s">
        <v>125</v>
      </c>
      <c r="B1252" s="133" t="s">
        <v>5</v>
      </c>
      <c r="C1252" s="94"/>
      <c r="D1252" s="1454" t="s">
        <v>122</v>
      </c>
      <c r="E1252" s="270"/>
      <c r="F1252" s="94"/>
      <c r="G1252" s="94"/>
      <c r="H1252" s="94"/>
      <c r="I1252" s="94"/>
      <c r="J1252" s="94"/>
      <c r="K1252" s="94"/>
      <c r="L1252" s="94"/>
      <c r="M1252" s="1454" t="s">
        <v>124</v>
      </c>
      <c r="N1252" s="136">
        <v>4</v>
      </c>
      <c r="O1252" s="594"/>
    </row>
    <row r="1253" spans="1:15" x14ac:dyDescent="0.25">
      <c r="A1253" s="1510" t="s">
        <v>123</v>
      </c>
      <c r="B1253" s="270" t="str">
        <f>'SU Assemblies'!B485</f>
        <v>Front Anti Roll System</v>
      </c>
      <c r="C1253" s="94"/>
      <c r="D1253" s="1454" t="s">
        <v>119</v>
      </c>
      <c r="E1253" s="94"/>
      <c r="F1253" s="94"/>
      <c r="G1253" s="94"/>
      <c r="H1253" s="94"/>
      <c r="I1253" s="94"/>
      <c r="J1253" s="1455" t="s">
        <v>122</v>
      </c>
      <c r="K1253" s="94"/>
      <c r="L1253" s="94"/>
      <c r="M1253" s="94"/>
      <c r="N1253" s="94"/>
      <c r="O1253" s="594"/>
    </row>
    <row r="1254" spans="1:15" x14ac:dyDescent="0.25">
      <c r="A1254" s="1510" t="s">
        <v>114</v>
      </c>
      <c r="B1254" s="133" t="s">
        <v>2546</v>
      </c>
      <c r="C1254" s="94"/>
      <c r="D1254" s="1454" t="s">
        <v>116</v>
      </c>
      <c r="E1254" s="94"/>
      <c r="F1254" s="94"/>
      <c r="G1254" s="94"/>
      <c r="H1254" s="94"/>
      <c r="I1254" s="94"/>
      <c r="J1254" s="1455" t="s">
        <v>119</v>
      </c>
      <c r="K1254" s="94"/>
      <c r="L1254" s="94"/>
      <c r="M1254" s="1454" t="s">
        <v>118</v>
      </c>
      <c r="N1254" s="100">
        <f>N1252*N1251</f>
        <v>5.3153805000000007</v>
      </c>
      <c r="O1254" s="594"/>
    </row>
    <row r="1255" spans="1:15" x14ac:dyDescent="0.25">
      <c r="A1255" s="1510" t="s">
        <v>121</v>
      </c>
      <c r="B1255" s="269" t="s">
        <v>2547</v>
      </c>
      <c r="C1255" s="94"/>
      <c r="D1255" s="94"/>
      <c r="E1255" s="94"/>
      <c r="F1255" s="94"/>
      <c r="G1255" s="94"/>
      <c r="H1255" s="94"/>
      <c r="I1255" s="94"/>
      <c r="J1255" s="1455" t="s">
        <v>116</v>
      </c>
      <c r="K1255" s="94"/>
      <c r="L1255" s="94"/>
      <c r="M1255" s="94"/>
      <c r="N1255" s="94"/>
      <c r="O1255" s="594"/>
    </row>
    <row r="1256" spans="1:15" x14ac:dyDescent="0.25">
      <c r="A1256" s="1510" t="s">
        <v>117</v>
      </c>
      <c r="B1256" s="133" t="s">
        <v>23</v>
      </c>
      <c r="C1256" s="94"/>
      <c r="D1256" s="94"/>
      <c r="E1256" s="94"/>
      <c r="F1256" s="94"/>
      <c r="G1256" s="94"/>
      <c r="H1256" s="94"/>
      <c r="I1256" s="94"/>
      <c r="J1256" s="94"/>
      <c r="K1256" s="94"/>
      <c r="L1256" s="94"/>
      <c r="M1256" s="94"/>
      <c r="N1256" s="94"/>
      <c r="O1256" s="594"/>
    </row>
    <row r="1257" spans="1:15" x14ac:dyDescent="0.25">
      <c r="A1257" s="1510" t="s">
        <v>115</v>
      </c>
      <c r="B1257" s="133" t="s">
        <v>2546</v>
      </c>
      <c r="C1257" s="94"/>
      <c r="D1257" s="94"/>
      <c r="E1257" s="94"/>
      <c r="F1257" s="94"/>
      <c r="G1257" s="94"/>
      <c r="H1257" s="94"/>
      <c r="I1257" s="94"/>
      <c r="J1257" s="94"/>
      <c r="K1257" s="94"/>
      <c r="L1257" s="94"/>
      <c r="M1257" s="94"/>
      <c r="N1257" s="94"/>
      <c r="O1257" s="594"/>
    </row>
    <row r="1258" spans="1:15" x14ac:dyDescent="0.25">
      <c r="A1258" s="596"/>
      <c r="B1258" s="265"/>
      <c r="C1258" s="265"/>
      <c r="D1258" s="265"/>
      <c r="E1258" s="265"/>
      <c r="F1258" s="94"/>
      <c r="G1258" s="94"/>
      <c r="H1258" s="94"/>
      <c r="I1258" s="94"/>
      <c r="J1258" s="94"/>
      <c r="K1258" s="94"/>
      <c r="L1258" s="94"/>
      <c r="M1258" s="94"/>
      <c r="N1258" s="94"/>
      <c r="O1258" s="594"/>
    </row>
    <row r="1259" spans="1:15" x14ac:dyDescent="0.25">
      <c r="A1259" s="1509" t="s">
        <v>67</v>
      </c>
      <c r="B1259" s="1452" t="s">
        <v>112</v>
      </c>
      <c r="C1259" s="1452" t="s">
        <v>66</v>
      </c>
      <c r="D1259" s="1452" t="s">
        <v>65</v>
      </c>
      <c r="E1259" s="1452" t="s">
        <v>81</v>
      </c>
      <c r="F1259" s="1465" t="s">
        <v>80</v>
      </c>
      <c r="G1259" s="1465" t="s">
        <v>79</v>
      </c>
      <c r="H1259" s="1465" t="s">
        <v>78</v>
      </c>
      <c r="I1259" s="1465" t="s">
        <v>111</v>
      </c>
      <c r="J1259" s="1465" t="s">
        <v>110</v>
      </c>
      <c r="K1259" s="1465" t="s">
        <v>109</v>
      </c>
      <c r="L1259" s="1465" t="s">
        <v>108</v>
      </c>
      <c r="M1259" s="1465" t="s">
        <v>40</v>
      </c>
      <c r="N1259" s="1465" t="s">
        <v>58</v>
      </c>
      <c r="O1259" s="594"/>
    </row>
    <row r="1260" spans="1:15" ht="30" x14ac:dyDescent="0.25">
      <c r="A1260" s="1532">
        <v>10</v>
      </c>
      <c r="B1260" s="1520" t="s">
        <v>2545</v>
      </c>
      <c r="C1260" s="1534" t="s">
        <v>2544</v>
      </c>
      <c r="D1260" s="1533">
        <v>2.25</v>
      </c>
      <c r="E1260" s="1532">
        <v>10</v>
      </c>
      <c r="F1260" s="1532" t="s">
        <v>68</v>
      </c>
      <c r="G1260" s="1532"/>
      <c r="H1260" s="1531"/>
      <c r="I1260" s="1530" t="s">
        <v>2543</v>
      </c>
      <c r="J1260" s="1529">
        <f>0.005^2*3.14</f>
        <v>7.8500000000000011E-5</v>
      </c>
      <c r="K1260" s="1528">
        <v>0.01</v>
      </c>
      <c r="L1260" s="1527">
        <v>8500</v>
      </c>
      <c r="M1260" s="1512">
        <v>1</v>
      </c>
      <c r="N1260" s="1505">
        <f>IF(J1260="",D1260*M270,D1260*J1260*K1260*L1260*M1260)</f>
        <v>1.5013125000000002E-2</v>
      </c>
      <c r="O1260" s="592"/>
    </row>
    <row r="1261" spans="1:15" x14ac:dyDescent="0.25">
      <c r="A1261" s="1106"/>
      <c r="B1261" s="95"/>
      <c r="C1261" s="95"/>
      <c r="D1261" s="95"/>
      <c r="E1261" s="95"/>
      <c r="F1261" s="95"/>
      <c r="G1261" s="95"/>
      <c r="H1261" s="95"/>
      <c r="I1261" s="95"/>
      <c r="J1261" s="95"/>
      <c r="K1261" s="95"/>
      <c r="L1261" s="95"/>
      <c r="M1261" s="1467" t="s">
        <v>58</v>
      </c>
      <c r="N1261" s="1447">
        <f>SUM(N1260:N1260)</f>
        <v>1.5013125000000002E-2</v>
      </c>
      <c r="O1261" s="594"/>
    </row>
    <row r="1262" spans="1:15" x14ac:dyDescent="0.25">
      <c r="A1262" s="1111"/>
      <c r="B1262" s="94"/>
      <c r="C1262" s="94"/>
      <c r="D1262" s="94"/>
      <c r="E1262" s="94"/>
      <c r="F1262" s="94"/>
      <c r="G1262" s="94"/>
      <c r="H1262" s="94"/>
      <c r="I1262" s="94"/>
      <c r="J1262" s="94"/>
      <c r="K1262" s="94"/>
      <c r="L1262" s="94"/>
      <c r="M1262" s="94"/>
      <c r="N1262" s="94"/>
      <c r="O1262" s="594"/>
    </row>
    <row r="1263" spans="1:15" x14ac:dyDescent="0.25">
      <c r="A1263" s="1504" t="s">
        <v>67</v>
      </c>
      <c r="B1263" s="1465" t="s">
        <v>106</v>
      </c>
      <c r="C1263" s="1465" t="s">
        <v>66</v>
      </c>
      <c r="D1263" s="1465" t="s">
        <v>65</v>
      </c>
      <c r="E1263" s="1465" t="s">
        <v>64</v>
      </c>
      <c r="F1263" s="1465" t="s">
        <v>40</v>
      </c>
      <c r="G1263" s="1465" t="s">
        <v>105</v>
      </c>
      <c r="H1263" s="1465" t="s">
        <v>104</v>
      </c>
      <c r="I1263" s="1465" t="s">
        <v>58</v>
      </c>
      <c r="J1263" s="95"/>
      <c r="K1263" s="95"/>
      <c r="L1263" s="95"/>
      <c r="M1263" s="95"/>
      <c r="N1263" s="95"/>
      <c r="O1263" s="594"/>
    </row>
    <row r="1264" spans="1:15" ht="30" x14ac:dyDescent="0.25">
      <c r="A1264" s="1515">
        <v>10</v>
      </c>
      <c r="B1264" s="1461" t="s">
        <v>516</v>
      </c>
      <c r="C1264" s="1515" t="s">
        <v>2542</v>
      </c>
      <c r="D1264" s="1507">
        <v>1.3</v>
      </c>
      <c r="E1264" s="1461" t="s">
        <v>64</v>
      </c>
      <c r="F1264" s="1515">
        <v>1</v>
      </c>
      <c r="G1264" s="1515"/>
      <c r="H1264" s="1512"/>
      <c r="I1264" s="1511">
        <f>IF(H1264="",D1264*F1264,D1264*F1264*H1264)</f>
        <v>1.3</v>
      </c>
      <c r="J1264" s="142"/>
      <c r="K1264" s="142"/>
      <c r="L1264" s="142"/>
      <c r="M1264" s="142"/>
      <c r="N1264" s="142"/>
      <c r="O1264" s="734"/>
    </row>
    <row r="1265" spans="1:15" ht="30" x14ac:dyDescent="0.25">
      <c r="A1265" s="1518">
        <v>20</v>
      </c>
      <c r="B1265" s="1518" t="s">
        <v>514</v>
      </c>
      <c r="C1265" s="1518" t="s">
        <v>1586</v>
      </c>
      <c r="D1265" s="1507">
        <v>0.04</v>
      </c>
      <c r="E1265" s="1518" t="s">
        <v>512</v>
      </c>
      <c r="F1265" s="1526">
        <v>0.26</v>
      </c>
      <c r="G1265" s="1461" t="s">
        <v>2541</v>
      </c>
      <c r="H1265" s="1512">
        <v>1.33</v>
      </c>
      <c r="I1265" s="1511">
        <f>IF(H1265="",D1265*F1265,D1265*F1265*H1265)</f>
        <v>1.3832000000000002E-2</v>
      </c>
      <c r="J1265" s="94"/>
      <c r="K1265" s="94"/>
      <c r="L1265" s="94"/>
      <c r="M1265" s="94"/>
      <c r="N1265" s="94"/>
      <c r="O1265" s="594"/>
    </row>
    <row r="1266" spans="1:15" x14ac:dyDescent="0.25">
      <c r="A1266" s="1106"/>
      <c r="B1266" s="95"/>
      <c r="C1266" s="95"/>
      <c r="D1266" s="95"/>
      <c r="E1266" s="95"/>
      <c r="F1266" s="95"/>
      <c r="G1266" s="95"/>
      <c r="H1266" s="1448" t="s">
        <v>58</v>
      </c>
      <c r="I1266" s="1447">
        <f>SUM(I1264:I1265)</f>
        <v>1.3138320000000001</v>
      </c>
      <c r="J1266" s="95"/>
      <c r="K1266" s="95"/>
      <c r="L1266" s="95"/>
      <c r="M1266" s="95"/>
      <c r="N1266" s="95"/>
      <c r="O1266" s="594"/>
    </row>
    <row r="1267" spans="1:15" ht="15.75" thickBot="1" x14ac:dyDescent="0.3">
      <c r="A1267" s="1103"/>
      <c r="B1267" s="304"/>
      <c r="C1267" s="304"/>
      <c r="D1267" s="304"/>
      <c r="E1267" s="304"/>
      <c r="F1267" s="304"/>
      <c r="G1267" s="304"/>
      <c r="H1267" s="304"/>
      <c r="I1267" s="304"/>
      <c r="J1267" s="304"/>
      <c r="K1267" s="304"/>
      <c r="L1267" s="304"/>
      <c r="M1267" s="304"/>
      <c r="N1267" s="304"/>
      <c r="O1267" s="588"/>
    </row>
    <row r="1268" spans="1:15" ht="15.75" thickBot="1" x14ac:dyDescent="0.3">
      <c r="A1268" s="94"/>
      <c r="B1268" s="94"/>
      <c r="C1268" s="94"/>
      <c r="D1268" s="94"/>
      <c r="E1268" s="94"/>
      <c r="F1268" s="94"/>
      <c r="G1268" s="94"/>
      <c r="H1268" s="94"/>
      <c r="I1268" s="94"/>
      <c r="J1268" s="94"/>
      <c r="K1268" s="94"/>
      <c r="L1268" s="94"/>
      <c r="M1268" s="94"/>
      <c r="N1268" s="94"/>
      <c r="O1268" s="94"/>
    </row>
    <row r="1269" spans="1:15" x14ac:dyDescent="0.25">
      <c r="A1269" s="600"/>
      <c r="B1269" s="599"/>
      <c r="C1269" s="599"/>
      <c r="D1269" s="599"/>
      <c r="E1269" s="599"/>
      <c r="F1269" s="599"/>
      <c r="G1269" s="599"/>
      <c r="H1269" s="599"/>
      <c r="I1269" s="599"/>
      <c r="J1269" s="599"/>
      <c r="K1269" s="599"/>
      <c r="L1269" s="599"/>
      <c r="M1269" s="599"/>
      <c r="N1269" s="599"/>
      <c r="O1269" s="598"/>
    </row>
    <row r="1270" spans="1:15" x14ac:dyDescent="0.25">
      <c r="A1270" s="1510" t="s">
        <v>57</v>
      </c>
      <c r="B1270" s="133" t="s">
        <v>523</v>
      </c>
      <c r="C1270" s="94"/>
      <c r="D1270" s="94"/>
      <c r="E1270" s="94"/>
      <c r="F1270" s="94"/>
      <c r="G1270" s="94"/>
      <c r="H1270" s="94"/>
      <c r="I1270" s="94"/>
      <c r="J1270" s="1456" t="s">
        <v>51</v>
      </c>
      <c r="K1270" s="138">
        <v>81</v>
      </c>
      <c r="L1270" s="94"/>
      <c r="M1270" s="1454" t="s">
        <v>113</v>
      </c>
      <c r="N1270" s="100">
        <f>SU_10005_m+SU_10005_p</f>
        <v>4.5121900000000004</v>
      </c>
      <c r="O1270" s="594"/>
    </row>
    <row r="1271" spans="1:15" x14ac:dyDescent="0.25">
      <c r="A1271" s="1510" t="s">
        <v>125</v>
      </c>
      <c r="B1271" s="133" t="s">
        <v>5</v>
      </c>
      <c r="C1271" s="94"/>
      <c r="D1271" s="1454" t="s">
        <v>122</v>
      </c>
      <c r="E1271" s="270"/>
      <c r="F1271" s="94"/>
      <c r="G1271" s="94"/>
      <c r="H1271" s="94"/>
      <c r="I1271" s="94"/>
      <c r="J1271" s="94"/>
      <c r="K1271" s="94"/>
      <c r="L1271" s="94"/>
      <c r="M1271" s="1454" t="s">
        <v>124</v>
      </c>
      <c r="N1271" s="136">
        <v>2</v>
      </c>
      <c r="O1271" s="594"/>
    </row>
    <row r="1272" spans="1:15" x14ac:dyDescent="0.25">
      <c r="A1272" s="1510" t="s">
        <v>123</v>
      </c>
      <c r="B1272" s="270" t="str">
        <f>'SU Assemblies'!B485</f>
        <v>Front Anti Roll System</v>
      </c>
      <c r="C1272" s="94"/>
      <c r="D1272" s="1454" t="s">
        <v>119</v>
      </c>
      <c r="E1272" s="94"/>
      <c r="F1272" s="94"/>
      <c r="G1272" s="94"/>
      <c r="H1272" s="94"/>
      <c r="I1272" s="94"/>
      <c r="J1272" s="1455" t="s">
        <v>122</v>
      </c>
      <c r="K1272" s="94"/>
      <c r="L1272" s="94"/>
      <c r="M1272" s="94"/>
      <c r="N1272" s="94"/>
      <c r="O1272" s="594"/>
    </row>
    <row r="1273" spans="1:15" x14ac:dyDescent="0.25">
      <c r="A1273" s="1510" t="s">
        <v>114</v>
      </c>
      <c r="B1273" s="133" t="s">
        <v>2703</v>
      </c>
      <c r="C1273" s="94"/>
      <c r="D1273" s="1454" t="s">
        <v>116</v>
      </c>
      <c r="E1273" s="94"/>
      <c r="F1273" s="94"/>
      <c r="G1273" s="94"/>
      <c r="H1273" s="94"/>
      <c r="I1273" s="94"/>
      <c r="J1273" s="1455" t="s">
        <v>119</v>
      </c>
      <c r="K1273" s="94"/>
      <c r="L1273" s="94"/>
      <c r="M1273" s="1454" t="s">
        <v>118</v>
      </c>
      <c r="N1273" s="100">
        <f>N1271*N1270</f>
        <v>9.0243800000000007</v>
      </c>
      <c r="O1273" s="594"/>
    </row>
    <row r="1274" spans="1:15" x14ac:dyDescent="0.25">
      <c r="A1274" s="1510" t="s">
        <v>121</v>
      </c>
      <c r="B1274" s="269" t="s">
        <v>2540</v>
      </c>
      <c r="C1274" s="94"/>
      <c r="D1274" s="94"/>
      <c r="E1274" s="94"/>
      <c r="F1274" s="94"/>
      <c r="G1274" s="94"/>
      <c r="H1274" s="94"/>
      <c r="I1274" s="94"/>
      <c r="J1274" s="1455" t="s">
        <v>116</v>
      </c>
      <c r="K1274" s="94"/>
      <c r="L1274" s="94"/>
      <c r="M1274" s="94"/>
      <c r="N1274" s="94"/>
      <c r="O1274" s="594"/>
    </row>
    <row r="1275" spans="1:15" x14ac:dyDescent="0.25">
      <c r="A1275" s="1510" t="s">
        <v>117</v>
      </c>
      <c r="B1275" s="133" t="s">
        <v>23</v>
      </c>
      <c r="C1275" s="94"/>
      <c r="D1275" s="94"/>
      <c r="E1275" s="94"/>
      <c r="F1275" s="94"/>
      <c r="G1275" s="94"/>
      <c r="H1275" s="94"/>
      <c r="I1275" s="94"/>
      <c r="J1275" s="94"/>
      <c r="K1275" s="94"/>
      <c r="L1275" s="94"/>
      <c r="M1275" s="94"/>
      <c r="N1275" s="94"/>
      <c r="O1275" s="594"/>
    </row>
    <row r="1276" spans="1:15" x14ac:dyDescent="0.25">
      <c r="A1276" s="1510" t="s">
        <v>115</v>
      </c>
      <c r="B1276" s="133" t="s">
        <v>2703</v>
      </c>
      <c r="C1276" s="94"/>
      <c r="D1276" s="94"/>
      <c r="E1276" s="94"/>
      <c r="F1276" s="94"/>
      <c r="G1276" s="94"/>
      <c r="H1276" s="94"/>
      <c r="I1276" s="94"/>
      <c r="J1276" s="94"/>
      <c r="K1276" s="94"/>
      <c r="L1276" s="94"/>
      <c r="M1276" s="94"/>
      <c r="N1276" s="94"/>
      <c r="O1276" s="594"/>
    </row>
    <row r="1277" spans="1:15" x14ac:dyDescent="0.25">
      <c r="A1277" s="596"/>
      <c r="B1277" s="265"/>
      <c r="C1277" s="265"/>
      <c r="D1277" s="265"/>
      <c r="E1277" s="265"/>
      <c r="F1277" s="94"/>
      <c r="G1277" s="94"/>
      <c r="H1277" s="94"/>
      <c r="I1277" s="94"/>
      <c r="J1277" s="94"/>
      <c r="K1277" s="94"/>
      <c r="L1277" s="94"/>
      <c r="M1277" s="94"/>
      <c r="N1277" s="94"/>
      <c r="O1277" s="594"/>
    </row>
    <row r="1278" spans="1:15" x14ac:dyDescent="0.25">
      <c r="A1278" s="1509" t="s">
        <v>67</v>
      </c>
      <c r="B1278" s="1452" t="s">
        <v>112</v>
      </c>
      <c r="C1278" s="1452" t="s">
        <v>66</v>
      </c>
      <c r="D1278" s="1452" t="s">
        <v>65</v>
      </c>
      <c r="E1278" s="1452" t="s">
        <v>81</v>
      </c>
      <c r="F1278" s="1465" t="s">
        <v>80</v>
      </c>
      <c r="G1278" s="1465" t="s">
        <v>79</v>
      </c>
      <c r="H1278" s="1465" t="s">
        <v>78</v>
      </c>
      <c r="I1278" s="1465" t="s">
        <v>111</v>
      </c>
      <c r="J1278" s="1465" t="s">
        <v>110</v>
      </c>
      <c r="K1278" s="1465" t="s">
        <v>109</v>
      </c>
      <c r="L1278" s="1465" t="s">
        <v>108</v>
      </c>
      <c r="M1278" s="1465" t="s">
        <v>40</v>
      </c>
      <c r="N1278" s="1465" t="s">
        <v>58</v>
      </c>
      <c r="O1278" s="594"/>
    </row>
    <row r="1279" spans="1:15" ht="30" x14ac:dyDescent="0.25">
      <c r="A1279" s="1518">
        <v>10</v>
      </c>
      <c r="B1279" s="1518" t="s">
        <v>2539</v>
      </c>
      <c r="C1279" s="1518" t="s">
        <v>531</v>
      </c>
      <c r="D1279" s="1459">
        <v>4.2</v>
      </c>
      <c r="E1279" s="1518">
        <v>30</v>
      </c>
      <c r="F1279" s="1518" t="s">
        <v>68</v>
      </c>
      <c r="G1279" s="1518">
        <v>30</v>
      </c>
      <c r="H1279" s="1470" t="s">
        <v>68</v>
      </c>
      <c r="I1279" s="1517" t="s">
        <v>2538</v>
      </c>
      <c r="J1279" s="1525">
        <f>E1279*G1279/10^6</f>
        <v>8.9999999999999998E-4</v>
      </c>
      <c r="K1279" s="1471">
        <v>0.05</v>
      </c>
      <c r="L1279" s="1470">
        <v>2710</v>
      </c>
      <c r="M1279" s="1524">
        <v>1</v>
      </c>
      <c r="N1279" s="1505">
        <f>IF(J1279="",D1279*M289,D1279*J1279*K1279*L1279*M1279)</f>
        <v>0.51219000000000003</v>
      </c>
      <c r="O1279" s="592"/>
    </row>
    <row r="1280" spans="1:15" x14ac:dyDescent="0.25">
      <c r="A1280" s="1106"/>
      <c r="B1280" s="95"/>
      <c r="C1280" s="95"/>
      <c r="D1280" s="95"/>
      <c r="E1280" s="95"/>
      <c r="F1280" s="95"/>
      <c r="G1280" s="95"/>
      <c r="H1280" s="95"/>
      <c r="I1280" s="95"/>
      <c r="J1280" s="95"/>
      <c r="K1280" s="95"/>
      <c r="L1280" s="95"/>
      <c r="M1280" s="1467" t="s">
        <v>58</v>
      </c>
      <c r="N1280" s="1447">
        <f>SUM(N1279:N1279)</f>
        <v>0.51219000000000003</v>
      </c>
      <c r="O1280" s="594"/>
    </row>
    <row r="1281" spans="1:15" x14ac:dyDescent="0.25">
      <c r="A1281" s="1111"/>
      <c r="B1281" s="94"/>
      <c r="C1281" s="94"/>
      <c r="D1281" s="94"/>
      <c r="E1281" s="94"/>
      <c r="F1281" s="94"/>
      <c r="G1281" s="94"/>
      <c r="H1281" s="94"/>
      <c r="I1281" s="94"/>
      <c r="J1281" s="94"/>
      <c r="K1281" s="94"/>
      <c r="L1281" s="94"/>
      <c r="M1281" s="94"/>
      <c r="N1281" s="94"/>
      <c r="O1281" s="594"/>
    </row>
    <row r="1282" spans="1:15" x14ac:dyDescent="0.25">
      <c r="A1282" s="1504" t="s">
        <v>67</v>
      </c>
      <c r="B1282" s="1465" t="s">
        <v>106</v>
      </c>
      <c r="C1282" s="1465" t="s">
        <v>66</v>
      </c>
      <c r="D1282" s="1465" t="s">
        <v>65</v>
      </c>
      <c r="E1282" s="1465" t="s">
        <v>64</v>
      </c>
      <c r="F1282" s="1465" t="s">
        <v>40</v>
      </c>
      <c r="G1282" s="1465" t="s">
        <v>105</v>
      </c>
      <c r="H1282" s="1465" t="s">
        <v>104</v>
      </c>
      <c r="I1282" s="1465" t="s">
        <v>58</v>
      </c>
      <c r="J1282" s="95"/>
      <c r="K1282" s="95"/>
      <c r="L1282" s="95"/>
      <c r="M1282" s="95"/>
      <c r="N1282" s="95"/>
      <c r="O1282" s="594"/>
    </row>
    <row r="1283" spans="1:15" ht="30" x14ac:dyDescent="0.25">
      <c r="A1283" s="1515">
        <v>10</v>
      </c>
      <c r="B1283" s="1461" t="s">
        <v>516</v>
      </c>
      <c r="C1283" s="1514" t="s">
        <v>528</v>
      </c>
      <c r="D1283" s="1507">
        <v>1.3</v>
      </c>
      <c r="E1283" s="1461" t="s">
        <v>64</v>
      </c>
      <c r="F1283" s="1515">
        <v>1</v>
      </c>
      <c r="G1283" s="1515"/>
      <c r="H1283" s="1515"/>
      <c r="I1283" s="1511">
        <f>IF(H1283="",D1283*F1283,D1283*F1283*H1283)</f>
        <v>1.3</v>
      </c>
      <c r="J1283" s="142"/>
      <c r="K1283" s="142"/>
      <c r="L1283" s="142"/>
      <c r="M1283" s="142"/>
      <c r="N1283" s="142"/>
      <c r="O1283" s="734"/>
    </row>
    <row r="1284" spans="1:15" x14ac:dyDescent="0.25">
      <c r="A1284" s="1521">
        <v>20</v>
      </c>
      <c r="B1284" s="1521" t="s">
        <v>514</v>
      </c>
      <c r="C1284" s="1521" t="s">
        <v>1263</v>
      </c>
      <c r="D1284" s="1523">
        <v>0.04</v>
      </c>
      <c r="E1284" s="1521" t="s">
        <v>512</v>
      </c>
      <c r="F1284" s="1521">
        <v>25</v>
      </c>
      <c r="G1284" s="1521" t="s">
        <v>2535</v>
      </c>
      <c r="H1284" s="1521">
        <v>1</v>
      </c>
      <c r="I1284" s="1511">
        <f>IF(H1284="",D1284*F1284,D1284*F1284*H1284)</f>
        <v>1</v>
      </c>
      <c r="J1284" s="142"/>
      <c r="K1284" s="142"/>
      <c r="L1284" s="142"/>
      <c r="M1284" s="142"/>
      <c r="N1284" s="142"/>
      <c r="O1284" s="734"/>
    </row>
    <row r="1285" spans="1:15" x14ac:dyDescent="0.25">
      <c r="A1285" s="1515">
        <v>30</v>
      </c>
      <c r="B1285" s="1515" t="s">
        <v>2177</v>
      </c>
      <c r="C1285" s="744" t="s">
        <v>2537</v>
      </c>
      <c r="D1285" s="1522">
        <v>0.35</v>
      </c>
      <c r="E1285" s="1515" t="s">
        <v>294</v>
      </c>
      <c r="F1285" s="1515">
        <v>2</v>
      </c>
      <c r="G1285" s="1515"/>
      <c r="H1285" s="1515"/>
      <c r="I1285" s="1511">
        <f>IF(H1285="",D1285*F1285,D1285*F1285*H1285)</f>
        <v>0.7</v>
      </c>
      <c r="J1285" s="142"/>
      <c r="K1285" s="142"/>
      <c r="L1285" s="142"/>
      <c r="M1285" s="142"/>
      <c r="N1285" s="142"/>
      <c r="O1285" s="734"/>
    </row>
    <row r="1286" spans="1:15" x14ac:dyDescent="0.25">
      <c r="A1286" s="1521">
        <v>40</v>
      </c>
      <c r="B1286" s="1521" t="s">
        <v>2536</v>
      </c>
      <c r="C1286" s="1521"/>
      <c r="D1286" s="1523">
        <v>0.65</v>
      </c>
      <c r="E1286" s="1521" t="s">
        <v>64</v>
      </c>
      <c r="F1286" s="1521">
        <v>1</v>
      </c>
      <c r="G1286" s="1521"/>
      <c r="H1286" s="1521"/>
      <c r="I1286" s="1511">
        <f>IF(H1286="",D1286*F1286,D1286*F1286*H1286)</f>
        <v>0.65</v>
      </c>
      <c r="J1286" s="142"/>
      <c r="K1286" s="142"/>
      <c r="L1286" s="142"/>
      <c r="M1286" s="142"/>
      <c r="N1286" s="142"/>
      <c r="O1286" s="734"/>
    </row>
    <row r="1287" spans="1:15" x14ac:dyDescent="0.25">
      <c r="A1287" s="1521">
        <v>50</v>
      </c>
      <c r="B1287" s="1515" t="s">
        <v>2177</v>
      </c>
      <c r="C1287" s="1515" t="s">
        <v>1252</v>
      </c>
      <c r="D1287" s="1522">
        <v>0.35</v>
      </c>
      <c r="E1287" s="1515" t="s">
        <v>294</v>
      </c>
      <c r="F1287" s="1521">
        <v>1</v>
      </c>
      <c r="G1287" s="1521" t="s">
        <v>2535</v>
      </c>
      <c r="H1287" s="1521">
        <v>1</v>
      </c>
      <c r="I1287" s="1511">
        <f>IF(H1287="",D1287*F1287,D1287*F1287*H1287)</f>
        <v>0.35</v>
      </c>
      <c r="J1287" s="142"/>
      <c r="K1287" s="142"/>
      <c r="L1287" s="142"/>
      <c r="M1287" s="142"/>
      <c r="N1287" s="142"/>
      <c r="O1287" s="734"/>
    </row>
    <row r="1288" spans="1:15" x14ac:dyDescent="0.25">
      <c r="A1288" s="1106"/>
      <c r="B1288" s="95"/>
      <c r="C1288" s="95"/>
      <c r="D1288" s="95"/>
      <c r="E1288" s="95"/>
      <c r="F1288" s="95"/>
      <c r="G1288" s="95"/>
      <c r="H1288" s="1448" t="s">
        <v>58</v>
      </c>
      <c r="I1288" s="1447">
        <f>SUM(I1283:I1287)</f>
        <v>4</v>
      </c>
      <c r="J1288" s="95"/>
      <c r="K1288" s="95"/>
      <c r="L1288" s="95"/>
      <c r="M1288" s="95"/>
      <c r="N1288" s="95"/>
      <c r="O1288" s="594"/>
    </row>
    <row r="1289" spans="1:15" ht="15.75" thickBot="1" x14ac:dyDescent="0.3">
      <c r="A1289" s="1103"/>
      <c r="B1289" s="304"/>
      <c r="C1289" s="304"/>
      <c r="D1289" s="304"/>
      <c r="E1289" s="304"/>
      <c r="F1289" s="304"/>
      <c r="G1289" s="304"/>
      <c r="H1289" s="304"/>
      <c r="I1289" s="304"/>
      <c r="J1289" s="304"/>
      <c r="K1289" s="304"/>
      <c r="L1289" s="304"/>
      <c r="M1289" s="304"/>
      <c r="N1289" s="304"/>
      <c r="O1289" s="588"/>
    </row>
    <row r="1290" spans="1:15" ht="15.75" thickBot="1" x14ac:dyDescent="0.3">
      <c r="A1290" s="94"/>
      <c r="B1290" s="94"/>
      <c r="C1290" s="94"/>
      <c r="D1290" s="94"/>
      <c r="E1290" s="94"/>
      <c r="F1290" s="94"/>
      <c r="G1290" s="94"/>
      <c r="H1290" s="94"/>
      <c r="I1290" s="94"/>
      <c r="J1290" s="94"/>
      <c r="K1290" s="94"/>
      <c r="L1290" s="94"/>
      <c r="M1290" s="94"/>
      <c r="N1290" s="94"/>
      <c r="O1290" s="94"/>
    </row>
    <row r="1291" spans="1:15" x14ac:dyDescent="0.25">
      <c r="A1291" s="600"/>
      <c r="B1291" s="599"/>
      <c r="C1291" s="599"/>
      <c r="D1291" s="599"/>
      <c r="E1291" s="599"/>
      <c r="F1291" s="599"/>
      <c r="G1291" s="599"/>
      <c r="H1291" s="599"/>
      <c r="I1291" s="599"/>
      <c r="J1291" s="599"/>
      <c r="K1291" s="599"/>
      <c r="L1291" s="599"/>
      <c r="M1291" s="599"/>
      <c r="N1291" s="599"/>
      <c r="O1291" s="598"/>
    </row>
    <row r="1292" spans="1:15" x14ac:dyDescent="0.25">
      <c r="A1292" s="1510" t="s">
        <v>57</v>
      </c>
      <c r="B1292" s="133" t="s">
        <v>523</v>
      </c>
      <c r="C1292" s="94"/>
      <c r="D1292" s="94"/>
      <c r="E1292" s="94"/>
      <c r="F1292" s="94"/>
      <c r="G1292" s="94"/>
      <c r="H1292" s="94"/>
      <c r="I1292" s="94"/>
      <c r="J1292" s="1456" t="s">
        <v>51</v>
      </c>
      <c r="K1292" s="138">
        <v>81</v>
      </c>
      <c r="L1292" s="94"/>
      <c r="M1292" s="1454" t="s">
        <v>113</v>
      </c>
      <c r="N1292" s="100">
        <f>SU_10006_m+SU_10006_p</f>
        <v>12.078795434522036</v>
      </c>
      <c r="O1292" s="594"/>
    </row>
    <row r="1293" spans="1:15" x14ac:dyDescent="0.25">
      <c r="A1293" s="1510" t="s">
        <v>125</v>
      </c>
      <c r="B1293" s="133" t="s">
        <v>5</v>
      </c>
      <c r="C1293" s="94"/>
      <c r="D1293" s="1454" t="s">
        <v>122</v>
      </c>
      <c r="E1293" s="270"/>
      <c r="F1293" s="94"/>
      <c r="G1293" s="94"/>
      <c r="H1293" s="94"/>
      <c r="I1293" s="94"/>
      <c r="J1293" s="94"/>
      <c r="K1293" s="94"/>
      <c r="L1293" s="94"/>
      <c r="M1293" s="1454" t="s">
        <v>124</v>
      </c>
      <c r="N1293" s="136">
        <v>2</v>
      </c>
      <c r="O1293" s="594"/>
    </row>
    <row r="1294" spans="1:15" x14ac:dyDescent="0.25">
      <c r="A1294" s="1510" t="s">
        <v>123</v>
      </c>
      <c r="B1294" s="270" t="str">
        <f>'SU Assemblies'!B485</f>
        <v>Front Anti Roll System</v>
      </c>
      <c r="C1294" s="94"/>
      <c r="D1294" s="1454" t="s">
        <v>119</v>
      </c>
      <c r="E1294" s="94"/>
      <c r="F1294" s="94"/>
      <c r="G1294" s="94"/>
      <c r="H1294" s="94"/>
      <c r="I1294" s="94"/>
      <c r="J1294" s="1455" t="s">
        <v>122</v>
      </c>
      <c r="K1294" s="94"/>
      <c r="L1294" s="94"/>
      <c r="M1294" s="94"/>
      <c r="N1294" s="94"/>
      <c r="O1294" s="594"/>
    </row>
    <row r="1295" spans="1:15" x14ac:dyDescent="0.25">
      <c r="A1295" s="1510" t="s">
        <v>114</v>
      </c>
      <c r="B1295" s="133" t="s">
        <v>2534</v>
      </c>
      <c r="C1295" s="94"/>
      <c r="D1295" s="1454" t="s">
        <v>116</v>
      </c>
      <c r="E1295" s="94"/>
      <c r="F1295" s="94"/>
      <c r="G1295" s="94"/>
      <c r="H1295" s="94"/>
      <c r="I1295" s="94"/>
      <c r="J1295" s="1455" t="s">
        <v>119</v>
      </c>
      <c r="K1295" s="94"/>
      <c r="L1295" s="94"/>
      <c r="M1295" s="1454" t="s">
        <v>118</v>
      </c>
      <c r="N1295" s="100">
        <f>N1293*N1292</f>
        <v>24.157590869044071</v>
      </c>
      <c r="O1295" s="594"/>
    </row>
    <row r="1296" spans="1:15" x14ac:dyDescent="0.25">
      <c r="A1296" s="1510" t="s">
        <v>121</v>
      </c>
      <c r="B1296" s="269" t="s">
        <v>2533</v>
      </c>
      <c r="C1296" s="94"/>
      <c r="D1296" s="94"/>
      <c r="E1296" s="94"/>
      <c r="F1296" s="94"/>
      <c r="G1296" s="94"/>
      <c r="H1296" s="94"/>
      <c r="I1296" s="94"/>
      <c r="J1296" s="1455" t="s">
        <v>116</v>
      </c>
      <c r="K1296" s="94"/>
      <c r="L1296" s="94"/>
      <c r="M1296" s="94"/>
      <c r="N1296" s="94"/>
      <c r="O1296" s="594"/>
    </row>
    <row r="1297" spans="1:15" x14ac:dyDescent="0.25">
      <c r="A1297" s="1510" t="s">
        <v>117</v>
      </c>
      <c r="B1297" s="133" t="s">
        <v>23</v>
      </c>
      <c r="C1297" s="94"/>
      <c r="D1297" s="94"/>
      <c r="E1297" s="94"/>
      <c r="F1297" s="94"/>
      <c r="G1297" s="94"/>
      <c r="H1297" s="94"/>
      <c r="I1297" s="94"/>
      <c r="J1297" s="94"/>
      <c r="K1297" s="94"/>
      <c r="L1297" s="94"/>
      <c r="M1297" s="94"/>
      <c r="N1297" s="94"/>
      <c r="O1297" s="594"/>
    </row>
    <row r="1298" spans="1:15" x14ac:dyDescent="0.25">
      <c r="A1298" s="1510" t="s">
        <v>115</v>
      </c>
      <c r="B1298" s="133" t="s">
        <v>1281</v>
      </c>
      <c r="C1298" s="94"/>
      <c r="D1298" s="94"/>
      <c r="E1298" s="94"/>
      <c r="F1298" s="94"/>
      <c r="G1298" s="94"/>
      <c r="H1298" s="94"/>
      <c r="I1298" s="94"/>
      <c r="J1298" s="94"/>
      <c r="K1298" s="94"/>
      <c r="L1298" s="94"/>
      <c r="M1298" s="94"/>
      <c r="N1298" s="94"/>
      <c r="O1298" s="594"/>
    </row>
    <row r="1299" spans="1:15" x14ac:dyDescent="0.25">
      <c r="A1299" s="596"/>
      <c r="B1299" s="265"/>
      <c r="C1299" s="265"/>
      <c r="D1299" s="265"/>
      <c r="E1299" s="265"/>
      <c r="F1299" s="94"/>
      <c r="G1299" s="94"/>
      <c r="H1299" s="94"/>
      <c r="I1299" s="94"/>
      <c r="J1299" s="94"/>
      <c r="K1299" s="94"/>
      <c r="L1299" s="94"/>
      <c r="M1299" s="94"/>
      <c r="N1299" s="94"/>
      <c r="O1299" s="594"/>
    </row>
    <row r="1300" spans="1:15" x14ac:dyDescent="0.25">
      <c r="A1300" s="1509" t="s">
        <v>67</v>
      </c>
      <c r="B1300" s="1452" t="s">
        <v>112</v>
      </c>
      <c r="C1300" s="1452" t="s">
        <v>66</v>
      </c>
      <c r="D1300" s="1452" t="s">
        <v>65</v>
      </c>
      <c r="E1300" s="1452" t="s">
        <v>81</v>
      </c>
      <c r="F1300" s="1465" t="s">
        <v>80</v>
      </c>
      <c r="G1300" s="1465" t="s">
        <v>79</v>
      </c>
      <c r="H1300" s="1465" t="s">
        <v>78</v>
      </c>
      <c r="I1300" s="1465" t="s">
        <v>111</v>
      </c>
      <c r="J1300" s="1465" t="s">
        <v>110</v>
      </c>
      <c r="K1300" s="1465" t="s">
        <v>109</v>
      </c>
      <c r="L1300" s="1465" t="s">
        <v>108</v>
      </c>
      <c r="M1300" s="1465" t="s">
        <v>40</v>
      </c>
      <c r="N1300" s="1465" t="s">
        <v>58</v>
      </c>
      <c r="O1300" s="594"/>
    </row>
    <row r="1301" spans="1:15" ht="31.5" customHeight="1" x14ac:dyDescent="0.25">
      <c r="A1301" s="1518">
        <v>10</v>
      </c>
      <c r="B1301" s="1520" t="s">
        <v>1000</v>
      </c>
      <c r="C1301" s="1519" t="s">
        <v>1240</v>
      </c>
      <c r="D1301" s="1507">
        <v>200</v>
      </c>
      <c r="E1301" s="1518">
        <v>7</v>
      </c>
      <c r="F1301" s="1518" t="s">
        <v>68</v>
      </c>
      <c r="G1301" s="1518">
        <v>1</v>
      </c>
      <c r="H1301" s="1470" t="s">
        <v>68</v>
      </c>
      <c r="I1301" s="1517" t="s">
        <v>2532</v>
      </c>
      <c r="J1301" s="1472">
        <v>7.5398223686155033E-5</v>
      </c>
      <c r="K1301" s="1471">
        <v>0.35599999999999998</v>
      </c>
      <c r="L1301" s="1516">
        <v>2000</v>
      </c>
      <c r="M1301" s="1469">
        <v>1</v>
      </c>
      <c r="N1301" s="1505">
        <f>IF(J1301="",D1301*M310,D1301*J1301*K1301*L1301*M1301)</f>
        <v>10.736707052908477</v>
      </c>
      <c r="O1301" s="594"/>
    </row>
    <row r="1302" spans="1:15" x14ac:dyDescent="0.25">
      <c r="A1302" s="1106"/>
      <c r="B1302" s="95"/>
      <c r="C1302" s="95"/>
      <c r="D1302" s="95"/>
      <c r="E1302" s="95"/>
      <c r="F1302" s="95"/>
      <c r="G1302" s="95"/>
      <c r="H1302" s="95"/>
      <c r="I1302" s="95"/>
      <c r="J1302" s="95"/>
      <c r="K1302" s="95"/>
      <c r="L1302" s="95"/>
      <c r="M1302" s="1467" t="s">
        <v>58</v>
      </c>
      <c r="N1302" s="1447">
        <f>SUM(N1301:N1301)</f>
        <v>10.736707052908477</v>
      </c>
      <c r="O1302" s="594"/>
    </row>
    <row r="1303" spans="1:15" x14ac:dyDescent="0.25">
      <c r="A1303" s="1111"/>
      <c r="B1303" s="94"/>
      <c r="C1303" s="94"/>
      <c r="D1303" s="94"/>
      <c r="E1303" s="94"/>
      <c r="F1303" s="94"/>
      <c r="G1303" s="94"/>
      <c r="H1303" s="94"/>
      <c r="I1303" s="94"/>
      <c r="J1303" s="94"/>
      <c r="K1303" s="94"/>
      <c r="L1303" s="94"/>
      <c r="M1303" s="94"/>
      <c r="N1303" s="94"/>
      <c r="O1303" s="594"/>
    </row>
    <row r="1304" spans="1:15" x14ac:dyDescent="0.25">
      <c r="A1304" s="1504" t="s">
        <v>67</v>
      </c>
      <c r="B1304" s="1465" t="s">
        <v>106</v>
      </c>
      <c r="C1304" s="1465" t="s">
        <v>66</v>
      </c>
      <c r="D1304" s="1465" t="s">
        <v>65</v>
      </c>
      <c r="E1304" s="1465" t="s">
        <v>64</v>
      </c>
      <c r="F1304" s="1465" t="s">
        <v>40</v>
      </c>
      <c r="G1304" s="1465" t="s">
        <v>105</v>
      </c>
      <c r="H1304" s="1465" t="s">
        <v>104</v>
      </c>
      <c r="I1304" s="1465" t="s">
        <v>58</v>
      </c>
      <c r="J1304" s="95"/>
      <c r="K1304" s="95"/>
      <c r="L1304" s="95"/>
      <c r="M1304" s="95"/>
      <c r="N1304" s="95"/>
      <c r="O1304" s="594"/>
    </row>
    <row r="1305" spans="1:15" ht="30" x14ac:dyDescent="0.25">
      <c r="A1305" s="1515">
        <v>10</v>
      </c>
      <c r="B1305" s="1461" t="s">
        <v>1280</v>
      </c>
      <c r="C1305" s="1514" t="s">
        <v>1279</v>
      </c>
      <c r="D1305" s="1507">
        <v>25</v>
      </c>
      <c r="E1305" s="1461" t="s">
        <v>794</v>
      </c>
      <c r="F1305" s="1513">
        <f>J1301*K1301*L1301</f>
        <v>5.3683535264542379E-2</v>
      </c>
      <c r="G1305" s="1512"/>
      <c r="H1305" s="1512"/>
      <c r="I1305" s="1511">
        <f>IF(H1305="",D1305*F1305,D1305*F1305*H1305)</f>
        <v>1.3420883816135594</v>
      </c>
      <c r="J1305" s="142"/>
      <c r="K1305" s="142"/>
      <c r="L1305" s="142"/>
      <c r="M1305" s="142"/>
      <c r="N1305" s="142"/>
      <c r="O1305" s="734"/>
    </row>
    <row r="1306" spans="1:15" x14ac:dyDescent="0.25">
      <c r="A1306" s="1106"/>
      <c r="B1306" s="95"/>
      <c r="C1306" s="95"/>
      <c r="D1306" s="95"/>
      <c r="E1306" s="95"/>
      <c r="F1306" s="95"/>
      <c r="G1306" s="95"/>
      <c r="H1306" s="1448" t="s">
        <v>58</v>
      </c>
      <c r="I1306" s="1447">
        <f>SUM(I1305:I1305)</f>
        <v>1.3420883816135594</v>
      </c>
      <c r="J1306" s="95"/>
      <c r="K1306" s="95"/>
      <c r="L1306" s="95"/>
      <c r="M1306" s="95"/>
      <c r="N1306" s="95"/>
      <c r="O1306" s="594"/>
    </row>
    <row r="1307" spans="1:15" ht="15.75" thickBot="1" x14ac:dyDescent="0.3">
      <c r="A1307" s="1103"/>
      <c r="B1307" s="304"/>
      <c r="C1307" s="304"/>
      <c r="D1307" s="304"/>
      <c r="E1307" s="304"/>
      <c r="F1307" s="304"/>
      <c r="G1307" s="304"/>
      <c r="H1307" s="304"/>
      <c r="I1307" s="304"/>
      <c r="J1307" s="304"/>
      <c r="K1307" s="304"/>
      <c r="L1307" s="304"/>
      <c r="M1307" s="304"/>
      <c r="N1307" s="304"/>
      <c r="O1307" s="588"/>
    </row>
    <row r="1308" spans="1:15" ht="15.75" thickBot="1" x14ac:dyDescent="0.3">
      <c r="A1308" s="94"/>
      <c r="B1308" s="94"/>
      <c r="C1308" s="94"/>
      <c r="D1308" s="94"/>
      <c r="E1308" s="94"/>
      <c r="F1308" s="94"/>
      <c r="G1308" s="94"/>
      <c r="H1308" s="94"/>
      <c r="I1308" s="94"/>
      <c r="J1308" s="94"/>
      <c r="K1308" s="94"/>
      <c r="L1308" s="94"/>
      <c r="M1308" s="94"/>
      <c r="N1308" s="94"/>
      <c r="O1308" s="94"/>
    </row>
    <row r="1309" spans="1:15" x14ac:dyDescent="0.25">
      <c r="A1309" s="600"/>
      <c r="B1309" s="599"/>
      <c r="C1309" s="599"/>
      <c r="D1309" s="599"/>
      <c r="E1309" s="599"/>
      <c r="F1309" s="599"/>
      <c r="G1309" s="599"/>
      <c r="H1309" s="599"/>
      <c r="I1309" s="599"/>
      <c r="J1309" s="599"/>
      <c r="K1309" s="599"/>
      <c r="L1309" s="599"/>
      <c r="M1309" s="599"/>
      <c r="N1309" s="599"/>
      <c r="O1309" s="598"/>
    </row>
    <row r="1310" spans="1:15" x14ac:dyDescent="0.25">
      <c r="A1310" s="1510" t="s">
        <v>57</v>
      </c>
      <c r="B1310" s="133" t="s">
        <v>523</v>
      </c>
      <c r="C1310" s="94"/>
      <c r="D1310" s="94"/>
      <c r="E1310" s="94"/>
      <c r="F1310" s="94"/>
      <c r="G1310" s="94"/>
      <c r="H1310" s="94"/>
      <c r="I1310" s="94"/>
      <c r="J1310" s="1456" t="s">
        <v>51</v>
      </c>
      <c r="K1310" s="138">
        <v>81</v>
      </c>
      <c r="L1310" s="94"/>
      <c r="M1310" s="1454" t="s">
        <v>113</v>
      </c>
      <c r="N1310" s="100">
        <f>SU_10007_m+SU_10007_p</f>
        <v>2.9416692995590514</v>
      </c>
      <c r="O1310" s="594"/>
    </row>
    <row r="1311" spans="1:15" x14ac:dyDescent="0.25">
      <c r="A1311" s="1510" t="s">
        <v>125</v>
      </c>
      <c r="B1311" s="133" t="s">
        <v>5</v>
      </c>
      <c r="C1311" s="94"/>
      <c r="D1311" s="1454" t="s">
        <v>122</v>
      </c>
      <c r="E1311" s="270" t="s">
        <v>522</v>
      </c>
      <c r="F1311" s="94"/>
      <c r="G1311" s="94"/>
      <c r="H1311" s="94"/>
      <c r="I1311" s="94"/>
      <c r="J1311" s="94"/>
      <c r="K1311" s="94"/>
      <c r="L1311" s="94"/>
      <c r="M1311" s="1454" t="s">
        <v>124</v>
      </c>
      <c r="N1311" s="136">
        <v>4</v>
      </c>
      <c r="O1311" s="594"/>
    </row>
    <row r="1312" spans="1:15" x14ac:dyDescent="0.25">
      <c r="A1312" s="1510" t="s">
        <v>123</v>
      </c>
      <c r="B1312" s="270" t="str">
        <f>'SU Assemblies'!B485</f>
        <v>Front Anti Roll System</v>
      </c>
      <c r="C1312" s="94"/>
      <c r="D1312" s="1454" t="s">
        <v>119</v>
      </c>
      <c r="E1312" s="94"/>
      <c r="F1312" s="94"/>
      <c r="G1312" s="94"/>
      <c r="H1312" s="94"/>
      <c r="I1312" s="94"/>
      <c r="J1312" s="1455" t="s">
        <v>122</v>
      </c>
      <c r="K1312" s="94"/>
      <c r="L1312" s="94"/>
      <c r="M1312" s="94"/>
      <c r="N1312" s="94"/>
      <c r="O1312" s="594"/>
    </row>
    <row r="1313" spans="1:15" x14ac:dyDescent="0.25">
      <c r="A1313" s="1510" t="s">
        <v>114</v>
      </c>
      <c r="B1313" s="89" t="s">
        <v>2531</v>
      </c>
      <c r="C1313" s="94"/>
      <c r="D1313" s="1454" t="s">
        <v>116</v>
      </c>
      <c r="E1313" s="94"/>
      <c r="F1313" s="94"/>
      <c r="G1313" s="94"/>
      <c r="H1313" s="94"/>
      <c r="I1313" s="94"/>
      <c r="J1313" s="1455" t="s">
        <v>119</v>
      </c>
      <c r="K1313" s="94"/>
      <c r="L1313" s="94"/>
      <c r="M1313" s="1454" t="s">
        <v>118</v>
      </c>
      <c r="N1313" s="100">
        <f>N1311*N1310</f>
        <v>11.766677198236206</v>
      </c>
      <c r="O1313" s="594"/>
    </row>
    <row r="1314" spans="1:15" x14ac:dyDescent="0.25">
      <c r="A1314" s="1510" t="s">
        <v>121</v>
      </c>
      <c r="B1314" s="89" t="s">
        <v>2530</v>
      </c>
      <c r="C1314" s="94"/>
      <c r="D1314" s="94"/>
      <c r="E1314" s="94"/>
      <c r="F1314" s="94"/>
      <c r="G1314" s="94"/>
      <c r="H1314" s="94"/>
      <c r="I1314" s="94"/>
      <c r="J1314" s="1455" t="s">
        <v>116</v>
      </c>
      <c r="K1314" s="94"/>
      <c r="L1314" s="94"/>
      <c r="M1314" s="94"/>
      <c r="N1314" s="94"/>
      <c r="O1314" s="594"/>
    </row>
    <row r="1315" spans="1:15" x14ac:dyDescent="0.25">
      <c r="A1315" s="1510" t="s">
        <v>117</v>
      </c>
      <c r="B1315" s="89" t="s">
        <v>23</v>
      </c>
      <c r="C1315" s="94"/>
      <c r="D1315" s="94"/>
      <c r="E1315" s="94"/>
      <c r="F1315" s="94"/>
      <c r="G1315" s="94"/>
      <c r="H1315" s="94"/>
      <c r="I1315" s="94"/>
      <c r="J1315" s="94"/>
      <c r="K1315" s="94"/>
      <c r="L1315" s="94"/>
      <c r="M1315" s="94"/>
      <c r="N1315" s="94"/>
      <c r="O1315" s="594"/>
    </row>
    <row r="1316" spans="1:15" x14ac:dyDescent="0.25">
      <c r="A1316" s="1510" t="s">
        <v>115</v>
      </c>
      <c r="C1316" s="94"/>
      <c r="D1316" s="94"/>
      <c r="E1316" s="94"/>
      <c r="F1316" s="94"/>
      <c r="G1316" s="94"/>
      <c r="H1316" s="94"/>
      <c r="I1316" s="94"/>
      <c r="J1316" s="94"/>
      <c r="K1316" s="94"/>
      <c r="L1316" s="94"/>
      <c r="M1316" s="94"/>
      <c r="N1316" s="94"/>
      <c r="O1316" s="594"/>
    </row>
    <row r="1317" spans="1:15" x14ac:dyDescent="0.25">
      <c r="A1317" s="596"/>
      <c r="B1317" s="265"/>
      <c r="C1317" s="265"/>
      <c r="D1317" s="265"/>
      <c r="E1317" s="265"/>
      <c r="F1317" s="94"/>
      <c r="G1317" s="94"/>
      <c r="H1317" s="94"/>
      <c r="I1317" s="94"/>
      <c r="J1317" s="94"/>
      <c r="K1317" s="94"/>
      <c r="L1317" s="94"/>
      <c r="M1317" s="94"/>
      <c r="N1317" s="94"/>
      <c r="O1317" s="594"/>
    </row>
    <row r="1318" spans="1:15" x14ac:dyDescent="0.25">
      <c r="A1318" s="1509" t="s">
        <v>67</v>
      </c>
      <c r="B1318" s="1452" t="s">
        <v>112</v>
      </c>
      <c r="C1318" s="1452" t="s">
        <v>66</v>
      </c>
      <c r="D1318" s="1452" t="s">
        <v>65</v>
      </c>
      <c r="E1318" s="1452" t="s">
        <v>81</v>
      </c>
      <c r="F1318" s="1465" t="s">
        <v>80</v>
      </c>
      <c r="G1318" s="1465" t="s">
        <v>79</v>
      </c>
      <c r="H1318" s="1465" t="s">
        <v>78</v>
      </c>
      <c r="I1318" s="1465" t="s">
        <v>111</v>
      </c>
      <c r="J1318" s="1465" t="s">
        <v>110</v>
      </c>
      <c r="K1318" s="1465" t="s">
        <v>109</v>
      </c>
      <c r="L1318" s="1465" t="s">
        <v>108</v>
      </c>
      <c r="M1318" s="1465" t="s">
        <v>40</v>
      </c>
      <c r="N1318" s="1465" t="s">
        <v>58</v>
      </c>
      <c r="O1318" s="594"/>
    </row>
    <row r="1319" spans="1:15" ht="30" x14ac:dyDescent="0.25">
      <c r="A1319" s="1458">
        <v>10</v>
      </c>
      <c r="B1319" s="1475" t="s">
        <v>729</v>
      </c>
      <c r="C1319" s="1508" t="s">
        <v>1268</v>
      </c>
      <c r="D1319" s="1507">
        <v>2.25</v>
      </c>
      <c r="E1319" s="1458">
        <v>15</v>
      </c>
      <c r="F1319" s="1458" t="s">
        <v>68</v>
      </c>
      <c r="G1319" s="1458"/>
      <c r="H1319" s="1470"/>
      <c r="I1319" s="1473" t="s">
        <v>1344</v>
      </c>
      <c r="J1319" s="1476">
        <f>PI()*E1319/2^2/10^6</f>
        <v>1.1780972450961723E-5</v>
      </c>
      <c r="K1319" s="1471">
        <v>20</v>
      </c>
      <c r="L1319" s="1506">
        <v>7860</v>
      </c>
      <c r="M1319" s="1469">
        <v>1</v>
      </c>
      <c r="N1319" s="1505">
        <f>IF(J1319="",D1319*M329,D1319*J1319*K1319*L1319*M1319)/100</f>
        <v>4.1669299559051617E-2</v>
      </c>
      <c r="O1319" s="594"/>
    </row>
    <row r="1320" spans="1:15" x14ac:dyDescent="0.25">
      <c r="A1320" s="1106"/>
      <c r="B1320" s="95"/>
      <c r="C1320" s="95"/>
      <c r="D1320" s="95"/>
      <c r="E1320" s="95"/>
      <c r="F1320" s="95"/>
      <c r="G1320" s="95"/>
      <c r="H1320" s="95"/>
      <c r="I1320" s="95"/>
      <c r="J1320" s="95"/>
      <c r="K1320" s="95"/>
      <c r="L1320" s="95"/>
      <c r="M1320" s="1467" t="s">
        <v>58</v>
      </c>
      <c r="N1320" s="1447">
        <f>SUM(N1319:N1319)</f>
        <v>4.1669299559051617E-2</v>
      </c>
      <c r="O1320" s="594"/>
    </row>
    <row r="1321" spans="1:15" x14ac:dyDescent="0.25">
      <c r="A1321" s="1111"/>
      <c r="B1321" s="94"/>
      <c r="C1321" s="94"/>
      <c r="D1321" s="94"/>
      <c r="E1321" s="94"/>
      <c r="F1321" s="94"/>
      <c r="G1321" s="94"/>
      <c r="H1321" s="94"/>
      <c r="I1321" s="94"/>
      <c r="J1321" s="94"/>
      <c r="K1321" s="94"/>
      <c r="L1321" s="94"/>
      <c r="M1321" s="94"/>
      <c r="N1321" s="94"/>
      <c r="O1321" s="594"/>
    </row>
    <row r="1322" spans="1:15" x14ac:dyDescent="0.25">
      <c r="A1322" s="1504" t="s">
        <v>67</v>
      </c>
      <c r="B1322" s="1465" t="s">
        <v>106</v>
      </c>
      <c r="C1322" s="1465" t="s">
        <v>66</v>
      </c>
      <c r="D1322" s="1465" t="s">
        <v>65</v>
      </c>
      <c r="E1322" s="1465" t="s">
        <v>64</v>
      </c>
      <c r="F1322" s="1465" t="s">
        <v>40</v>
      </c>
      <c r="G1322" s="1465" t="s">
        <v>105</v>
      </c>
      <c r="H1322" s="1465" t="s">
        <v>104</v>
      </c>
      <c r="I1322" s="1465" t="s">
        <v>58</v>
      </c>
      <c r="J1322" s="95"/>
      <c r="K1322" s="753"/>
      <c r="L1322" s="95"/>
      <c r="M1322" s="95"/>
      <c r="N1322" s="95"/>
      <c r="O1322" s="594"/>
    </row>
    <row r="1323" spans="1:15" ht="30" x14ac:dyDescent="0.25">
      <c r="A1323" s="1497">
        <v>10</v>
      </c>
      <c r="B1323" s="1498" t="s">
        <v>516</v>
      </c>
      <c r="C1323" s="1503" t="s">
        <v>1248</v>
      </c>
      <c r="D1323" s="1501">
        <v>1.3</v>
      </c>
      <c r="E1323" s="1498" t="s">
        <v>64</v>
      </c>
      <c r="F1323" s="1497">
        <v>1</v>
      </c>
      <c r="G1323" s="1497"/>
      <c r="H1323" s="1497"/>
      <c r="I1323" s="1496">
        <f>IF(H1323="",D1323*F1323,D1323*F1323*H1323)</f>
        <v>1.3</v>
      </c>
      <c r="J1323" s="95"/>
      <c r="K1323" s="95"/>
      <c r="L1323" s="95"/>
      <c r="M1323" s="95"/>
      <c r="N1323" s="95"/>
      <c r="O1323" s="594"/>
    </row>
    <row r="1324" spans="1:15" x14ac:dyDescent="0.25">
      <c r="A1324" s="1497">
        <v>20</v>
      </c>
      <c r="B1324" s="1498" t="s">
        <v>514</v>
      </c>
      <c r="C1324" s="1503" t="s">
        <v>1266</v>
      </c>
      <c r="D1324" s="1501">
        <v>0.04</v>
      </c>
      <c r="E1324" s="1498" t="s">
        <v>512</v>
      </c>
      <c r="F1324" s="1497">
        <v>2.5</v>
      </c>
      <c r="G1324" s="1497" t="s">
        <v>724</v>
      </c>
      <c r="H1324" s="1497">
        <v>3</v>
      </c>
      <c r="I1324" s="1496">
        <f>IF(H1324="",D1324*F1324,D1324*F1324*H1324)</f>
        <v>0.30000000000000004</v>
      </c>
      <c r="J1324" s="95"/>
      <c r="K1324" s="95"/>
      <c r="L1324" s="95"/>
      <c r="M1324" s="95"/>
      <c r="N1324" s="95"/>
      <c r="O1324" s="594"/>
    </row>
    <row r="1325" spans="1:15" x14ac:dyDescent="0.25">
      <c r="A1325" s="1500">
        <v>30</v>
      </c>
      <c r="B1325" s="1500" t="s">
        <v>1265</v>
      </c>
      <c r="C1325" s="1502" t="s">
        <v>1264</v>
      </c>
      <c r="D1325" s="1501">
        <v>0.65</v>
      </c>
      <c r="E1325" s="1500" t="s">
        <v>64</v>
      </c>
      <c r="F1325" s="1499">
        <v>1</v>
      </c>
      <c r="G1325" s="1498"/>
      <c r="H1325" s="1497"/>
      <c r="I1325" s="1496">
        <f>IF(H1325="",D1325*F1325,D1325*F1325*H1325)</f>
        <v>0.65</v>
      </c>
      <c r="J1325" s="95"/>
      <c r="K1325" s="95"/>
      <c r="L1325" s="95"/>
      <c r="M1325" s="95"/>
      <c r="N1325" s="95"/>
      <c r="O1325" s="594"/>
    </row>
    <row r="1326" spans="1:15" x14ac:dyDescent="0.25">
      <c r="A1326" s="1497">
        <v>40</v>
      </c>
      <c r="B1326" s="1498" t="s">
        <v>514</v>
      </c>
      <c r="C1326" s="1503" t="s">
        <v>1263</v>
      </c>
      <c r="D1326" s="1501">
        <v>0.04</v>
      </c>
      <c r="E1326" s="1498" t="s">
        <v>512</v>
      </c>
      <c r="F1326" s="1497">
        <v>2.5</v>
      </c>
      <c r="G1326" s="1497" t="s">
        <v>724</v>
      </c>
      <c r="H1326" s="1497">
        <v>3</v>
      </c>
      <c r="I1326" s="1496">
        <f>IF(H1326="",D1326*F1326,D1326*F1326*H1326)</f>
        <v>0.30000000000000004</v>
      </c>
      <c r="J1326" s="95"/>
      <c r="K1326" s="95"/>
      <c r="L1326" s="95"/>
      <c r="M1326" s="95"/>
      <c r="N1326" s="95"/>
      <c r="O1326" s="594"/>
    </row>
    <row r="1327" spans="1:15" x14ac:dyDescent="0.25">
      <c r="A1327" s="1497">
        <v>50</v>
      </c>
      <c r="B1327" s="1502" t="s">
        <v>1262</v>
      </c>
      <c r="C1327" s="1502" t="s">
        <v>1261</v>
      </c>
      <c r="D1327" s="1501">
        <v>0.35</v>
      </c>
      <c r="E1327" s="1500"/>
      <c r="F1327" s="1499">
        <v>1</v>
      </c>
      <c r="G1327" s="1498"/>
      <c r="H1327" s="1497"/>
      <c r="I1327" s="1496">
        <f>IF(H1327="",D1327*F1327,D1327*F1327*H1327)</f>
        <v>0.35</v>
      </c>
      <c r="J1327" s="95"/>
      <c r="K1327" s="95"/>
      <c r="L1327" s="95"/>
      <c r="M1327" s="95"/>
      <c r="N1327" s="95"/>
      <c r="O1327" s="594"/>
    </row>
    <row r="1328" spans="1:15" x14ac:dyDescent="0.25">
      <c r="A1328" s="1106"/>
      <c r="B1328" s="95"/>
      <c r="C1328" s="95"/>
      <c r="D1328" s="95"/>
      <c r="E1328" s="95"/>
      <c r="F1328" s="95"/>
      <c r="G1328" s="95"/>
      <c r="H1328" s="1448" t="s">
        <v>58</v>
      </c>
      <c r="I1328" s="1447">
        <f>SUM(I1323:I1327)</f>
        <v>2.9</v>
      </c>
      <c r="J1328" s="95"/>
      <c r="K1328" s="95"/>
      <c r="L1328" s="95"/>
      <c r="M1328" s="95"/>
      <c r="N1328" s="95"/>
      <c r="O1328" s="594"/>
    </row>
    <row r="1329" spans="1:15" ht="15.75" thickBot="1" x14ac:dyDescent="0.3">
      <c r="A1329" s="1103"/>
      <c r="B1329" s="304"/>
      <c r="C1329" s="304"/>
      <c r="D1329" s="304"/>
      <c r="E1329" s="304"/>
      <c r="F1329" s="304"/>
      <c r="G1329" s="304"/>
      <c r="H1329" s="304"/>
      <c r="I1329" s="304"/>
      <c r="J1329" s="304"/>
      <c r="K1329" s="304"/>
      <c r="L1329" s="304"/>
      <c r="M1329" s="304"/>
      <c r="N1329" s="304"/>
      <c r="O1329" s="588"/>
    </row>
    <row r="1330" spans="1:15" ht="15.75" thickBot="1" x14ac:dyDescent="0.3">
      <c r="A1330" s="107"/>
      <c r="B1330" s="94"/>
      <c r="C1330" s="94"/>
      <c r="D1330" s="94"/>
      <c r="E1330" s="94"/>
      <c r="F1330" s="94"/>
      <c r="G1330" s="94"/>
      <c r="H1330" s="94"/>
      <c r="I1330" s="94"/>
    </row>
    <row r="1331" spans="1:15" x14ac:dyDescent="0.25">
      <c r="A1331" s="141"/>
      <c r="B1331" s="140"/>
      <c r="C1331" s="140"/>
      <c r="D1331" s="140"/>
      <c r="E1331" s="140"/>
      <c r="F1331" s="140"/>
      <c r="G1331" s="140"/>
      <c r="H1331" s="140"/>
      <c r="I1331" s="140"/>
      <c r="J1331" s="272"/>
      <c r="K1331" s="140"/>
      <c r="L1331" s="140"/>
      <c r="M1331" s="140"/>
      <c r="N1331" s="140"/>
      <c r="O1331" s="139"/>
    </row>
    <row r="1332" spans="1:15" x14ac:dyDescent="0.25">
      <c r="A1332" s="1454" t="s">
        <v>57</v>
      </c>
      <c r="B1332" s="133" t="s">
        <v>523</v>
      </c>
      <c r="C1332" s="94"/>
      <c r="D1332" s="94"/>
      <c r="E1332" s="94"/>
      <c r="F1332" s="94"/>
      <c r="G1332" s="94"/>
      <c r="H1332" s="94"/>
      <c r="I1332" s="94"/>
      <c r="J1332" s="1456" t="s">
        <v>51</v>
      </c>
      <c r="K1332" s="138">
        <v>81</v>
      </c>
      <c r="L1332" s="94"/>
      <c r="M1332" s="1454" t="s">
        <v>113</v>
      </c>
      <c r="N1332" s="100">
        <f>SU_11001_m+SU_11001_p</f>
        <v>27.812275200000002</v>
      </c>
      <c r="O1332" s="93"/>
    </row>
    <row r="1333" spans="1:15" x14ac:dyDescent="0.25">
      <c r="A1333" s="1454" t="s">
        <v>125</v>
      </c>
      <c r="B1333" s="133" t="s">
        <v>5</v>
      </c>
      <c r="C1333" s="94"/>
      <c r="D1333" s="1454" t="s">
        <v>122</v>
      </c>
      <c r="E1333" s="270" t="s">
        <v>522</v>
      </c>
      <c r="F1333" s="94"/>
      <c r="G1333" s="94"/>
      <c r="H1333" s="94"/>
      <c r="I1333" s="94"/>
      <c r="J1333" s="94"/>
      <c r="K1333" s="94"/>
      <c r="L1333" s="94"/>
      <c r="M1333" s="1454" t="s">
        <v>124</v>
      </c>
      <c r="N1333" s="136">
        <v>1</v>
      </c>
      <c r="O1333" s="93"/>
    </row>
    <row r="1334" spans="1:15" x14ac:dyDescent="0.25">
      <c r="A1334" s="1454" t="s">
        <v>123</v>
      </c>
      <c r="B1334" s="270" t="str">
        <f>'SU Assemblies'!B541</f>
        <v>Front upright assembly</v>
      </c>
      <c r="C1334" s="94"/>
      <c r="D1334" s="1454" t="s">
        <v>119</v>
      </c>
      <c r="E1334" s="94"/>
      <c r="F1334" s="94"/>
      <c r="G1334" s="94"/>
      <c r="H1334" s="94"/>
      <c r="I1334" s="94"/>
      <c r="J1334" s="1455" t="s">
        <v>122</v>
      </c>
      <c r="K1334" s="94"/>
      <c r="L1334" s="94"/>
      <c r="M1334" s="94"/>
      <c r="N1334" s="94"/>
      <c r="O1334" s="93"/>
    </row>
    <row r="1335" spans="1:15" x14ac:dyDescent="0.25">
      <c r="A1335" s="1454" t="s">
        <v>114</v>
      </c>
      <c r="B1335" s="135" t="s">
        <v>2529</v>
      </c>
      <c r="C1335" s="94"/>
      <c r="D1335" s="1454" t="s">
        <v>116</v>
      </c>
      <c r="E1335" s="94"/>
      <c r="F1335" s="94"/>
      <c r="G1335" s="94"/>
      <c r="H1335" s="94"/>
      <c r="I1335" s="94"/>
      <c r="J1335" s="1455" t="s">
        <v>119</v>
      </c>
      <c r="K1335" s="94"/>
      <c r="L1335" s="94"/>
      <c r="M1335" s="1454" t="s">
        <v>118</v>
      </c>
      <c r="N1335" s="100">
        <f>N1333*N1332</f>
        <v>27.812275200000002</v>
      </c>
      <c r="O1335" s="93"/>
    </row>
    <row r="1336" spans="1:15" x14ac:dyDescent="0.25">
      <c r="A1336" s="1454" t="s">
        <v>121</v>
      </c>
      <c r="B1336" s="269" t="s">
        <v>2528</v>
      </c>
      <c r="C1336" s="94"/>
      <c r="D1336" s="94"/>
      <c r="E1336" s="94"/>
      <c r="F1336" s="94"/>
      <c r="G1336" s="94"/>
      <c r="H1336" s="94"/>
      <c r="I1336" s="94"/>
      <c r="J1336" s="1455" t="s">
        <v>116</v>
      </c>
      <c r="K1336" s="94"/>
      <c r="L1336" s="94"/>
      <c r="M1336" s="94"/>
      <c r="N1336" s="94"/>
      <c r="O1336" s="93"/>
    </row>
    <row r="1337" spans="1:15" x14ac:dyDescent="0.25">
      <c r="A1337" s="1454" t="s">
        <v>117</v>
      </c>
      <c r="B1337" s="133" t="s">
        <v>23</v>
      </c>
      <c r="C1337" s="94"/>
      <c r="D1337" s="94"/>
      <c r="E1337" s="94"/>
      <c r="F1337" s="94"/>
      <c r="G1337" s="94"/>
      <c r="H1337" s="94"/>
      <c r="I1337" s="94"/>
      <c r="J1337" s="94"/>
      <c r="K1337" s="94"/>
      <c r="L1337" s="94"/>
      <c r="M1337" s="94"/>
      <c r="N1337" s="94"/>
      <c r="O1337" s="93"/>
    </row>
    <row r="1338" spans="1:15" x14ac:dyDescent="0.25">
      <c r="A1338" s="1454" t="s">
        <v>115</v>
      </c>
      <c r="B1338" s="133"/>
      <c r="C1338" s="94"/>
      <c r="D1338" s="94"/>
      <c r="E1338" s="94"/>
      <c r="F1338" s="94"/>
      <c r="G1338" s="94"/>
      <c r="H1338" s="94"/>
      <c r="I1338" s="94"/>
      <c r="J1338" s="94"/>
      <c r="K1338" s="94"/>
      <c r="L1338" s="94"/>
      <c r="M1338" s="94"/>
      <c r="N1338" s="94"/>
      <c r="O1338" s="93"/>
    </row>
    <row r="1339" spans="1:15" x14ac:dyDescent="0.25">
      <c r="A1339" s="266"/>
      <c r="B1339" s="265"/>
      <c r="C1339" s="265"/>
      <c r="D1339" s="265"/>
      <c r="E1339" s="265"/>
      <c r="F1339" s="94"/>
      <c r="G1339" s="94"/>
      <c r="H1339" s="94"/>
      <c r="I1339" s="94"/>
      <c r="J1339" s="94"/>
      <c r="K1339" s="94"/>
      <c r="L1339" s="94"/>
      <c r="M1339" s="94"/>
      <c r="N1339" s="94"/>
      <c r="O1339" s="93"/>
    </row>
    <row r="1340" spans="1:15" x14ac:dyDescent="0.25">
      <c r="A1340" s="1453" t="s">
        <v>67</v>
      </c>
      <c r="B1340" s="1452" t="s">
        <v>112</v>
      </c>
      <c r="C1340" s="1452" t="s">
        <v>66</v>
      </c>
      <c r="D1340" s="1452" t="s">
        <v>65</v>
      </c>
      <c r="E1340" s="1452" t="s">
        <v>81</v>
      </c>
      <c r="F1340" s="1465" t="s">
        <v>80</v>
      </c>
      <c r="G1340" s="1465" t="s">
        <v>79</v>
      </c>
      <c r="H1340" s="1465" t="s">
        <v>78</v>
      </c>
      <c r="I1340" s="1465" t="s">
        <v>111</v>
      </c>
      <c r="J1340" s="1465" t="s">
        <v>110</v>
      </c>
      <c r="K1340" s="1465" t="s">
        <v>109</v>
      </c>
      <c r="L1340" s="1465" t="s">
        <v>108</v>
      </c>
      <c r="M1340" s="1465" t="s">
        <v>40</v>
      </c>
      <c r="N1340" s="1465" t="s">
        <v>58</v>
      </c>
      <c r="O1340" s="93"/>
    </row>
    <row r="1341" spans="1:15" ht="30" x14ac:dyDescent="0.25">
      <c r="A1341" s="1458">
        <v>10</v>
      </c>
      <c r="B1341" s="1475" t="s">
        <v>2511</v>
      </c>
      <c r="C1341" s="1460" t="s">
        <v>2527</v>
      </c>
      <c r="D1341" s="1459">
        <v>4.2</v>
      </c>
      <c r="E1341" s="1477">
        <v>112</v>
      </c>
      <c r="F1341" s="1458" t="s">
        <v>68</v>
      </c>
      <c r="G1341" s="1458">
        <v>50</v>
      </c>
      <c r="H1341" s="1470" t="s">
        <v>68</v>
      </c>
      <c r="I1341" s="1473" t="s">
        <v>2526</v>
      </c>
      <c r="J1341" s="1476">
        <f>112*50/1000000</f>
        <v>5.5999999999999999E-3</v>
      </c>
      <c r="K1341" s="1471">
        <v>0.20599999999999999</v>
      </c>
      <c r="L1341" s="1470">
        <v>2710</v>
      </c>
      <c r="M1341" s="1469">
        <v>1</v>
      </c>
      <c r="N1341" s="1468">
        <f>IF(J1341="",D1341*M1341,D1341*J1341*K1341*L1341*M1341)</f>
        <v>13.1302752</v>
      </c>
      <c r="O1341" s="143"/>
    </row>
    <row r="1342" spans="1:15" x14ac:dyDescent="0.25">
      <c r="A1342" s="98"/>
      <c r="B1342" s="95"/>
      <c r="C1342" s="95"/>
      <c r="D1342" s="95"/>
      <c r="E1342" s="95"/>
      <c r="F1342" s="95"/>
      <c r="G1342" s="95"/>
      <c r="H1342" s="95"/>
      <c r="I1342" s="95"/>
      <c r="J1342" s="95"/>
      <c r="K1342" s="95"/>
      <c r="L1342" s="95"/>
      <c r="M1342" s="1467" t="s">
        <v>58</v>
      </c>
      <c r="N1342" s="1447">
        <f>SUM(N1341:N1341)</f>
        <v>13.1302752</v>
      </c>
      <c r="O1342" s="93"/>
    </row>
    <row r="1343" spans="1:15" x14ac:dyDescent="0.25">
      <c r="A1343" s="107"/>
      <c r="B1343" s="94"/>
      <c r="C1343" s="94"/>
      <c r="D1343" s="94"/>
      <c r="E1343" s="94"/>
      <c r="F1343" s="94"/>
      <c r="G1343" s="94"/>
      <c r="H1343" s="94"/>
      <c r="I1343" s="94"/>
      <c r="J1343" s="94"/>
      <c r="K1343" s="94"/>
      <c r="L1343" s="94"/>
      <c r="M1343" s="94"/>
      <c r="N1343" s="94"/>
      <c r="O1343" s="93"/>
    </row>
    <row r="1344" spans="1:15" x14ac:dyDescent="0.25">
      <c r="A1344" s="1466" t="s">
        <v>67</v>
      </c>
      <c r="B1344" s="1465" t="s">
        <v>106</v>
      </c>
      <c r="C1344" s="1465" t="s">
        <v>66</v>
      </c>
      <c r="D1344" s="1465" t="s">
        <v>65</v>
      </c>
      <c r="E1344" s="1465" t="s">
        <v>64</v>
      </c>
      <c r="F1344" s="1465" t="s">
        <v>40</v>
      </c>
      <c r="G1344" s="1465" t="s">
        <v>105</v>
      </c>
      <c r="H1344" s="1465" t="s">
        <v>104</v>
      </c>
      <c r="I1344" s="1465" t="s">
        <v>58</v>
      </c>
      <c r="J1344" s="95"/>
      <c r="K1344" s="95"/>
      <c r="L1344" s="95"/>
      <c r="M1344" s="95"/>
      <c r="N1344" s="95"/>
      <c r="O1344" s="93"/>
    </row>
    <row r="1345" spans="1:15" ht="30" x14ac:dyDescent="0.25">
      <c r="A1345" s="1458">
        <v>10</v>
      </c>
      <c r="B1345" s="1481" t="s">
        <v>516</v>
      </c>
      <c r="C1345" s="1463" t="s">
        <v>2508</v>
      </c>
      <c r="D1345" s="1459">
        <v>1.3</v>
      </c>
      <c r="E1345" s="1458" t="s">
        <v>64</v>
      </c>
      <c r="F1345" s="1458">
        <v>1</v>
      </c>
      <c r="G1345" s="1458"/>
      <c r="H1345" s="1458"/>
      <c r="I1345" s="1462">
        <f t="shared" ref="I1345:I1350" si="21">IF(H1345="",D1345*F1345,D1345*F1345*H1345)</f>
        <v>1.3</v>
      </c>
      <c r="J1345" s="142"/>
      <c r="K1345" s="142"/>
      <c r="L1345" s="142"/>
      <c r="M1345" s="142"/>
      <c r="N1345" s="142"/>
      <c r="O1345" s="120"/>
    </row>
    <row r="1346" spans="1:15" ht="30" x14ac:dyDescent="0.25">
      <c r="A1346" s="1458">
        <v>20</v>
      </c>
      <c r="B1346" s="1463" t="s">
        <v>2507</v>
      </c>
      <c r="C1346" s="1460" t="s">
        <v>2499</v>
      </c>
      <c r="D1346" s="1459">
        <v>0.01</v>
      </c>
      <c r="E1346" s="1458" t="s">
        <v>512</v>
      </c>
      <c r="F1346" s="1458">
        <v>788</v>
      </c>
      <c r="G1346" s="1481" t="s">
        <v>870</v>
      </c>
      <c r="H1346" s="1458">
        <v>1</v>
      </c>
      <c r="I1346" s="1462">
        <f t="shared" si="21"/>
        <v>7.88</v>
      </c>
      <c r="J1346" s="94"/>
      <c r="K1346" s="94"/>
      <c r="L1346" s="94"/>
      <c r="M1346" s="94"/>
      <c r="N1346" s="94"/>
      <c r="O1346" s="93"/>
    </row>
    <row r="1347" spans="1:15" ht="30" x14ac:dyDescent="0.25">
      <c r="A1347" s="1458">
        <v>30</v>
      </c>
      <c r="B1347" s="1481" t="s">
        <v>516</v>
      </c>
      <c r="C1347" s="1463"/>
      <c r="D1347" s="1459">
        <v>1.3</v>
      </c>
      <c r="E1347" s="1458"/>
      <c r="F1347" s="1458">
        <v>1</v>
      </c>
      <c r="G1347" s="1458"/>
      <c r="H1347" s="1458"/>
      <c r="I1347" s="1468">
        <f t="shared" si="21"/>
        <v>1.3</v>
      </c>
      <c r="J1347" s="99"/>
      <c r="K1347" s="99"/>
      <c r="L1347" s="99"/>
      <c r="M1347" s="99"/>
      <c r="N1347" s="99"/>
      <c r="O1347" s="130"/>
    </row>
    <row r="1348" spans="1:15" ht="30" x14ac:dyDescent="0.25">
      <c r="A1348" s="1458">
        <v>40</v>
      </c>
      <c r="B1348" s="1463" t="s">
        <v>514</v>
      </c>
      <c r="C1348" s="1460" t="s">
        <v>2506</v>
      </c>
      <c r="D1348" s="1459">
        <v>0.04</v>
      </c>
      <c r="E1348" s="1458" t="s">
        <v>512</v>
      </c>
      <c r="F1348" s="1458">
        <v>30</v>
      </c>
      <c r="G1348" s="1461" t="s">
        <v>870</v>
      </c>
      <c r="H1348" s="1458">
        <v>1</v>
      </c>
      <c r="I1348" s="1468">
        <f t="shared" si="21"/>
        <v>1.2</v>
      </c>
      <c r="J1348" s="99"/>
      <c r="K1348" s="99"/>
      <c r="L1348" s="99"/>
      <c r="M1348" s="99"/>
      <c r="N1348" s="99"/>
      <c r="O1348" s="130"/>
    </row>
    <row r="1349" spans="1:15" x14ac:dyDescent="0.25">
      <c r="A1349" s="1458">
        <v>50</v>
      </c>
      <c r="B1349" s="1371" t="s">
        <v>822</v>
      </c>
      <c r="C1349" s="1463"/>
      <c r="D1349" s="1459">
        <v>0.65</v>
      </c>
      <c r="E1349" s="1458" t="s">
        <v>64</v>
      </c>
      <c r="F1349" s="1458">
        <v>1</v>
      </c>
      <c r="G1349" s="1458"/>
      <c r="H1349" s="1458"/>
      <c r="I1349" s="1468">
        <f t="shared" si="21"/>
        <v>0.65</v>
      </c>
      <c r="J1349" s="99"/>
      <c r="K1349" s="99"/>
      <c r="L1349" s="99"/>
      <c r="M1349" s="99"/>
      <c r="N1349" s="99"/>
      <c r="O1349" s="130"/>
    </row>
    <row r="1350" spans="1:15" ht="30" x14ac:dyDescent="0.25">
      <c r="A1350" s="1458">
        <v>60</v>
      </c>
      <c r="B1350" s="1463" t="s">
        <v>514</v>
      </c>
      <c r="C1350" s="1460" t="s">
        <v>2505</v>
      </c>
      <c r="D1350" s="1459">
        <v>0.04</v>
      </c>
      <c r="E1350" s="1458" t="s">
        <v>512</v>
      </c>
      <c r="F1350" s="1458">
        <v>58.8</v>
      </c>
      <c r="G1350" s="1461" t="s">
        <v>870</v>
      </c>
      <c r="H1350" s="1458">
        <v>1</v>
      </c>
      <c r="I1350" s="1468">
        <f t="shared" si="21"/>
        <v>2.3519999999999999</v>
      </c>
      <c r="J1350" s="94"/>
      <c r="K1350" s="94"/>
      <c r="L1350" s="94"/>
      <c r="M1350" s="94"/>
      <c r="N1350" s="94"/>
      <c r="O1350" s="93"/>
    </row>
    <row r="1351" spans="1:15" x14ac:dyDescent="0.25">
      <c r="A1351" s="98"/>
      <c r="B1351" s="95"/>
      <c r="C1351" s="95"/>
      <c r="D1351" s="95"/>
      <c r="E1351" s="95"/>
      <c r="F1351" s="95"/>
      <c r="G1351" s="95"/>
      <c r="H1351" s="1448" t="s">
        <v>58</v>
      </c>
      <c r="I1351" s="1447">
        <f>SUM(I1345:I1350)</f>
        <v>14.682</v>
      </c>
      <c r="J1351" s="95"/>
      <c r="K1351" s="95"/>
      <c r="L1351" s="95"/>
      <c r="M1351" s="95"/>
      <c r="N1351" s="95"/>
      <c r="O1351" s="93"/>
    </row>
    <row r="1352" spans="1:15" x14ac:dyDescent="0.25">
      <c r="A1352" s="107"/>
      <c r="B1352" s="94"/>
      <c r="C1352" s="94"/>
      <c r="D1352" s="94"/>
      <c r="E1352" s="94"/>
      <c r="F1352" s="94"/>
      <c r="G1352" s="94"/>
      <c r="H1352" s="94"/>
      <c r="I1352" s="99"/>
      <c r="J1352" s="94"/>
      <c r="K1352" s="94"/>
      <c r="L1352" s="94"/>
      <c r="M1352" s="94"/>
      <c r="N1352" s="94"/>
      <c r="O1352" s="93"/>
    </row>
    <row r="1353" spans="1:15" ht="15.75" thickBot="1" x14ac:dyDescent="0.3">
      <c r="A1353" s="92"/>
      <c r="B1353" s="91"/>
      <c r="C1353" s="91"/>
      <c r="D1353" s="91"/>
      <c r="E1353" s="91"/>
      <c r="F1353" s="91"/>
      <c r="G1353" s="91"/>
      <c r="H1353" s="91"/>
      <c r="I1353" s="91"/>
      <c r="J1353" s="91"/>
      <c r="K1353" s="91"/>
      <c r="L1353" s="91"/>
      <c r="M1353" s="91"/>
      <c r="N1353" s="91"/>
      <c r="O1353" s="90"/>
    </row>
    <row r="1354" spans="1:15" ht="15.75" thickBot="1" x14ac:dyDescent="0.3"/>
    <row r="1355" spans="1:15" x14ac:dyDescent="0.25">
      <c r="A1355" s="141"/>
      <c r="B1355" s="140"/>
      <c r="C1355" s="140"/>
      <c r="D1355" s="140"/>
      <c r="E1355" s="140"/>
      <c r="F1355" s="140"/>
      <c r="G1355" s="140"/>
      <c r="H1355" s="140"/>
      <c r="I1355" s="140"/>
      <c r="J1355" s="272"/>
      <c r="K1355" s="140"/>
      <c r="L1355" s="140"/>
      <c r="M1355" s="140"/>
      <c r="N1355" s="140"/>
      <c r="O1355" s="139"/>
    </row>
    <row r="1356" spans="1:15" x14ac:dyDescent="0.25">
      <c r="A1356" s="1454" t="s">
        <v>57</v>
      </c>
      <c r="B1356" s="133" t="s">
        <v>523</v>
      </c>
      <c r="C1356" s="94"/>
      <c r="D1356" s="94"/>
      <c r="E1356" s="94"/>
      <c r="F1356" s="94"/>
      <c r="G1356" s="94"/>
      <c r="H1356" s="94"/>
      <c r="I1356" s="94"/>
      <c r="J1356" s="1456" t="s">
        <v>51</v>
      </c>
      <c r="K1356" s="138">
        <v>81</v>
      </c>
      <c r="L1356" s="94"/>
      <c r="M1356" s="1454" t="s">
        <v>113</v>
      </c>
      <c r="N1356" s="100">
        <f>SU_11002_m+SU_11002_p</f>
        <v>5.0546223999999995</v>
      </c>
      <c r="O1356" s="93"/>
    </row>
    <row r="1357" spans="1:15" x14ac:dyDescent="0.25">
      <c r="A1357" s="1454" t="s">
        <v>125</v>
      </c>
      <c r="B1357" s="133" t="s">
        <v>5</v>
      </c>
      <c r="C1357" s="94"/>
      <c r="D1357" s="1454" t="s">
        <v>122</v>
      </c>
      <c r="E1357" s="270" t="s">
        <v>2525</v>
      </c>
      <c r="F1357" s="94"/>
      <c r="G1357" s="94"/>
      <c r="H1357" s="94"/>
      <c r="I1357" s="94"/>
      <c r="J1357" s="94"/>
      <c r="K1357" s="94"/>
      <c r="L1357" s="94"/>
      <c r="M1357" s="1454" t="s">
        <v>124</v>
      </c>
      <c r="N1357" s="136">
        <v>1</v>
      </c>
      <c r="O1357" s="93"/>
    </row>
    <row r="1358" spans="1:15" x14ac:dyDescent="0.25">
      <c r="A1358" s="1454" t="s">
        <v>123</v>
      </c>
      <c r="B1358" s="270" t="str">
        <f>'SU Assemblies'!B541</f>
        <v>Front upright assembly</v>
      </c>
      <c r="C1358" s="94"/>
      <c r="D1358" s="1454" t="s">
        <v>119</v>
      </c>
      <c r="E1358" s="94"/>
      <c r="F1358" s="94"/>
      <c r="G1358" s="94"/>
      <c r="H1358" s="94"/>
      <c r="I1358" s="94"/>
      <c r="J1358" s="1455" t="s">
        <v>122</v>
      </c>
      <c r="K1358" s="94"/>
      <c r="L1358" s="94"/>
      <c r="M1358" s="94"/>
      <c r="N1358" s="94"/>
      <c r="O1358" s="93"/>
    </row>
    <row r="1359" spans="1:15" x14ac:dyDescent="0.25">
      <c r="A1359" s="1454" t="s">
        <v>114</v>
      </c>
      <c r="B1359" s="135" t="s">
        <v>2523</v>
      </c>
      <c r="C1359" s="94"/>
      <c r="D1359" s="1454" t="s">
        <v>116</v>
      </c>
      <c r="E1359" s="94"/>
      <c r="F1359" s="94"/>
      <c r="G1359" s="94"/>
      <c r="H1359" s="94"/>
      <c r="I1359" s="94"/>
      <c r="J1359" s="1455" t="s">
        <v>119</v>
      </c>
      <c r="K1359" s="94"/>
      <c r="L1359" s="94"/>
      <c r="M1359" s="1454" t="s">
        <v>118</v>
      </c>
      <c r="N1359" s="100">
        <f>N1357*N1356</f>
        <v>5.0546223999999995</v>
      </c>
      <c r="O1359" s="93"/>
    </row>
    <row r="1360" spans="1:15" x14ac:dyDescent="0.25">
      <c r="A1360" s="1454" t="s">
        <v>121</v>
      </c>
      <c r="B1360" s="269" t="s">
        <v>2524</v>
      </c>
      <c r="C1360" s="94"/>
      <c r="D1360" s="94"/>
      <c r="E1360" s="94"/>
      <c r="F1360" s="94"/>
      <c r="G1360" s="94"/>
      <c r="H1360" s="94"/>
      <c r="I1360" s="94"/>
      <c r="J1360" s="1455" t="s">
        <v>116</v>
      </c>
      <c r="K1360" s="94"/>
      <c r="L1360" s="94"/>
      <c r="M1360" s="94"/>
      <c r="N1360" s="94"/>
      <c r="O1360" s="93"/>
    </row>
    <row r="1361" spans="1:15" x14ac:dyDescent="0.25">
      <c r="A1361" s="1454" t="s">
        <v>117</v>
      </c>
      <c r="B1361" s="133" t="s">
        <v>23</v>
      </c>
      <c r="C1361" s="94"/>
      <c r="D1361" s="94"/>
      <c r="E1361" s="94"/>
      <c r="F1361" s="94"/>
      <c r="G1361" s="94"/>
      <c r="H1361" s="94"/>
      <c r="I1361" s="94"/>
      <c r="J1361" s="94"/>
      <c r="K1361" s="94"/>
      <c r="L1361" s="94"/>
      <c r="M1361" s="94"/>
      <c r="N1361" s="94"/>
      <c r="O1361" s="93"/>
    </row>
    <row r="1362" spans="1:15" x14ac:dyDescent="0.25">
      <c r="A1362" s="1454" t="s">
        <v>115</v>
      </c>
      <c r="B1362" s="133"/>
      <c r="C1362" s="94"/>
      <c r="D1362" s="94"/>
      <c r="E1362" s="94"/>
      <c r="F1362" s="94"/>
      <c r="G1362" s="94"/>
      <c r="H1362" s="94"/>
      <c r="I1362" s="94"/>
      <c r="J1362" s="94"/>
      <c r="K1362" s="94"/>
      <c r="L1362" s="94"/>
      <c r="M1362" s="94"/>
      <c r="N1362" s="94"/>
      <c r="O1362" s="93"/>
    </row>
    <row r="1363" spans="1:15" x14ac:dyDescent="0.25">
      <c r="A1363" s="266"/>
      <c r="B1363" s="265"/>
      <c r="C1363" s="265"/>
      <c r="D1363" s="265"/>
      <c r="E1363" s="265"/>
      <c r="F1363" s="94"/>
      <c r="G1363" s="94"/>
      <c r="H1363" s="94"/>
      <c r="I1363" s="94"/>
      <c r="J1363" s="94"/>
      <c r="K1363" s="94"/>
      <c r="L1363" s="94"/>
      <c r="M1363" s="94"/>
      <c r="N1363" s="94"/>
      <c r="O1363" s="93"/>
    </row>
    <row r="1364" spans="1:15" x14ac:dyDescent="0.25">
      <c r="A1364" s="1453" t="s">
        <v>67</v>
      </c>
      <c r="B1364" s="1452" t="s">
        <v>112</v>
      </c>
      <c r="C1364" s="1452" t="s">
        <v>66</v>
      </c>
      <c r="D1364" s="1452" t="s">
        <v>65</v>
      </c>
      <c r="E1364" s="1452" t="s">
        <v>81</v>
      </c>
      <c r="F1364" s="1483" t="s">
        <v>80</v>
      </c>
      <c r="G1364" s="1483" t="s">
        <v>79</v>
      </c>
      <c r="H1364" s="1483" t="s">
        <v>78</v>
      </c>
      <c r="I1364" s="1483" t="s">
        <v>111</v>
      </c>
      <c r="J1364" s="1483" t="s">
        <v>110</v>
      </c>
      <c r="K1364" s="1483" t="s">
        <v>109</v>
      </c>
      <c r="L1364" s="1483" t="s">
        <v>108</v>
      </c>
      <c r="M1364" s="1483" t="s">
        <v>40</v>
      </c>
      <c r="N1364" s="1483" t="s">
        <v>58</v>
      </c>
      <c r="O1364" s="93"/>
    </row>
    <row r="1365" spans="1:15" ht="30" x14ac:dyDescent="0.25">
      <c r="A1365" s="1492">
        <v>10</v>
      </c>
      <c r="B1365" s="1495" t="s">
        <v>852</v>
      </c>
      <c r="C1365" s="1492" t="s">
        <v>2523</v>
      </c>
      <c r="D1365" s="1494">
        <v>4.2</v>
      </c>
      <c r="E1365" s="1493">
        <v>40</v>
      </c>
      <c r="F1365" s="1492" t="s">
        <v>68</v>
      </c>
      <c r="G1365" s="1492">
        <v>30</v>
      </c>
      <c r="H1365" s="1488" t="s">
        <v>68</v>
      </c>
      <c r="I1365" s="1491" t="s">
        <v>2522</v>
      </c>
      <c r="J1365" s="1490">
        <f>30*40/1000000</f>
        <v>1.1999999999999999E-3</v>
      </c>
      <c r="K1365" s="1489">
        <v>8.5999999999999993E-2</v>
      </c>
      <c r="L1365" s="1488">
        <v>2710</v>
      </c>
      <c r="M1365" s="1487">
        <v>1</v>
      </c>
      <c r="N1365" s="1486">
        <f>IF(J1365="",D1365*M1365,D1365*J1365*K1365*L1365*M1365)</f>
        <v>1.1746223999999996</v>
      </c>
      <c r="O1365" s="143"/>
    </row>
    <row r="1366" spans="1:15" x14ac:dyDescent="0.25">
      <c r="A1366" s="98"/>
      <c r="B1366" s="95"/>
      <c r="C1366" s="95"/>
      <c r="D1366" s="95"/>
      <c r="E1366" s="95"/>
      <c r="F1366" s="95"/>
      <c r="G1366" s="95"/>
      <c r="H1366" s="95"/>
      <c r="I1366" s="95"/>
      <c r="J1366" s="95"/>
      <c r="K1366" s="95"/>
      <c r="L1366" s="95"/>
      <c r="M1366" s="1485" t="s">
        <v>58</v>
      </c>
      <c r="N1366" s="1447">
        <f>SUM(N1365:N1365)</f>
        <v>1.1746223999999996</v>
      </c>
      <c r="O1366" s="93"/>
    </row>
    <row r="1367" spans="1:15" x14ac:dyDescent="0.25">
      <c r="A1367" s="107"/>
      <c r="B1367" s="94"/>
      <c r="C1367" s="94"/>
      <c r="D1367" s="94"/>
      <c r="E1367" s="94"/>
      <c r="F1367" s="94"/>
      <c r="G1367" s="94"/>
      <c r="H1367" s="94"/>
      <c r="I1367" s="94"/>
      <c r="J1367" s="94"/>
      <c r="K1367" s="94"/>
      <c r="L1367" s="94"/>
      <c r="M1367" s="94"/>
      <c r="N1367" s="94"/>
      <c r="O1367" s="93"/>
    </row>
    <row r="1368" spans="1:15" x14ac:dyDescent="0.25">
      <c r="A1368" s="1484" t="s">
        <v>67</v>
      </c>
      <c r="B1368" s="1483" t="s">
        <v>106</v>
      </c>
      <c r="C1368" s="1483" t="s">
        <v>66</v>
      </c>
      <c r="D1368" s="1483" t="s">
        <v>65</v>
      </c>
      <c r="E1368" s="1483" t="s">
        <v>64</v>
      </c>
      <c r="F1368" s="1483" t="s">
        <v>40</v>
      </c>
      <c r="G1368" s="1483" t="s">
        <v>105</v>
      </c>
      <c r="H1368" s="1483" t="s">
        <v>104</v>
      </c>
      <c r="I1368" s="1483" t="s">
        <v>58</v>
      </c>
      <c r="J1368" s="95"/>
      <c r="K1368" s="95"/>
      <c r="L1368" s="95"/>
      <c r="M1368" s="95"/>
      <c r="N1368" s="95"/>
      <c r="O1368" s="93"/>
    </row>
    <row r="1369" spans="1:15" ht="30" x14ac:dyDescent="0.25">
      <c r="A1369" s="1458">
        <v>10</v>
      </c>
      <c r="B1369" s="1482" t="s">
        <v>516</v>
      </c>
      <c r="C1369" s="1463"/>
      <c r="D1369" s="1459">
        <v>1.3</v>
      </c>
      <c r="E1369" s="1458" t="s">
        <v>64</v>
      </c>
      <c r="F1369" s="1458">
        <v>1</v>
      </c>
      <c r="G1369" s="1458"/>
      <c r="H1369" s="1458"/>
      <c r="I1369" s="1462">
        <f t="shared" ref="I1369:I1374" si="22">IF(H1369="",D1369*F1369,D1369*F1369*H1369)</f>
        <v>1.3</v>
      </c>
      <c r="J1369" s="142"/>
      <c r="K1369" s="142"/>
      <c r="L1369" s="142"/>
      <c r="M1369" s="142"/>
      <c r="N1369" s="142"/>
      <c r="O1369" s="120"/>
    </row>
    <row r="1370" spans="1:15" ht="30" x14ac:dyDescent="0.25">
      <c r="A1370" s="1458">
        <v>20</v>
      </c>
      <c r="B1370" s="1461" t="s">
        <v>514</v>
      </c>
      <c r="C1370" s="1460" t="s">
        <v>2499</v>
      </c>
      <c r="D1370" s="1459">
        <v>0.04</v>
      </c>
      <c r="E1370" s="1459" t="s">
        <v>512</v>
      </c>
      <c r="F1370" s="1458">
        <v>15</v>
      </c>
      <c r="G1370" s="1481" t="s">
        <v>870</v>
      </c>
      <c r="H1370" s="1458">
        <v>1</v>
      </c>
      <c r="I1370" s="1462">
        <f t="shared" si="22"/>
        <v>0.6</v>
      </c>
      <c r="J1370" s="94"/>
      <c r="K1370" s="94"/>
      <c r="L1370" s="94"/>
      <c r="M1370" s="94"/>
      <c r="N1370" s="94"/>
      <c r="O1370" s="93"/>
    </row>
    <row r="1371" spans="1:15" x14ac:dyDescent="0.25">
      <c r="A1371" s="1458">
        <v>30</v>
      </c>
      <c r="B1371" s="1371" t="s">
        <v>822</v>
      </c>
      <c r="C1371" s="1463"/>
      <c r="D1371" s="1459">
        <v>0.65</v>
      </c>
      <c r="E1371" s="1458" t="s">
        <v>64</v>
      </c>
      <c r="F1371" s="1458">
        <v>1</v>
      </c>
      <c r="G1371" s="1458"/>
      <c r="H1371" s="1458"/>
      <c r="I1371" s="1468">
        <f t="shared" si="22"/>
        <v>0.65</v>
      </c>
      <c r="J1371" s="99"/>
      <c r="K1371" s="99"/>
      <c r="L1371" s="99"/>
      <c r="M1371" s="99"/>
      <c r="N1371" s="99"/>
      <c r="O1371" s="130"/>
    </row>
    <row r="1372" spans="1:15" ht="30" x14ac:dyDescent="0.25">
      <c r="A1372" s="1458">
        <v>40</v>
      </c>
      <c r="B1372" s="1461" t="s">
        <v>514</v>
      </c>
      <c r="C1372" s="1480" t="s">
        <v>2498</v>
      </c>
      <c r="D1372" s="1459">
        <v>0.04</v>
      </c>
      <c r="E1372" s="1459" t="s">
        <v>512</v>
      </c>
      <c r="F1372" s="194">
        <v>12</v>
      </c>
      <c r="G1372" s="1461" t="s">
        <v>870</v>
      </c>
      <c r="H1372" s="1458">
        <v>1</v>
      </c>
      <c r="I1372" s="1468">
        <f t="shared" si="22"/>
        <v>0.48</v>
      </c>
      <c r="J1372" s="94"/>
      <c r="K1372" s="94"/>
      <c r="L1372" s="94"/>
      <c r="M1372" s="94"/>
      <c r="N1372" s="94"/>
      <c r="O1372" s="93"/>
    </row>
    <row r="1373" spans="1:15" x14ac:dyDescent="0.25">
      <c r="A1373" s="1458">
        <v>50</v>
      </c>
      <c r="B1373" s="1371" t="s">
        <v>822</v>
      </c>
      <c r="C1373" s="1463"/>
      <c r="D1373" s="1459">
        <v>0.65</v>
      </c>
      <c r="E1373" s="1458" t="s">
        <v>64</v>
      </c>
      <c r="F1373" s="1458">
        <v>1</v>
      </c>
      <c r="G1373" s="1458"/>
      <c r="H1373" s="1458"/>
      <c r="I1373" s="1468">
        <f t="shared" si="22"/>
        <v>0.65</v>
      </c>
      <c r="J1373" s="94"/>
      <c r="K1373" s="94"/>
      <c r="L1373" s="94"/>
      <c r="M1373" s="94"/>
      <c r="N1373" s="94"/>
      <c r="O1373" s="93"/>
    </row>
    <row r="1374" spans="1:15" ht="30" x14ac:dyDescent="0.25">
      <c r="A1374" s="1458">
        <v>60</v>
      </c>
      <c r="B1374" s="1461" t="s">
        <v>514</v>
      </c>
      <c r="C1374" s="1460" t="s">
        <v>2521</v>
      </c>
      <c r="D1374" s="1459">
        <v>0.04</v>
      </c>
      <c r="E1374" s="1459" t="s">
        <v>512</v>
      </c>
      <c r="F1374" s="1458">
        <v>5</v>
      </c>
      <c r="G1374" s="1461" t="s">
        <v>870</v>
      </c>
      <c r="H1374" s="1458">
        <v>1</v>
      </c>
      <c r="I1374" s="1468">
        <f t="shared" si="22"/>
        <v>0.2</v>
      </c>
      <c r="J1374" s="94"/>
      <c r="K1374" s="94"/>
      <c r="L1374" s="94"/>
      <c r="M1374" s="94"/>
      <c r="N1374" s="94"/>
      <c r="O1374" s="93"/>
    </row>
    <row r="1375" spans="1:15" x14ac:dyDescent="0.25">
      <c r="A1375" s="98"/>
      <c r="B1375" s="95"/>
      <c r="C1375" s="95"/>
      <c r="D1375" s="95"/>
      <c r="E1375" s="95"/>
      <c r="F1375" s="95"/>
      <c r="G1375" s="95"/>
      <c r="H1375" s="1448" t="s">
        <v>58</v>
      </c>
      <c r="I1375" s="1447">
        <f>SUM(I1369:I1374)</f>
        <v>3.88</v>
      </c>
      <c r="J1375" s="95"/>
      <c r="K1375" s="95"/>
      <c r="L1375" s="95"/>
      <c r="M1375" s="95"/>
      <c r="N1375" s="95"/>
      <c r="O1375" s="93"/>
    </row>
    <row r="1376" spans="1:15" x14ac:dyDescent="0.25">
      <c r="A1376" s="107"/>
      <c r="B1376" s="94"/>
      <c r="C1376" s="94"/>
      <c r="D1376" s="94"/>
      <c r="E1376" s="94"/>
      <c r="F1376" s="94"/>
      <c r="G1376" s="94"/>
      <c r="H1376" s="94"/>
      <c r="I1376" s="99"/>
      <c r="J1376" s="94"/>
      <c r="K1376" s="94"/>
      <c r="L1376" s="94"/>
      <c r="M1376" s="94"/>
      <c r="N1376" s="94"/>
      <c r="O1376" s="93"/>
    </row>
    <row r="1377" spans="1:15" ht="15.75" thickBot="1" x14ac:dyDescent="0.3">
      <c r="A1377" s="92"/>
      <c r="B1377" s="91"/>
      <c r="C1377" s="91"/>
      <c r="D1377" s="91"/>
      <c r="E1377" s="91"/>
      <c r="F1377" s="91"/>
      <c r="G1377" s="91"/>
      <c r="H1377" s="91"/>
      <c r="I1377" s="91"/>
      <c r="J1377" s="91"/>
      <c r="K1377" s="91"/>
      <c r="L1377" s="91"/>
      <c r="M1377" s="91"/>
      <c r="N1377" s="91"/>
      <c r="O1377" s="90"/>
    </row>
    <row r="1378" spans="1:15" ht="15.75" thickBot="1" x14ac:dyDescent="0.3"/>
    <row r="1379" spans="1:15" x14ac:dyDescent="0.25">
      <c r="A1379" s="141"/>
      <c r="B1379" s="140"/>
      <c r="C1379" s="140"/>
      <c r="D1379" s="140"/>
      <c r="E1379" s="140"/>
      <c r="F1379" s="140"/>
      <c r="G1379" s="140"/>
      <c r="H1379" s="140"/>
      <c r="I1379" s="140"/>
      <c r="J1379" s="272"/>
      <c r="K1379" s="140"/>
      <c r="L1379" s="140"/>
      <c r="M1379" s="140"/>
      <c r="N1379" s="140"/>
      <c r="O1379" s="139"/>
    </row>
    <row r="1380" spans="1:15" x14ac:dyDescent="0.25">
      <c r="A1380" s="1454" t="s">
        <v>57</v>
      </c>
      <c r="B1380" s="133" t="s">
        <v>523</v>
      </c>
      <c r="C1380" s="94"/>
      <c r="D1380" s="94"/>
      <c r="E1380" s="94"/>
      <c r="F1380" s="94"/>
      <c r="G1380" s="94"/>
      <c r="H1380" s="94"/>
      <c r="I1380" s="94"/>
      <c r="J1380" s="1456" t="s">
        <v>51</v>
      </c>
      <c r="K1380" s="138">
        <v>81</v>
      </c>
      <c r="L1380" s="94"/>
      <c r="M1380" s="1454" t="s">
        <v>113</v>
      </c>
      <c r="N1380" s="100">
        <f>SU_11003_m+SU_11003_p</f>
        <v>3.2352644000000002</v>
      </c>
      <c r="O1380" s="93"/>
    </row>
    <row r="1381" spans="1:15" x14ac:dyDescent="0.25">
      <c r="A1381" s="1454" t="s">
        <v>125</v>
      </c>
      <c r="B1381" s="133" t="s">
        <v>5</v>
      </c>
      <c r="C1381" s="94"/>
      <c r="D1381" s="1454" t="s">
        <v>122</v>
      </c>
      <c r="E1381" s="270" t="s">
        <v>522</v>
      </c>
      <c r="F1381" s="94"/>
      <c r="G1381" s="94"/>
      <c r="H1381" s="94"/>
      <c r="I1381" s="94"/>
      <c r="J1381" s="94"/>
      <c r="K1381" s="94"/>
      <c r="L1381" s="94"/>
      <c r="M1381" s="1454" t="s">
        <v>124</v>
      </c>
      <c r="N1381" s="136">
        <v>1</v>
      </c>
      <c r="O1381" s="93"/>
    </row>
    <row r="1382" spans="1:15" x14ac:dyDescent="0.25">
      <c r="A1382" s="1454" t="s">
        <v>123</v>
      </c>
      <c r="B1382" s="270" t="str">
        <f>'SU Assemblies'!B541</f>
        <v>Front upright assembly</v>
      </c>
      <c r="C1382" s="94"/>
      <c r="D1382" s="1454" t="s">
        <v>119</v>
      </c>
      <c r="E1382" s="94"/>
      <c r="F1382" s="94"/>
      <c r="G1382" s="94"/>
      <c r="H1382" s="94"/>
      <c r="I1382" s="94"/>
      <c r="J1382" s="1455" t="s">
        <v>122</v>
      </c>
      <c r="K1382" s="94"/>
      <c r="L1382" s="94"/>
      <c r="M1382" s="94"/>
      <c r="N1382" s="94"/>
      <c r="O1382" s="93"/>
    </row>
    <row r="1383" spans="1:15" x14ac:dyDescent="0.25">
      <c r="A1383" s="1454" t="s">
        <v>114</v>
      </c>
      <c r="B1383" s="135" t="s">
        <v>2504</v>
      </c>
      <c r="C1383" s="94"/>
      <c r="D1383" s="1454" t="s">
        <v>116</v>
      </c>
      <c r="E1383" s="94"/>
      <c r="F1383" s="94"/>
      <c r="G1383" s="94"/>
      <c r="H1383" s="94"/>
      <c r="I1383" s="94"/>
      <c r="J1383" s="1455" t="s">
        <v>119</v>
      </c>
      <c r="K1383" s="94"/>
      <c r="L1383" s="94"/>
      <c r="M1383" s="1454" t="s">
        <v>118</v>
      </c>
      <c r="N1383" s="100">
        <f>N1381*N1380</f>
        <v>3.2352644000000002</v>
      </c>
      <c r="O1383" s="93"/>
    </row>
    <row r="1384" spans="1:15" x14ac:dyDescent="0.25">
      <c r="A1384" s="1454" t="s">
        <v>121</v>
      </c>
      <c r="B1384" s="269" t="s">
        <v>2520</v>
      </c>
      <c r="C1384" s="94"/>
      <c r="D1384" s="94"/>
      <c r="E1384" s="94"/>
      <c r="F1384" s="94"/>
      <c r="G1384" s="94"/>
      <c r="H1384" s="94"/>
      <c r="I1384" s="94"/>
      <c r="J1384" s="1455" t="s">
        <v>116</v>
      </c>
      <c r="K1384" s="94"/>
      <c r="L1384" s="94"/>
      <c r="M1384" s="94"/>
      <c r="N1384" s="94"/>
      <c r="O1384" s="93"/>
    </row>
    <row r="1385" spans="1:15" x14ac:dyDescent="0.25">
      <c r="A1385" s="1454" t="s">
        <v>117</v>
      </c>
      <c r="B1385" s="133" t="s">
        <v>23</v>
      </c>
      <c r="C1385" s="94"/>
      <c r="D1385" s="94"/>
      <c r="E1385" s="94"/>
      <c r="F1385" s="94"/>
      <c r="G1385" s="94"/>
      <c r="H1385" s="94"/>
      <c r="I1385" s="94"/>
      <c r="J1385" s="94"/>
      <c r="K1385" s="94"/>
      <c r="L1385" s="94"/>
      <c r="M1385" s="94"/>
      <c r="N1385" s="94"/>
      <c r="O1385" s="93"/>
    </row>
    <row r="1386" spans="1:15" x14ac:dyDescent="0.25">
      <c r="A1386" s="1454" t="s">
        <v>115</v>
      </c>
      <c r="B1386" s="133" t="s">
        <v>2502</v>
      </c>
      <c r="C1386" s="94"/>
      <c r="D1386" s="94"/>
      <c r="E1386" s="94"/>
      <c r="F1386" s="94"/>
      <c r="G1386" s="94"/>
      <c r="H1386" s="94"/>
      <c r="I1386" s="94"/>
      <c r="J1386" s="94"/>
      <c r="K1386" s="94"/>
      <c r="L1386" s="94"/>
      <c r="M1386" s="94"/>
      <c r="N1386" s="94"/>
      <c r="O1386" s="93"/>
    </row>
    <row r="1387" spans="1:15" x14ac:dyDescent="0.25">
      <c r="A1387" s="266"/>
      <c r="B1387" s="265"/>
      <c r="C1387" s="265"/>
      <c r="D1387" s="265"/>
      <c r="E1387" s="265"/>
      <c r="F1387" s="94"/>
      <c r="G1387" s="94"/>
      <c r="H1387" s="94"/>
      <c r="I1387" s="94"/>
      <c r="J1387" s="94"/>
      <c r="K1387" s="94"/>
      <c r="L1387" s="94"/>
      <c r="M1387" s="94"/>
      <c r="N1387" s="94"/>
      <c r="O1387" s="93"/>
    </row>
    <row r="1388" spans="1:15" x14ac:dyDescent="0.25">
      <c r="A1388" s="1453" t="s">
        <v>67</v>
      </c>
      <c r="B1388" s="1452" t="s">
        <v>112</v>
      </c>
      <c r="C1388" s="1452" t="s">
        <v>66</v>
      </c>
      <c r="D1388" s="1452" t="s">
        <v>65</v>
      </c>
      <c r="E1388" s="1452" t="s">
        <v>81</v>
      </c>
      <c r="F1388" s="1465" t="s">
        <v>80</v>
      </c>
      <c r="G1388" s="1465" t="s">
        <v>79</v>
      </c>
      <c r="H1388" s="1465" t="s">
        <v>78</v>
      </c>
      <c r="I1388" s="1465" t="s">
        <v>111</v>
      </c>
      <c r="J1388" s="1465" t="s">
        <v>110</v>
      </c>
      <c r="K1388" s="1465" t="s">
        <v>109</v>
      </c>
      <c r="L1388" s="1465" t="s">
        <v>108</v>
      </c>
      <c r="M1388" s="1465" t="s">
        <v>40</v>
      </c>
      <c r="N1388" s="1465" t="s">
        <v>58</v>
      </c>
      <c r="O1388" s="93"/>
    </row>
    <row r="1389" spans="1:15" ht="30" x14ac:dyDescent="0.25">
      <c r="A1389" s="1458">
        <v>10</v>
      </c>
      <c r="B1389" s="1475" t="s">
        <v>852</v>
      </c>
      <c r="C1389" s="1458" t="s">
        <v>2504</v>
      </c>
      <c r="D1389" s="1459">
        <v>4.2</v>
      </c>
      <c r="E1389" s="1474">
        <v>30</v>
      </c>
      <c r="F1389" s="1458" t="s">
        <v>68</v>
      </c>
      <c r="G1389" s="1458">
        <v>30</v>
      </c>
      <c r="H1389" s="1470" t="s">
        <v>68</v>
      </c>
      <c r="I1389" s="1473" t="s">
        <v>2519</v>
      </c>
      <c r="J1389" s="1476">
        <f>30*30/1000000</f>
        <v>8.9999999999999998E-4</v>
      </c>
      <c r="K1389" s="1471">
        <v>3.7999999999999999E-2</v>
      </c>
      <c r="L1389" s="1470">
        <v>2710</v>
      </c>
      <c r="M1389" s="1469">
        <v>1</v>
      </c>
      <c r="N1389" s="1468">
        <f>IF(J1389="",D1389*M1389,D1389*J1389*K1389*L1389*M1389)</f>
        <v>0.38926440000000001</v>
      </c>
      <c r="O1389" s="143"/>
    </row>
    <row r="1390" spans="1:15" x14ac:dyDescent="0.25">
      <c r="A1390" s="98"/>
      <c r="B1390" s="95"/>
      <c r="C1390" s="95"/>
      <c r="D1390" s="95"/>
      <c r="E1390" s="95"/>
      <c r="F1390" s="95"/>
      <c r="G1390" s="95"/>
      <c r="H1390" s="95"/>
      <c r="I1390" s="95"/>
      <c r="J1390" s="95"/>
      <c r="K1390" s="95"/>
      <c r="L1390" s="95"/>
      <c r="M1390" s="1467" t="s">
        <v>58</v>
      </c>
      <c r="N1390" s="1447">
        <f>SUM(N1389:N1389)</f>
        <v>0.38926440000000001</v>
      </c>
      <c r="O1390" s="93"/>
    </row>
    <row r="1391" spans="1:15" x14ac:dyDescent="0.25">
      <c r="A1391" s="107"/>
      <c r="B1391" s="94"/>
      <c r="C1391" s="94"/>
      <c r="D1391" s="94"/>
      <c r="E1391" s="94"/>
      <c r="F1391" s="94"/>
      <c r="G1391" s="94"/>
      <c r="H1391" s="94"/>
      <c r="I1391" s="94"/>
      <c r="J1391" s="94"/>
      <c r="K1391" s="94"/>
      <c r="L1391" s="94"/>
      <c r="M1391" s="94"/>
      <c r="N1391" s="94"/>
      <c r="O1391" s="93"/>
    </row>
    <row r="1392" spans="1:15" x14ac:dyDescent="0.25">
      <c r="A1392" s="1466" t="s">
        <v>67</v>
      </c>
      <c r="B1392" s="1465" t="s">
        <v>106</v>
      </c>
      <c r="C1392" s="1465" t="s">
        <v>66</v>
      </c>
      <c r="D1392" s="1465" t="s">
        <v>65</v>
      </c>
      <c r="E1392" s="1465" t="s">
        <v>64</v>
      </c>
      <c r="F1392" s="1465" t="s">
        <v>40</v>
      </c>
      <c r="G1392" s="1465" t="s">
        <v>105</v>
      </c>
      <c r="H1392" s="1465" t="s">
        <v>104</v>
      </c>
      <c r="I1392" s="1465" t="s">
        <v>58</v>
      </c>
      <c r="J1392" s="95"/>
      <c r="K1392" s="95"/>
      <c r="L1392" s="95"/>
      <c r="M1392" s="95"/>
      <c r="N1392" s="95"/>
      <c r="O1392" s="93"/>
    </row>
    <row r="1393" spans="1:15" ht="30" x14ac:dyDescent="0.25">
      <c r="A1393" s="1458">
        <v>10</v>
      </c>
      <c r="B1393" s="1482" t="s">
        <v>516</v>
      </c>
      <c r="C1393" s="1463"/>
      <c r="D1393" s="1459">
        <v>1.3</v>
      </c>
      <c r="E1393" s="1458" t="s">
        <v>64</v>
      </c>
      <c r="F1393" s="1458">
        <v>1</v>
      </c>
      <c r="G1393" s="1458"/>
      <c r="H1393" s="1458"/>
      <c r="I1393" s="1462">
        <f>IF(H1393="",D1393*F1393,D1393*F1393*H1393)</f>
        <v>1.3</v>
      </c>
      <c r="J1393" s="142"/>
      <c r="K1393" s="142"/>
      <c r="L1393" s="142"/>
      <c r="M1393" s="142"/>
      <c r="N1393" s="142"/>
      <c r="O1393" s="120"/>
    </row>
    <row r="1394" spans="1:15" ht="30" x14ac:dyDescent="0.25">
      <c r="A1394" s="1458">
        <v>20</v>
      </c>
      <c r="B1394" s="1461" t="s">
        <v>514</v>
      </c>
      <c r="C1394" s="1460" t="s">
        <v>2499</v>
      </c>
      <c r="D1394" s="1459">
        <v>0.04</v>
      </c>
      <c r="E1394" s="1459" t="s">
        <v>512</v>
      </c>
      <c r="F1394" s="1458">
        <v>12.9</v>
      </c>
      <c r="G1394" s="1481" t="s">
        <v>870</v>
      </c>
      <c r="H1394" s="1458">
        <v>1</v>
      </c>
      <c r="I1394" s="1462">
        <f>IF(H1394="",D1394*F1394,D1394*F1394*H1394)</f>
        <v>0.51600000000000001</v>
      </c>
      <c r="J1394" s="94"/>
      <c r="K1394" s="94"/>
      <c r="L1394" s="94"/>
      <c r="M1394" s="94"/>
      <c r="N1394" s="94"/>
      <c r="O1394" s="93"/>
    </row>
    <row r="1395" spans="1:15" x14ac:dyDescent="0.25">
      <c r="A1395" s="1458">
        <v>30</v>
      </c>
      <c r="B1395" s="1371" t="s">
        <v>822</v>
      </c>
      <c r="C1395" s="1463"/>
      <c r="D1395" s="1459">
        <v>0.65</v>
      </c>
      <c r="E1395" s="1458" t="s">
        <v>64</v>
      </c>
      <c r="F1395" s="1458">
        <v>1</v>
      </c>
      <c r="G1395" s="1458"/>
      <c r="H1395" s="1458"/>
      <c r="I1395" s="1468">
        <f>IF(H1395="",D1395*F1395,D1395*F1395*H1395)</f>
        <v>0.65</v>
      </c>
      <c r="J1395" s="99"/>
      <c r="K1395" s="99"/>
      <c r="L1395" s="99"/>
      <c r="M1395" s="99"/>
      <c r="N1395" s="99"/>
      <c r="O1395" s="130"/>
    </row>
    <row r="1396" spans="1:15" ht="30" x14ac:dyDescent="0.25">
      <c r="A1396" s="1458">
        <v>40</v>
      </c>
      <c r="B1396" s="1461" t="s">
        <v>514</v>
      </c>
      <c r="C1396" s="1480" t="s">
        <v>2498</v>
      </c>
      <c r="D1396" s="1459">
        <v>0.04</v>
      </c>
      <c r="E1396" s="1459" t="s">
        <v>512</v>
      </c>
      <c r="F1396" s="1458">
        <v>9.5</v>
      </c>
      <c r="G1396" s="1461" t="s">
        <v>870</v>
      </c>
      <c r="H1396" s="1458">
        <v>1</v>
      </c>
      <c r="I1396" s="1468">
        <f>IF(H1396="",D1396*F1396,D1396*F1396*H1396)</f>
        <v>0.38</v>
      </c>
      <c r="J1396" s="94"/>
      <c r="K1396" s="94"/>
      <c r="L1396" s="94"/>
      <c r="M1396" s="94"/>
      <c r="N1396" s="94"/>
      <c r="O1396" s="93"/>
    </row>
    <row r="1397" spans="1:15" x14ac:dyDescent="0.25">
      <c r="A1397" s="98"/>
      <c r="B1397" s="95"/>
      <c r="C1397" s="95"/>
      <c r="D1397" s="95"/>
      <c r="E1397" s="95"/>
      <c r="F1397" s="95"/>
      <c r="G1397" s="95"/>
      <c r="H1397" s="1448" t="s">
        <v>58</v>
      </c>
      <c r="I1397" s="1447">
        <f>SUM(I1393:I1396)</f>
        <v>2.8460000000000001</v>
      </c>
      <c r="J1397" s="95"/>
      <c r="K1397" s="95"/>
      <c r="L1397" s="95"/>
      <c r="M1397" s="95"/>
      <c r="N1397" s="95"/>
      <c r="O1397" s="93"/>
    </row>
    <row r="1398" spans="1:15" x14ac:dyDescent="0.25">
      <c r="A1398" s="107"/>
      <c r="B1398" s="94"/>
      <c r="C1398" s="94"/>
      <c r="D1398" s="94"/>
      <c r="E1398" s="94"/>
      <c r="F1398" s="94"/>
      <c r="G1398" s="94"/>
      <c r="H1398" s="94"/>
      <c r="I1398" s="99"/>
      <c r="J1398" s="94"/>
      <c r="K1398" s="94"/>
      <c r="L1398" s="94"/>
      <c r="M1398" s="94"/>
      <c r="N1398" s="94"/>
      <c r="O1398" s="93"/>
    </row>
    <row r="1399" spans="1:15" ht="15.75" thickBot="1" x14ac:dyDescent="0.3">
      <c r="A1399" s="92"/>
      <c r="B1399" s="91"/>
      <c r="C1399" s="91"/>
      <c r="D1399" s="91"/>
      <c r="E1399" s="91"/>
      <c r="F1399" s="91"/>
      <c r="G1399" s="91"/>
      <c r="H1399" s="91"/>
      <c r="I1399" s="91"/>
      <c r="J1399" s="91"/>
      <c r="K1399" s="91"/>
      <c r="L1399" s="91"/>
      <c r="M1399" s="91"/>
      <c r="N1399" s="91"/>
      <c r="O1399" s="90"/>
    </row>
    <row r="1400" spans="1:15" ht="15.75" thickBot="1" x14ac:dyDescent="0.3"/>
    <row r="1401" spans="1:15" x14ac:dyDescent="0.25">
      <c r="A1401" s="141"/>
      <c r="B1401" s="140"/>
      <c r="C1401" s="140"/>
      <c r="D1401" s="140"/>
      <c r="E1401" s="140"/>
      <c r="F1401" s="140"/>
      <c r="G1401" s="140"/>
      <c r="H1401" s="140"/>
      <c r="I1401" s="140"/>
      <c r="J1401" s="272"/>
      <c r="K1401" s="140"/>
      <c r="L1401" s="140"/>
      <c r="M1401" s="140"/>
      <c r="N1401" s="140"/>
      <c r="O1401" s="139"/>
    </row>
    <row r="1402" spans="1:15" x14ac:dyDescent="0.25">
      <c r="A1402" s="1454" t="s">
        <v>57</v>
      </c>
      <c r="B1402" s="133" t="s">
        <v>523</v>
      </c>
      <c r="C1402" s="94"/>
      <c r="D1402" s="94"/>
      <c r="E1402" s="94"/>
      <c r="F1402" s="94"/>
      <c r="G1402" s="94"/>
      <c r="H1402" s="94"/>
      <c r="I1402" s="94"/>
      <c r="J1402" s="1456" t="s">
        <v>51</v>
      </c>
      <c r="K1402" s="138">
        <v>81</v>
      </c>
      <c r="L1402" s="94"/>
      <c r="M1402" s="1454" t="s">
        <v>113</v>
      </c>
      <c r="N1402" s="100">
        <f>SU_11004_m+SU_11004_p</f>
        <v>1.699657</v>
      </c>
      <c r="O1402" s="93"/>
    </row>
    <row r="1403" spans="1:15" x14ac:dyDescent="0.25">
      <c r="A1403" s="1454" t="s">
        <v>125</v>
      </c>
      <c r="B1403" s="133" t="s">
        <v>5</v>
      </c>
      <c r="C1403" s="94"/>
      <c r="D1403" s="1454" t="s">
        <v>122</v>
      </c>
      <c r="E1403" s="94"/>
      <c r="F1403" s="94"/>
      <c r="G1403" s="94"/>
      <c r="H1403" s="94"/>
      <c r="I1403" s="94"/>
      <c r="J1403" s="94"/>
      <c r="K1403" s="94"/>
      <c r="L1403" s="94"/>
      <c r="M1403" s="1454" t="s">
        <v>124</v>
      </c>
      <c r="N1403" s="136">
        <v>1</v>
      </c>
      <c r="O1403" s="93"/>
    </row>
    <row r="1404" spans="1:15" x14ac:dyDescent="0.25">
      <c r="A1404" s="1454" t="s">
        <v>123</v>
      </c>
      <c r="B1404" s="270" t="str">
        <f>'SU Assemblies'!B541</f>
        <v>Front upright assembly</v>
      </c>
      <c r="C1404" s="94"/>
      <c r="D1404" s="1454" t="s">
        <v>119</v>
      </c>
      <c r="E1404" s="94"/>
      <c r="F1404" s="94"/>
      <c r="G1404" s="94"/>
      <c r="H1404" s="94"/>
      <c r="I1404" s="94"/>
      <c r="J1404" s="1455" t="s">
        <v>122</v>
      </c>
      <c r="K1404" s="94"/>
      <c r="L1404" s="94"/>
      <c r="M1404" s="94"/>
      <c r="N1404" s="94"/>
      <c r="O1404" s="93"/>
    </row>
    <row r="1405" spans="1:15" x14ac:dyDescent="0.25">
      <c r="A1405" s="1454" t="s">
        <v>114</v>
      </c>
      <c r="B1405" s="135" t="s">
        <v>2494</v>
      </c>
      <c r="C1405" s="94"/>
      <c r="D1405" s="1454" t="s">
        <v>116</v>
      </c>
      <c r="E1405" s="94"/>
      <c r="F1405" s="94"/>
      <c r="G1405" s="94"/>
      <c r="H1405" s="94"/>
      <c r="I1405" s="94"/>
      <c r="J1405" s="1455" t="s">
        <v>119</v>
      </c>
      <c r="K1405" s="94"/>
      <c r="L1405" s="94"/>
      <c r="M1405" s="1454" t="s">
        <v>118</v>
      </c>
      <c r="N1405" s="100">
        <f>N1403*N1402</f>
        <v>1.699657</v>
      </c>
      <c r="O1405" s="93"/>
    </row>
    <row r="1406" spans="1:15" x14ac:dyDescent="0.25">
      <c r="A1406" s="1454" t="s">
        <v>121</v>
      </c>
      <c r="B1406" s="269" t="s">
        <v>2518</v>
      </c>
      <c r="C1406" s="94"/>
      <c r="D1406" s="94"/>
      <c r="E1406" s="94"/>
      <c r="F1406" s="94"/>
      <c r="G1406" s="94"/>
      <c r="H1406" s="94"/>
      <c r="I1406" s="94"/>
      <c r="J1406" s="1455" t="s">
        <v>116</v>
      </c>
      <c r="K1406" s="94"/>
      <c r="L1406" s="94"/>
      <c r="M1406" s="94"/>
      <c r="N1406" s="94"/>
      <c r="O1406" s="93"/>
    </row>
    <row r="1407" spans="1:15" x14ac:dyDescent="0.25">
      <c r="A1407" s="1454" t="s">
        <v>117</v>
      </c>
      <c r="B1407" s="133" t="s">
        <v>23</v>
      </c>
      <c r="C1407" s="94"/>
      <c r="D1407" s="94"/>
      <c r="E1407" s="94"/>
      <c r="F1407" s="94"/>
      <c r="G1407" s="94"/>
      <c r="H1407" s="94"/>
      <c r="I1407" s="94"/>
      <c r="J1407" s="94"/>
      <c r="K1407" s="94"/>
      <c r="L1407" s="94"/>
      <c r="M1407" s="94"/>
      <c r="N1407" s="94"/>
      <c r="O1407" s="93"/>
    </row>
    <row r="1408" spans="1:15" x14ac:dyDescent="0.25">
      <c r="A1408" s="1454" t="s">
        <v>115</v>
      </c>
      <c r="B1408" s="133" t="s">
        <v>2496</v>
      </c>
      <c r="C1408" s="94"/>
      <c r="D1408" s="94"/>
      <c r="E1408" s="94"/>
      <c r="F1408" s="94"/>
      <c r="G1408" s="94"/>
      <c r="H1408" s="94"/>
      <c r="I1408" s="94"/>
      <c r="J1408" s="94"/>
      <c r="K1408" s="94"/>
      <c r="L1408" s="94"/>
      <c r="M1408" s="94"/>
      <c r="N1408" s="94"/>
      <c r="O1408" s="93"/>
    </row>
    <row r="1409" spans="1:15" x14ac:dyDescent="0.25">
      <c r="A1409" s="266"/>
      <c r="B1409" s="265"/>
      <c r="C1409" s="265"/>
      <c r="D1409" s="265"/>
      <c r="E1409" s="265"/>
      <c r="F1409" s="94"/>
      <c r="G1409" s="94"/>
      <c r="H1409" s="94"/>
      <c r="I1409" s="94"/>
      <c r="J1409" s="94"/>
      <c r="K1409" s="94"/>
      <c r="L1409" s="94"/>
      <c r="M1409" s="94"/>
      <c r="N1409" s="94"/>
      <c r="O1409" s="93"/>
    </row>
    <row r="1410" spans="1:15" x14ac:dyDescent="0.25">
      <c r="A1410" s="1453" t="s">
        <v>67</v>
      </c>
      <c r="B1410" s="1452" t="s">
        <v>112</v>
      </c>
      <c r="C1410" s="1452" t="s">
        <v>66</v>
      </c>
      <c r="D1410" s="1452" t="s">
        <v>65</v>
      </c>
      <c r="E1410" s="1452" t="s">
        <v>81</v>
      </c>
      <c r="F1410" s="1465" t="s">
        <v>80</v>
      </c>
      <c r="G1410" s="1465" t="s">
        <v>79</v>
      </c>
      <c r="H1410" s="1465" t="s">
        <v>78</v>
      </c>
      <c r="I1410" s="1465" t="s">
        <v>111</v>
      </c>
      <c r="J1410" s="1465" t="s">
        <v>110</v>
      </c>
      <c r="K1410" s="1465" t="s">
        <v>109</v>
      </c>
      <c r="L1410" s="1465" t="s">
        <v>108</v>
      </c>
      <c r="M1410" s="1465" t="s">
        <v>40</v>
      </c>
      <c r="N1410" s="1465" t="s">
        <v>58</v>
      </c>
      <c r="O1410" s="93"/>
    </row>
    <row r="1411" spans="1:15" ht="30" x14ac:dyDescent="0.25">
      <c r="A1411" s="1458">
        <v>10</v>
      </c>
      <c r="B1411" s="1475" t="s">
        <v>852</v>
      </c>
      <c r="C1411" s="1460" t="s">
        <v>2494</v>
      </c>
      <c r="D1411" s="1459">
        <v>4.2</v>
      </c>
      <c r="E1411" s="1479">
        <v>30</v>
      </c>
      <c r="F1411" s="1458" t="s">
        <v>68</v>
      </c>
      <c r="G1411" s="1458">
        <v>15</v>
      </c>
      <c r="H1411" s="1470" t="s">
        <v>68</v>
      </c>
      <c r="I1411" s="1473" t="s">
        <v>2517</v>
      </c>
      <c r="J1411" s="1476">
        <f>30*15/1000000</f>
        <v>4.4999999999999999E-4</v>
      </c>
      <c r="K1411" s="1471">
        <v>0.03</v>
      </c>
      <c r="L1411" s="1470">
        <v>2710</v>
      </c>
      <c r="M1411" s="1469">
        <v>1</v>
      </c>
      <c r="N1411" s="1468">
        <f>IF(J1411="",D1411*M1411,D1411*J1411*K1411*L1411*M1411)</f>
        <v>0.15365699999999999</v>
      </c>
      <c r="O1411" s="143"/>
    </row>
    <row r="1412" spans="1:15" x14ac:dyDescent="0.25">
      <c r="A1412" s="98"/>
      <c r="B1412" s="95"/>
      <c r="C1412" s="95"/>
      <c r="D1412" s="95"/>
      <c r="E1412" s="95"/>
      <c r="F1412" s="95"/>
      <c r="G1412" s="95"/>
      <c r="H1412" s="95"/>
      <c r="I1412" s="95"/>
      <c r="J1412" s="95"/>
      <c r="K1412" s="95"/>
      <c r="L1412" s="95"/>
      <c r="M1412" s="1467" t="s">
        <v>58</v>
      </c>
      <c r="N1412" s="1447">
        <f>SUM(N1411:N1411)</f>
        <v>0.15365699999999999</v>
      </c>
      <c r="O1412" s="93"/>
    </row>
    <row r="1413" spans="1:15" x14ac:dyDescent="0.25">
      <c r="A1413" s="107"/>
      <c r="B1413" s="94"/>
      <c r="C1413" s="94"/>
      <c r="D1413" s="94"/>
      <c r="E1413" s="94"/>
      <c r="F1413" s="94"/>
      <c r="G1413" s="94"/>
      <c r="H1413" s="94"/>
      <c r="I1413" s="94"/>
      <c r="J1413" s="94"/>
      <c r="K1413" s="94"/>
      <c r="L1413" s="94"/>
      <c r="M1413" s="94"/>
      <c r="N1413" s="94"/>
      <c r="O1413" s="93"/>
    </row>
    <row r="1414" spans="1:15" x14ac:dyDescent="0.25">
      <c r="A1414" s="1466" t="s">
        <v>67</v>
      </c>
      <c r="B1414" s="1465" t="s">
        <v>106</v>
      </c>
      <c r="C1414" s="1465" t="s">
        <v>66</v>
      </c>
      <c r="D1414" s="1465" t="s">
        <v>65</v>
      </c>
      <c r="E1414" s="1465" t="s">
        <v>64</v>
      </c>
      <c r="F1414" s="1465" t="s">
        <v>40</v>
      </c>
      <c r="G1414" s="1465" t="s">
        <v>105</v>
      </c>
      <c r="H1414" s="1465" t="s">
        <v>104</v>
      </c>
      <c r="I1414" s="1465" t="s">
        <v>58</v>
      </c>
      <c r="J1414" s="95"/>
      <c r="K1414" s="95"/>
      <c r="L1414" s="95"/>
      <c r="M1414" s="95"/>
      <c r="N1414" s="95"/>
      <c r="O1414" s="93"/>
    </row>
    <row r="1415" spans="1:15" ht="30" x14ac:dyDescent="0.25">
      <c r="A1415" s="1458">
        <v>10</v>
      </c>
      <c r="B1415" s="1461" t="s">
        <v>516</v>
      </c>
      <c r="C1415" s="1463" t="s">
        <v>802</v>
      </c>
      <c r="D1415" s="1459">
        <v>1.3</v>
      </c>
      <c r="E1415" s="1458"/>
      <c r="F1415" s="1458">
        <v>1</v>
      </c>
      <c r="G1415" s="1458"/>
      <c r="H1415" s="1458"/>
      <c r="I1415" s="1462">
        <f>IF(H1415="",D1415*F1415,D1415*F1415*H1415)</f>
        <v>1.3</v>
      </c>
      <c r="J1415" s="142"/>
      <c r="K1415" s="142"/>
      <c r="L1415" s="142"/>
      <c r="M1415" s="142"/>
      <c r="N1415" s="142"/>
      <c r="O1415" s="120"/>
    </row>
    <row r="1416" spans="1:15" ht="30" x14ac:dyDescent="0.25">
      <c r="A1416" s="1457">
        <v>20</v>
      </c>
      <c r="B1416" s="1461" t="s">
        <v>541</v>
      </c>
      <c r="C1416" s="1460" t="s">
        <v>2494</v>
      </c>
      <c r="D1416" s="1459">
        <v>0.01</v>
      </c>
      <c r="E1416" s="1458" t="s">
        <v>101</v>
      </c>
      <c r="F1416" s="1458">
        <v>24.6</v>
      </c>
      <c r="G1416" s="1461" t="s">
        <v>870</v>
      </c>
      <c r="H1416" s="1458">
        <v>1</v>
      </c>
      <c r="I1416" s="1462">
        <f>IF(H1416="",D1416*F1416,D1416*F1416*H1416)</f>
        <v>0.24600000000000002</v>
      </c>
      <c r="J1416" s="94"/>
      <c r="K1416" s="94"/>
      <c r="L1416" s="94"/>
      <c r="M1416" s="94"/>
      <c r="N1416" s="94"/>
      <c r="O1416" s="93"/>
    </row>
    <row r="1417" spans="1:15" x14ac:dyDescent="0.25">
      <c r="A1417" s="98"/>
      <c r="B1417" s="95"/>
      <c r="C1417" s="95"/>
      <c r="D1417" s="95"/>
      <c r="E1417" s="95"/>
      <c r="F1417" s="95"/>
      <c r="G1417" s="95"/>
      <c r="H1417" s="1448" t="s">
        <v>58</v>
      </c>
      <c r="I1417" s="1447">
        <f>SUM(I1415:I1416)</f>
        <v>1.546</v>
      </c>
      <c r="J1417" s="95"/>
      <c r="K1417" s="95"/>
      <c r="L1417" s="95"/>
      <c r="M1417" s="95"/>
      <c r="N1417" s="95"/>
      <c r="O1417" s="93"/>
    </row>
    <row r="1418" spans="1:15" x14ac:dyDescent="0.25">
      <c r="A1418" s="107"/>
      <c r="B1418" s="94"/>
      <c r="C1418" s="94"/>
      <c r="D1418" s="94"/>
      <c r="E1418" s="94"/>
      <c r="F1418" s="94"/>
      <c r="G1418" s="94"/>
      <c r="H1418" s="94"/>
      <c r="I1418" s="99"/>
      <c r="J1418" s="94"/>
      <c r="K1418" s="94"/>
      <c r="L1418" s="94"/>
      <c r="M1418" s="94"/>
      <c r="N1418" s="94"/>
      <c r="O1418" s="93"/>
    </row>
    <row r="1419" spans="1:15" ht="15.75" thickBot="1" x14ac:dyDescent="0.3">
      <c r="A1419" s="92"/>
      <c r="B1419" s="91"/>
      <c r="C1419" s="91"/>
      <c r="D1419" s="91"/>
      <c r="E1419" s="91"/>
      <c r="F1419" s="91"/>
      <c r="G1419" s="91"/>
      <c r="H1419" s="91"/>
      <c r="I1419" s="91"/>
      <c r="J1419" s="91"/>
      <c r="K1419" s="91"/>
      <c r="L1419" s="91"/>
      <c r="M1419" s="91"/>
      <c r="N1419" s="91"/>
      <c r="O1419" s="90"/>
    </row>
    <row r="1420" spans="1:15" ht="15.75" thickBot="1" x14ac:dyDescent="0.3"/>
    <row r="1421" spans="1:15" x14ac:dyDescent="0.25">
      <c r="A1421" s="141"/>
      <c r="B1421" s="140"/>
      <c r="C1421" s="140"/>
      <c r="D1421" s="140"/>
      <c r="E1421" s="140"/>
      <c r="F1421" s="140"/>
      <c r="G1421" s="140"/>
      <c r="H1421" s="140"/>
      <c r="I1421" s="140"/>
      <c r="J1421" s="272"/>
      <c r="K1421" s="140"/>
      <c r="L1421" s="140"/>
      <c r="M1421" s="140"/>
      <c r="N1421" s="140"/>
      <c r="O1421" s="139"/>
    </row>
    <row r="1422" spans="1:15" x14ac:dyDescent="0.25">
      <c r="A1422" s="1454" t="s">
        <v>57</v>
      </c>
      <c r="B1422" s="133" t="s">
        <v>523</v>
      </c>
      <c r="C1422" s="94"/>
      <c r="D1422" s="94"/>
      <c r="E1422" s="94"/>
      <c r="F1422" s="94"/>
      <c r="G1422" s="94"/>
      <c r="H1422" s="94"/>
      <c r="I1422" s="94"/>
      <c r="J1422" s="1456" t="s">
        <v>51</v>
      </c>
      <c r="K1422" s="138">
        <v>81</v>
      </c>
      <c r="L1422" s="94"/>
      <c r="M1422" s="1454" t="s">
        <v>113</v>
      </c>
      <c r="N1422" s="100">
        <f>SU_11005_m+SU_11005_p</f>
        <v>1.342501421761888</v>
      </c>
      <c r="O1422" s="93"/>
    </row>
    <row r="1423" spans="1:15" x14ac:dyDescent="0.25">
      <c r="A1423" s="1454" t="s">
        <v>125</v>
      </c>
      <c r="B1423" s="133" t="s">
        <v>5</v>
      </c>
      <c r="C1423" s="94"/>
      <c r="D1423" s="1454" t="s">
        <v>122</v>
      </c>
      <c r="E1423" s="94"/>
      <c r="F1423" s="94"/>
      <c r="G1423" s="94"/>
      <c r="H1423" s="94"/>
      <c r="I1423" s="94"/>
      <c r="J1423" s="94"/>
      <c r="K1423" s="94"/>
      <c r="L1423" s="94"/>
      <c r="M1423" s="1454" t="s">
        <v>124</v>
      </c>
      <c r="N1423" s="136">
        <v>2</v>
      </c>
      <c r="O1423" s="93"/>
    </row>
    <row r="1424" spans="1:15" x14ac:dyDescent="0.25">
      <c r="A1424" s="1454" t="s">
        <v>123</v>
      </c>
      <c r="B1424" s="270" t="str">
        <f>'SU Assemblies'!B541</f>
        <v>Front upright assembly</v>
      </c>
      <c r="C1424" s="94"/>
      <c r="D1424" s="1454" t="s">
        <v>119</v>
      </c>
      <c r="E1424" s="94"/>
      <c r="F1424" s="94"/>
      <c r="G1424" s="94"/>
      <c r="H1424" s="94"/>
      <c r="I1424" s="94"/>
      <c r="J1424" s="1455" t="s">
        <v>122</v>
      </c>
      <c r="K1424" s="94"/>
      <c r="L1424" s="94"/>
      <c r="M1424" s="94"/>
      <c r="N1424" s="94"/>
      <c r="O1424" s="93"/>
    </row>
    <row r="1425" spans="1:15" x14ac:dyDescent="0.25">
      <c r="A1425" s="1454" t="s">
        <v>114</v>
      </c>
      <c r="B1425" s="135" t="s">
        <v>2493</v>
      </c>
      <c r="C1425" s="94"/>
      <c r="D1425" s="1454" t="s">
        <v>116</v>
      </c>
      <c r="E1425" s="94"/>
      <c r="F1425" s="94"/>
      <c r="G1425" s="94"/>
      <c r="H1425" s="94"/>
      <c r="I1425" s="94"/>
      <c r="J1425" s="1455" t="s">
        <v>119</v>
      </c>
      <c r="K1425" s="94"/>
      <c r="L1425" s="94"/>
      <c r="M1425" s="1454" t="s">
        <v>118</v>
      </c>
      <c r="N1425" s="100">
        <f>N1423*N1422</f>
        <v>2.6850028435237761</v>
      </c>
      <c r="O1425" s="93"/>
    </row>
    <row r="1426" spans="1:15" x14ac:dyDescent="0.25">
      <c r="A1426" s="1454" t="s">
        <v>121</v>
      </c>
      <c r="B1426" s="269" t="s">
        <v>2516</v>
      </c>
      <c r="C1426" s="94"/>
      <c r="D1426" s="94"/>
      <c r="E1426" s="94"/>
      <c r="F1426" s="94"/>
      <c r="G1426" s="94"/>
      <c r="H1426" s="94"/>
      <c r="I1426" s="94"/>
      <c r="J1426" s="1455" t="s">
        <v>116</v>
      </c>
      <c r="K1426" s="94"/>
      <c r="L1426" s="94"/>
      <c r="M1426" s="94"/>
      <c r="N1426" s="94"/>
      <c r="O1426" s="93"/>
    </row>
    <row r="1427" spans="1:15" x14ac:dyDescent="0.25">
      <c r="A1427" s="1454" t="s">
        <v>117</v>
      </c>
      <c r="B1427" s="133" t="s">
        <v>23</v>
      </c>
      <c r="C1427" s="94"/>
      <c r="D1427" s="94"/>
      <c r="E1427" s="94"/>
      <c r="F1427" s="94"/>
      <c r="G1427" s="94"/>
      <c r="H1427" s="94"/>
      <c r="I1427" s="94"/>
      <c r="J1427" s="94"/>
      <c r="K1427" s="94"/>
      <c r="L1427" s="94"/>
      <c r="M1427" s="94"/>
      <c r="N1427" s="94"/>
      <c r="O1427" s="93"/>
    </row>
    <row r="1428" spans="1:15" x14ac:dyDescent="0.25">
      <c r="A1428" s="1454" t="s">
        <v>115</v>
      </c>
      <c r="B1428" s="133" t="s">
        <v>2489</v>
      </c>
      <c r="C1428" s="94"/>
      <c r="D1428" s="94"/>
      <c r="E1428" s="94"/>
      <c r="F1428" s="94"/>
      <c r="G1428" s="94"/>
      <c r="H1428" s="94"/>
      <c r="I1428" s="94"/>
      <c r="J1428" s="94"/>
      <c r="K1428" s="94"/>
      <c r="L1428" s="94"/>
      <c r="M1428" s="94"/>
      <c r="N1428" s="94"/>
      <c r="O1428" s="93"/>
    </row>
    <row r="1429" spans="1:15" x14ac:dyDescent="0.25">
      <c r="A1429" s="266"/>
      <c r="B1429" s="265"/>
      <c r="C1429" s="265"/>
      <c r="D1429" s="265"/>
      <c r="E1429" s="265"/>
      <c r="F1429" s="94"/>
      <c r="G1429" s="94"/>
      <c r="H1429" s="94"/>
      <c r="I1429" s="94"/>
      <c r="J1429" s="94"/>
      <c r="K1429" s="94"/>
      <c r="L1429" s="94"/>
      <c r="M1429" s="94"/>
      <c r="N1429" s="94"/>
      <c r="O1429" s="93"/>
    </row>
    <row r="1430" spans="1:15" x14ac:dyDescent="0.25">
      <c r="A1430" s="1453" t="s">
        <v>67</v>
      </c>
      <c r="B1430" s="1452" t="s">
        <v>112</v>
      </c>
      <c r="C1430" s="1452" t="s">
        <v>66</v>
      </c>
      <c r="D1430" s="1452" t="s">
        <v>65</v>
      </c>
      <c r="E1430" s="1452" t="s">
        <v>81</v>
      </c>
      <c r="F1430" s="1465" t="s">
        <v>80</v>
      </c>
      <c r="G1430" s="1465" t="s">
        <v>79</v>
      </c>
      <c r="H1430" s="1465" t="s">
        <v>78</v>
      </c>
      <c r="I1430" s="1465" t="s">
        <v>111</v>
      </c>
      <c r="J1430" s="1465" t="s">
        <v>110</v>
      </c>
      <c r="K1430" s="1465" t="s">
        <v>109</v>
      </c>
      <c r="L1430" s="1465" t="s">
        <v>108</v>
      </c>
      <c r="M1430" s="1465" t="s">
        <v>40</v>
      </c>
      <c r="N1430" s="1465" t="s">
        <v>58</v>
      </c>
      <c r="O1430" s="93"/>
    </row>
    <row r="1431" spans="1:15" ht="30" x14ac:dyDescent="0.25">
      <c r="A1431" s="1458">
        <v>10</v>
      </c>
      <c r="B1431" s="1460" t="s">
        <v>729</v>
      </c>
      <c r="C1431" s="1458" t="s">
        <v>2488</v>
      </c>
      <c r="D1431" s="1459">
        <v>2.25</v>
      </c>
      <c r="E1431" s="1479">
        <v>18</v>
      </c>
      <c r="F1431" s="1458" t="s">
        <v>68</v>
      </c>
      <c r="G1431" s="1458"/>
      <c r="H1431" s="1470"/>
      <c r="I1431" s="1473" t="s">
        <v>2487</v>
      </c>
      <c r="J1431" s="1472">
        <f>(PI()*0.018*0.018)/4</f>
        <v>2.5446900494077322E-4</v>
      </c>
      <c r="K1431" s="1471">
        <v>5.0000000000000001E-3</v>
      </c>
      <c r="L1431" s="1470">
        <v>7860</v>
      </c>
      <c r="M1431" s="1469">
        <v>1</v>
      </c>
      <c r="N1431" s="1468">
        <f>IF(J1431="",D1431*M1431,D1431*J1431*K1431*L1431*M1431)</f>
        <v>2.2501421761887873E-2</v>
      </c>
      <c r="O1431" s="143"/>
    </row>
    <row r="1432" spans="1:15" x14ac:dyDescent="0.25">
      <c r="A1432" s="98"/>
      <c r="B1432" s="95"/>
      <c r="C1432" s="95"/>
      <c r="D1432" s="95"/>
      <c r="E1432" s="95"/>
      <c r="F1432" s="95"/>
      <c r="G1432" s="95"/>
      <c r="H1432" s="95"/>
      <c r="I1432" s="95"/>
      <c r="J1432" s="95"/>
      <c r="K1432" s="95"/>
      <c r="L1432" s="95"/>
      <c r="M1432" s="1467" t="s">
        <v>58</v>
      </c>
      <c r="N1432" s="1447">
        <f>SUM(N1431:N1431)</f>
        <v>2.2501421761887873E-2</v>
      </c>
      <c r="O1432" s="93"/>
    </row>
    <row r="1433" spans="1:15" x14ac:dyDescent="0.25">
      <c r="A1433" s="107"/>
      <c r="B1433" s="94"/>
      <c r="C1433" s="94"/>
      <c r="D1433" s="94"/>
      <c r="E1433" s="94"/>
      <c r="F1433" s="94"/>
      <c r="G1433" s="94"/>
      <c r="H1433" s="94"/>
      <c r="I1433" s="94"/>
      <c r="J1433" s="94"/>
      <c r="K1433" s="94"/>
      <c r="L1433" s="94"/>
      <c r="M1433" s="94"/>
      <c r="N1433" s="94"/>
      <c r="O1433" s="93"/>
    </row>
    <row r="1434" spans="1:15" x14ac:dyDescent="0.25">
      <c r="A1434" s="1466" t="s">
        <v>67</v>
      </c>
      <c r="B1434" s="1465" t="s">
        <v>106</v>
      </c>
      <c r="C1434" s="1465" t="s">
        <v>66</v>
      </c>
      <c r="D1434" s="1465" t="s">
        <v>65</v>
      </c>
      <c r="E1434" s="1465" t="s">
        <v>64</v>
      </c>
      <c r="F1434" s="1465" t="s">
        <v>40</v>
      </c>
      <c r="G1434" s="1465" t="s">
        <v>105</v>
      </c>
      <c r="H1434" s="1465" t="s">
        <v>104</v>
      </c>
      <c r="I1434" s="1465" t="s">
        <v>58</v>
      </c>
      <c r="J1434" s="95"/>
      <c r="K1434" s="95"/>
      <c r="L1434" s="95"/>
      <c r="M1434" s="95"/>
      <c r="N1434" s="95"/>
      <c r="O1434" s="93"/>
    </row>
    <row r="1435" spans="1:15" ht="30" x14ac:dyDescent="0.25">
      <c r="A1435" s="1458">
        <v>10</v>
      </c>
      <c r="B1435" s="1461" t="s">
        <v>516</v>
      </c>
      <c r="C1435" s="1463"/>
      <c r="D1435" s="1459">
        <v>1.3</v>
      </c>
      <c r="E1435" s="1458"/>
      <c r="F1435" s="1458">
        <v>1</v>
      </c>
      <c r="G1435" s="1458"/>
      <c r="H1435" s="1458"/>
      <c r="I1435" s="1462">
        <f>IF(H1435="",D1435*F1435,D1435*F1435*H1435)</f>
        <v>1.3</v>
      </c>
      <c r="J1435" s="142"/>
      <c r="K1435" s="142"/>
      <c r="L1435" s="142"/>
      <c r="M1435" s="142"/>
      <c r="N1435" s="142"/>
      <c r="O1435" s="120"/>
    </row>
    <row r="1436" spans="1:15" ht="30" x14ac:dyDescent="0.25">
      <c r="A1436" s="1458">
        <v>20</v>
      </c>
      <c r="B1436" s="1461" t="s">
        <v>514</v>
      </c>
      <c r="C1436" s="1463"/>
      <c r="D1436" s="1459">
        <v>0.04</v>
      </c>
      <c r="E1436" s="1458" t="s">
        <v>512</v>
      </c>
      <c r="F1436" s="1458">
        <v>0.5</v>
      </c>
      <c r="G1436" s="1461" t="s">
        <v>870</v>
      </c>
      <c r="H1436" s="1458">
        <v>1</v>
      </c>
      <c r="I1436" s="1462">
        <f>IF(H1436="",D1436*F1436,D1436*F1436*H1436)</f>
        <v>0.02</v>
      </c>
      <c r="J1436" s="94"/>
      <c r="K1436" s="94"/>
      <c r="L1436" s="94"/>
      <c r="M1436" s="94"/>
      <c r="N1436" s="94"/>
      <c r="O1436" s="93"/>
    </row>
    <row r="1437" spans="1:15" x14ac:dyDescent="0.25">
      <c r="A1437" s="98"/>
      <c r="B1437" s="95"/>
      <c r="C1437" s="95"/>
      <c r="D1437" s="95"/>
      <c r="E1437" s="95"/>
      <c r="F1437" s="95"/>
      <c r="G1437" s="95"/>
      <c r="H1437" s="1448" t="s">
        <v>58</v>
      </c>
      <c r="I1437" s="1447">
        <f>SUM(I1435:I1436)</f>
        <v>1.32</v>
      </c>
      <c r="J1437" s="95"/>
      <c r="K1437" s="95"/>
      <c r="L1437" s="95"/>
      <c r="M1437" s="95"/>
      <c r="N1437" s="95"/>
      <c r="O1437" s="93"/>
    </row>
    <row r="1438" spans="1:15" x14ac:dyDescent="0.25">
      <c r="A1438" s="107"/>
      <c r="B1438" s="94"/>
      <c r="C1438" s="94"/>
      <c r="D1438" s="94"/>
      <c r="E1438" s="94"/>
      <c r="F1438" s="94"/>
      <c r="G1438" s="94"/>
      <c r="H1438" s="94"/>
      <c r="I1438" s="99"/>
      <c r="J1438" s="94"/>
      <c r="K1438" s="94"/>
      <c r="L1438" s="94"/>
      <c r="M1438" s="94"/>
      <c r="N1438" s="94"/>
      <c r="O1438" s="93"/>
    </row>
    <row r="1439" spans="1:15" ht="15.75" thickBot="1" x14ac:dyDescent="0.3">
      <c r="A1439" s="92"/>
      <c r="B1439" s="91"/>
      <c r="C1439" s="91"/>
      <c r="D1439" s="91"/>
      <c r="E1439" s="91"/>
      <c r="F1439" s="91"/>
      <c r="G1439" s="91"/>
      <c r="H1439" s="91"/>
      <c r="I1439" s="91"/>
      <c r="J1439" s="91"/>
      <c r="K1439" s="91"/>
      <c r="L1439" s="91"/>
      <c r="M1439" s="91"/>
      <c r="N1439" s="91"/>
      <c r="O1439" s="90"/>
    </row>
    <row r="1440" spans="1:15" ht="15.75" thickBot="1" x14ac:dyDescent="0.3"/>
    <row r="1441" spans="1:15" x14ac:dyDescent="0.25">
      <c r="A1441" s="141"/>
      <c r="B1441" s="140"/>
      <c r="C1441" s="140"/>
      <c r="D1441" s="140"/>
      <c r="E1441" s="140"/>
      <c r="F1441" s="140"/>
      <c r="G1441" s="140"/>
      <c r="H1441" s="140"/>
      <c r="I1441" s="140"/>
      <c r="J1441" s="272"/>
      <c r="K1441" s="140"/>
      <c r="L1441" s="140"/>
      <c r="M1441" s="140"/>
      <c r="N1441" s="140"/>
      <c r="O1441" s="139"/>
    </row>
    <row r="1442" spans="1:15" x14ac:dyDescent="0.25">
      <c r="A1442" s="1454" t="s">
        <v>57</v>
      </c>
      <c r="B1442" s="133" t="s">
        <v>523</v>
      </c>
      <c r="C1442" s="94"/>
      <c r="D1442" s="94"/>
      <c r="E1442" s="94"/>
      <c r="F1442" s="94"/>
      <c r="G1442" s="94"/>
      <c r="H1442" s="94"/>
      <c r="I1442" s="94"/>
      <c r="J1442" s="1456" t="s">
        <v>51</v>
      </c>
      <c r="K1442" s="138">
        <v>81</v>
      </c>
      <c r="L1442" s="94"/>
      <c r="M1442" s="1454" t="s">
        <v>113</v>
      </c>
      <c r="N1442" s="100">
        <f>SU_11006_m+SU_11006_p</f>
        <v>1.3895031278761534</v>
      </c>
      <c r="O1442" s="93"/>
    </row>
    <row r="1443" spans="1:15" x14ac:dyDescent="0.25">
      <c r="A1443" s="1454" t="s">
        <v>125</v>
      </c>
      <c r="B1443" s="133" t="s">
        <v>5</v>
      </c>
      <c r="C1443" s="94"/>
      <c r="D1443" s="1454" t="s">
        <v>122</v>
      </c>
      <c r="E1443" s="94"/>
      <c r="F1443" s="94"/>
      <c r="G1443" s="94"/>
      <c r="H1443" s="94"/>
      <c r="I1443" s="94"/>
      <c r="J1443" s="94"/>
      <c r="K1443" s="94"/>
      <c r="L1443" s="94"/>
      <c r="M1443" s="1454" t="s">
        <v>124</v>
      </c>
      <c r="N1443" s="136">
        <v>2</v>
      </c>
      <c r="O1443" s="93"/>
    </row>
    <row r="1444" spans="1:15" x14ac:dyDescent="0.25">
      <c r="A1444" s="1454" t="s">
        <v>123</v>
      </c>
      <c r="B1444" s="270" t="str">
        <f>'SU Assemblies'!B541</f>
        <v>Front upright assembly</v>
      </c>
      <c r="C1444" s="94"/>
      <c r="D1444" s="1454" t="s">
        <v>119</v>
      </c>
      <c r="E1444" s="94"/>
      <c r="F1444" s="94"/>
      <c r="G1444" s="94"/>
      <c r="H1444" s="94"/>
      <c r="I1444" s="94"/>
      <c r="J1444" s="1455" t="s">
        <v>122</v>
      </c>
      <c r="K1444" s="94"/>
      <c r="L1444" s="94"/>
      <c r="M1444" s="94"/>
      <c r="N1444" s="94"/>
      <c r="O1444" s="93"/>
    </row>
    <row r="1445" spans="1:15" x14ac:dyDescent="0.25">
      <c r="A1445" s="1454" t="s">
        <v>114</v>
      </c>
      <c r="B1445" s="135" t="s">
        <v>2491</v>
      </c>
      <c r="C1445" s="94"/>
      <c r="D1445" s="1454" t="s">
        <v>116</v>
      </c>
      <c r="E1445" s="94"/>
      <c r="F1445" s="94"/>
      <c r="G1445" s="94"/>
      <c r="H1445" s="94"/>
      <c r="I1445" s="94"/>
      <c r="J1445" s="1455" t="s">
        <v>119</v>
      </c>
      <c r="K1445" s="94"/>
      <c r="L1445" s="94"/>
      <c r="M1445" s="1454" t="s">
        <v>118</v>
      </c>
      <c r="N1445" s="100">
        <f>N1443*N1442</f>
        <v>2.7790062557523068</v>
      </c>
      <c r="O1445" s="93"/>
    </row>
    <row r="1446" spans="1:15" x14ac:dyDescent="0.25">
      <c r="A1446" s="1454" t="s">
        <v>121</v>
      </c>
      <c r="B1446" s="269" t="s">
        <v>2515</v>
      </c>
      <c r="C1446" s="94"/>
      <c r="D1446" s="94"/>
      <c r="E1446" s="94"/>
      <c r="F1446" s="94"/>
      <c r="G1446" s="94"/>
      <c r="H1446" s="94"/>
      <c r="I1446" s="94"/>
      <c r="J1446" s="1455" t="s">
        <v>116</v>
      </c>
      <c r="K1446" s="94"/>
      <c r="L1446" s="94"/>
      <c r="M1446" s="94"/>
      <c r="N1446" s="94"/>
      <c r="O1446" s="93"/>
    </row>
    <row r="1447" spans="1:15" x14ac:dyDescent="0.25">
      <c r="A1447" s="1454" t="s">
        <v>117</v>
      </c>
      <c r="B1447" s="133" t="s">
        <v>23</v>
      </c>
      <c r="C1447" s="94"/>
      <c r="D1447" s="94"/>
      <c r="E1447" s="94"/>
      <c r="F1447" s="94"/>
      <c r="G1447" s="94"/>
      <c r="H1447" s="94"/>
      <c r="I1447" s="94"/>
      <c r="J1447" s="94"/>
      <c r="K1447" s="94"/>
      <c r="L1447" s="94"/>
      <c r="M1447" s="94"/>
      <c r="N1447" s="94"/>
      <c r="O1447" s="93"/>
    </row>
    <row r="1448" spans="1:15" x14ac:dyDescent="0.25">
      <c r="A1448" s="1454" t="s">
        <v>115</v>
      </c>
      <c r="B1448" s="133" t="s">
        <v>2514</v>
      </c>
      <c r="C1448" s="94"/>
      <c r="D1448" s="94"/>
      <c r="E1448" s="94"/>
      <c r="F1448" s="94"/>
      <c r="G1448" s="94"/>
      <c r="H1448" s="94"/>
      <c r="I1448" s="94"/>
      <c r="J1448" s="94"/>
      <c r="K1448" s="94"/>
      <c r="L1448" s="94"/>
      <c r="M1448" s="94"/>
      <c r="N1448" s="94"/>
      <c r="O1448" s="93"/>
    </row>
    <row r="1449" spans="1:15" x14ac:dyDescent="0.25">
      <c r="A1449" s="266"/>
      <c r="B1449" s="265"/>
      <c r="C1449" s="265"/>
      <c r="D1449" s="265"/>
      <c r="E1449" s="265"/>
      <c r="F1449" s="94"/>
      <c r="G1449" s="94"/>
      <c r="H1449" s="94"/>
      <c r="I1449" s="94"/>
      <c r="J1449" s="94"/>
      <c r="K1449" s="94"/>
      <c r="L1449" s="94"/>
      <c r="M1449" s="94"/>
      <c r="N1449" s="94"/>
      <c r="O1449" s="93"/>
    </row>
    <row r="1450" spans="1:15" x14ac:dyDescent="0.25">
      <c r="A1450" s="1453" t="s">
        <v>67</v>
      </c>
      <c r="B1450" s="1452" t="s">
        <v>112</v>
      </c>
      <c r="C1450" s="1452" t="s">
        <v>66</v>
      </c>
      <c r="D1450" s="1452" t="s">
        <v>65</v>
      </c>
      <c r="E1450" s="1452" t="s">
        <v>81</v>
      </c>
      <c r="F1450" s="1465" t="s">
        <v>80</v>
      </c>
      <c r="G1450" s="1465" t="s">
        <v>79</v>
      </c>
      <c r="H1450" s="1465" t="s">
        <v>78</v>
      </c>
      <c r="I1450" s="1465" t="s">
        <v>111</v>
      </c>
      <c r="J1450" s="1465" t="s">
        <v>110</v>
      </c>
      <c r="K1450" s="1465" t="s">
        <v>109</v>
      </c>
      <c r="L1450" s="1465" t="s">
        <v>108</v>
      </c>
      <c r="M1450" s="1465" t="s">
        <v>40</v>
      </c>
      <c r="N1450" s="1465" t="s">
        <v>58</v>
      </c>
      <c r="O1450" s="93"/>
    </row>
    <row r="1451" spans="1:15" ht="30" x14ac:dyDescent="0.25">
      <c r="A1451" s="1458">
        <v>10</v>
      </c>
      <c r="B1451" s="1460" t="s">
        <v>729</v>
      </c>
      <c r="C1451" s="1458" t="s">
        <v>2488</v>
      </c>
      <c r="D1451" s="1459">
        <v>2.25</v>
      </c>
      <c r="E1451" s="1478">
        <v>18</v>
      </c>
      <c r="F1451" s="1458" t="s">
        <v>68</v>
      </c>
      <c r="G1451" s="1458"/>
      <c r="H1451" s="1470"/>
      <c r="I1451" s="1473" t="s">
        <v>2487</v>
      </c>
      <c r="J1451" s="1472">
        <f>(PI()*0.018*0.018)/4</f>
        <v>2.5446900494077322E-4</v>
      </c>
      <c r="K1451" s="1471">
        <v>1.0999999999999999E-2</v>
      </c>
      <c r="L1451" s="1470">
        <v>7860</v>
      </c>
      <c r="M1451" s="1469">
        <v>1</v>
      </c>
      <c r="N1451" s="1468">
        <f>IF(J1451="",D1451*M1451,D1451*J1451*K1451*L1451*M1451)</f>
        <v>4.9503127876153317E-2</v>
      </c>
      <c r="O1451" s="143"/>
    </row>
    <row r="1452" spans="1:15" x14ac:dyDescent="0.25">
      <c r="A1452" s="98"/>
      <c r="B1452" s="95"/>
      <c r="C1452" s="95"/>
      <c r="D1452" s="95"/>
      <c r="E1452" s="95"/>
      <c r="F1452" s="95"/>
      <c r="G1452" s="95"/>
      <c r="H1452" s="95"/>
      <c r="I1452" s="95"/>
      <c r="J1452" s="95"/>
      <c r="K1452" s="95"/>
      <c r="L1452" s="95"/>
      <c r="M1452" s="1467" t="s">
        <v>58</v>
      </c>
      <c r="N1452" s="1447">
        <f>SUM(N1451:N1451)</f>
        <v>4.9503127876153317E-2</v>
      </c>
      <c r="O1452" s="93"/>
    </row>
    <row r="1453" spans="1:15" x14ac:dyDescent="0.25">
      <c r="A1453" s="107"/>
      <c r="B1453" s="94"/>
      <c r="C1453" s="94"/>
      <c r="D1453" s="94"/>
      <c r="E1453" s="94"/>
      <c r="F1453" s="94"/>
      <c r="G1453" s="94"/>
      <c r="H1453" s="94"/>
      <c r="I1453" s="94"/>
      <c r="J1453" s="94"/>
      <c r="K1453" s="94"/>
      <c r="L1453" s="94"/>
      <c r="M1453" s="94"/>
      <c r="N1453" s="94"/>
      <c r="O1453" s="93"/>
    </row>
    <row r="1454" spans="1:15" x14ac:dyDescent="0.25">
      <c r="A1454" s="1466" t="s">
        <v>67</v>
      </c>
      <c r="B1454" s="1465" t="s">
        <v>106</v>
      </c>
      <c r="C1454" s="1465" t="s">
        <v>66</v>
      </c>
      <c r="D1454" s="1465" t="s">
        <v>65</v>
      </c>
      <c r="E1454" s="1465" t="s">
        <v>64</v>
      </c>
      <c r="F1454" s="1465" t="s">
        <v>40</v>
      </c>
      <c r="G1454" s="1465" t="s">
        <v>105</v>
      </c>
      <c r="H1454" s="1465" t="s">
        <v>104</v>
      </c>
      <c r="I1454" s="1465" t="s">
        <v>58</v>
      </c>
      <c r="J1454" s="95"/>
      <c r="K1454" s="95"/>
      <c r="L1454" s="95"/>
      <c r="M1454" s="95"/>
      <c r="N1454" s="95"/>
      <c r="O1454" s="93"/>
    </row>
    <row r="1455" spans="1:15" ht="30" x14ac:dyDescent="0.25">
      <c r="A1455" s="1458">
        <v>10</v>
      </c>
      <c r="B1455" s="1461" t="s">
        <v>516</v>
      </c>
      <c r="C1455" s="1463"/>
      <c r="D1455" s="1459">
        <v>1.3</v>
      </c>
      <c r="E1455" s="1458"/>
      <c r="F1455" s="1458">
        <v>1</v>
      </c>
      <c r="G1455" s="1458"/>
      <c r="H1455" s="1458"/>
      <c r="I1455" s="1462">
        <f>IF(H1455="",D1455*F1455,D1455*F1455*H1455)</f>
        <v>1.3</v>
      </c>
      <c r="J1455" s="142"/>
      <c r="K1455" s="142"/>
      <c r="L1455" s="142"/>
      <c r="M1455" s="142"/>
      <c r="N1455" s="142"/>
      <c r="O1455" s="120"/>
    </row>
    <row r="1456" spans="1:15" ht="30" x14ac:dyDescent="0.25">
      <c r="A1456" s="1458">
        <v>20</v>
      </c>
      <c r="B1456" s="1461" t="s">
        <v>514</v>
      </c>
      <c r="C1456" s="1463"/>
      <c r="D1456" s="1459">
        <v>0.04</v>
      </c>
      <c r="E1456" s="1458" t="s">
        <v>512</v>
      </c>
      <c r="F1456" s="1458">
        <v>1</v>
      </c>
      <c r="G1456" s="1461" t="s">
        <v>870</v>
      </c>
      <c r="H1456" s="1458">
        <v>1</v>
      </c>
      <c r="I1456" s="1462">
        <f>IF(H1456="",D1456*F1456,D1456*F1456*H1456)</f>
        <v>0.04</v>
      </c>
      <c r="J1456" s="94"/>
      <c r="K1456" s="94"/>
      <c r="L1456" s="94"/>
      <c r="M1456" s="94"/>
      <c r="N1456" s="94"/>
      <c r="O1456" s="93"/>
    </row>
    <row r="1457" spans="1:15" x14ac:dyDescent="0.25">
      <c r="A1457" s="98"/>
      <c r="B1457" s="95"/>
      <c r="C1457" s="95"/>
      <c r="D1457" s="95"/>
      <c r="E1457" s="95"/>
      <c r="F1457" s="95"/>
      <c r="G1457" s="95"/>
      <c r="H1457" s="1448" t="s">
        <v>58</v>
      </c>
      <c r="I1457" s="1447">
        <f>SUM(I1455:I1456)</f>
        <v>1.34</v>
      </c>
      <c r="J1457" s="95"/>
      <c r="K1457" s="95"/>
      <c r="L1457" s="95"/>
      <c r="M1457" s="95"/>
      <c r="N1457" s="95"/>
      <c r="O1457" s="93"/>
    </row>
    <row r="1458" spans="1:15" x14ac:dyDescent="0.25">
      <c r="A1458" s="107"/>
      <c r="B1458" s="94"/>
      <c r="C1458" s="94"/>
      <c r="D1458" s="94"/>
      <c r="E1458" s="94"/>
      <c r="F1458" s="94"/>
      <c r="G1458" s="94"/>
      <c r="H1458" s="94"/>
      <c r="I1458" s="99"/>
      <c r="J1458" s="94"/>
      <c r="K1458" s="94"/>
      <c r="L1458" s="94"/>
      <c r="M1458" s="94"/>
      <c r="N1458" s="94"/>
      <c r="O1458" s="93"/>
    </row>
    <row r="1459" spans="1:15" ht="15.75" thickBot="1" x14ac:dyDescent="0.3">
      <c r="A1459" s="92"/>
      <c r="B1459" s="91"/>
      <c r="C1459" s="91"/>
      <c r="D1459" s="91"/>
      <c r="E1459" s="91"/>
      <c r="F1459" s="91"/>
      <c r="G1459" s="91"/>
      <c r="H1459" s="91"/>
      <c r="I1459" s="91"/>
      <c r="J1459" s="91"/>
      <c r="K1459" s="91"/>
      <c r="L1459" s="91"/>
      <c r="M1459" s="91"/>
      <c r="N1459" s="91"/>
      <c r="O1459" s="90"/>
    </row>
    <row r="1460" spans="1:15" ht="15.75" thickBot="1" x14ac:dyDescent="0.3"/>
    <row r="1461" spans="1:15" x14ac:dyDescent="0.25">
      <c r="A1461" s="141"/>
      <c r="B1461" s="140"/>
      <c r="C1461" s="140"/>
      <c r="D1461" s="140"/>
      <c r="E1461" s="140"/>
      <c r="F1461" s="140"/>
      <c r="G1461" s="140"/>
      <c r="H1461" s="140"/>
      <c r="I1461" s="140"/>
      <c r="J1461" s="272"/>
      <c r="K1461" s="140"/>
      <c r="L1461" s="140"/>
      <c r="M1461" s="140"/>
      <c r="N1461" s="140"/>
      <c r="O1461" s="139"/>
    </row>
    <row r="1462" spans="1:15" x14ac:dyDescent="0.25">
      <c r="A1462" s="1454" t="s">
        <v>57</v>
      </c>
      <c r="B1462" s="133" t="s">
        <v>523</v>
      </c>
      <c r="C1462" s="94"/>
      <c r="D1462" s="94"/>
      <c r="E1462" s="94"/>
      <c r="F1462" s="94"/>
      <c r="G1462" s="94"/>
      <c r="H1462" s="94"/>
      <c r="I1462" s="94"/>
      <c r="J1462" s="1456" t="s">
        <v>51</v>
      </c>
      <c r="K1462" s="138">
        <v>81</v>
      </c>
      <c r="L1462" s="94"/>
      <c r="M1462" s="1454" t="s">
        <v>113</v>
      </c>
      <c r="N1462" s="100">
        <f>SU_12001_m+SU_12001_p</f>
        <v>50.726375399999995</v>
      </c>
      <c r="O1462" s="93"/>
    </row>
    <row r="1463" spans="1:15" x14ac:dyDescent="0.25">
      <c r="A1463" s="1454" t="s">
        <v>125</v>
      </c>
      <c r="B1463" s="133" t="s">
        <v>5</v>
      </c>
      <c r="C1463" s="94"/>
      <c r="D1463" s="1454" t="s">
        <v>122</v>
      </c>
      <c r="E1463" s="270" t="s">
        <v>522</v>
      </c>
      <c r="F1463" s="94"/>
      <c r="G1463" s="94"/>
      <c r="H1463" s="94"/>
      <c r="I1463" s="94"/>
      <c r="J1463" s="94"/>
      <c r="K1463" s="94"/>
      <c r="L1463" s="94"/>
      <c r="M1463" s="1454" t="s">
        <v>124</v>
      </c>
      <c r="N1463" s="136">
        <v>1</v>
      </c>
      <c r="O1463" s="93"/>
    </row>
    <row r="1464" spans="1:15" x14ac:dyDescent="0.25">
      <c r="A1464" s="1454" t="s">
        <v>123</v>
      </c>
      <c r="B1464" s="270" t="str">
        <f>'SU Assemblies'!B586</f>
        <v>Rear upright assembly</v>
      </c>
      <c r="C1464" s="94"/>
      <c r="D1464" s="1454" t="s">
        <v>119</v>
      </c>
      <c r="E1464" s="94"/>
      <c r="F1464" s="94"/>
      <c r="G1464" s="94"/>
      <c r="H1464" s="94"/>
      <c r="I1464" s="94"/>
      <c r="J1464" s="1455" t="s">
        <v>122</v>
      </c>
      <c r="K1464" s="94"/>
      <c r="L1464" s="94"/>
      <c r="M1464" s="94"/>
      <c r="N1464" s="94"/>
      <c r="O1464" s="93"/>
    </row>
    <row r="1465" spans="1:15" x14ac:dyDescent="0.25">
      <c r="A1465" s="1454" t="s">
        <v>114</v>
      </c>
      <c r="B1465" s="135" t="s">
        <v>2513</v>
      </c>
      <c r="C1465" s="94"/>
      <c r="D1465" s="1454" t="s">
        <v>116</v>
      </c>
      <c r="E1465" s="94"/>
      <c r="F1465" s="94"/>
      <c r="G1465" s="94"/>
      <c r="H1465" s="94"/>
      <c r="I1465" s="94"/>
      <c r="J1465" s="1455" t="s">
        <v>119</v>
      </c>
      <c r="K1465" s="94"/>
      <c r="L1465" s="94"/>
      <c r="M1465" s="1454" t="s">
        <v>118</v>
      </c>
      <c r="N1465" s="100">
        <f>N1463*N1462</f>
        <v>50.726375399999995</v>
      </c>
      <c r="O1465" s="93"/>
    </row>
    <row r="1466" spans="1:15" x14ac:dyDescent="0.25">
      <c r="A1466" s="1454" t="s">
        <v>121</v>
      </c>
      <c r="B1466" s="269" t="s">
        <v>2512</v>
      </c>
      <c r="C1466" s="94"/>
      <c r="D1466" s="94"/>
      <c r="E1466" s="94"/>
      <c r="F1466" s="94"/>
      <c r="G1466" s="94"/>
      <c r="H1466" s="94"/>
      <c r="I1466" s="94"/>
      <c r="J1466" s="1455" t="s">
        <v>116</v>
      </c>
      <c r="K1466" s="94"/>
      <c r="L1466" s="94"/>
      <c r="M1466" s="94"/>
      <c r="N1466" s="94"/>
      <c r="O1466" s="93"/>
    </row>
    <row r="1467" spans="1:15" x14ac:dyDescent="0.25">
      <c r="A1467" s="1454" t="s">
        <v>117</v>
      </c>
      <c r="B1467" s="133" t="s">
        <v>23</v>
      </c>
      <c r="C1467" s="94"/>
      <c r="D1467" s="94"/>
      <c r="E1467" s="94"/>
      <c r="F1467" s="94"/>
      <c r="G1467" s="94"/>
      <c r="H1467" s="94"/>
      <c r="I1467" s="94"/>
      <c r="J1467" s="94"/>
      <c r="K1467" s="94"/>
      <c r="L1467" s="94"/>
      <c r="M1467" s="94"/>
      <c r="N1467" s="94"/>
      <c r="O1467" s="93"/>
    </row>
    <row r="1468" spans="1:15" x14ac:dyDescent="0.25">
      <c r="A1468" s="1454" t="s">
        <v>115</v>
      </c>
      <c r="B1468" s="133"/>
      <c r="C1468" s="94"/>
      <c r="D1468" s="94"/>
      <c r="E1468" s="94"/>
      <c r="F1468" s="94"/>
      <c r="G1468" s="94"/>
      <c r="H1468" s="94"/>
      <c r="I1468" s="94"/>
      <c r="J1468" s="94"/>
      <c r="K1468" s="94"/>
      <c r="L1468" s="94"/>
      <c r="M1468" s="94"/>
      <c r="N1468" s="94"/>
      <c r="O1468" s="93"/>
    </row>
    <row r="1469" spans="1:15" x14ac:dyDescent="0.25">
      <c r="A1469" s="266"/>
      <c r="B1469" s="265"/>
      <c r="C1469" s="265"/>
      <c r="D1469" s="265"/>
      <c r="E1469" s="265"/>
      <c r="F1469" s="94"/>
      <c r="G1469" s="94"/>
      <c r="H1469" s="94"/>
      <c r="I1469" s="94"/>
      <c r="J1469" s="94"/>
      <c r="K1469" s="94"/>
      <c r="L1469" s="94"/>
      <c r="M1469" s="94"/>
      <c r="N1469" s="94"/>
      <c r="O1469" s="93"/>
    </row>
    <row r="1470" spans="1:15" x14ac:dyDescent="0.25">
      <c r="A1470" s="1453" t="s">
        <v>67</v>
      </c>
      <c r="B1470" s="1452" t="s">
        <v>112</v>
      </c>
      <c r="C1470" s="1452" t="s">
        <v>66</v>
      </c>
      <c r="D1470" s="1452" t="s">
        <v>65</v>
      </c>
      <c r="E1470" s="1452" t="s">
        <v>81</v>
      </c>
      <c r="F1470" s="1465" t="s">
        <v>80</v>
      </c>
      <c r="G1470" s="1465" t="s">
        <v>79</v>
      </c>
      <c r="H1470" s="1465" t="s">
        <v>78</v>
      </c>
      <c r="I1470" s="1465" t="s">
        <v>111</v>
      </c>
      <c r="J1470" s="1465" t="s">
        <v>110</v>
      </c>
      <c r="K1470" s="1465" t="s">
        <v>109</v>
      </c>
      <c r="L1470" s="1465" t="s">
        <v>108</v>
      </c>
      <c r="M1470" s="1465" t="s">
        <v>40</v>
      </c>
      <c r="N1470" s="1465" t="s">
        <v>58</v>
      </c>
      <c r="O1470" s="93"/>
    </row>
    <row r="1471" spans="1:15" ht="30" x14ac:dyDescent="0.25">
      <c r="A1471" s="1458">
        <v>10</v>
      </c>
      <c r="B1471" s="1475" t="s">
        <v>2511</v>
      </c>
      <c r="C1471" s="1460" t="s">
        <v>2510</v>
      </c>
      <c r="D1471" s="1459">
        <v>4.2</v>
      </c>
      <c r="E1471" s="1477">
        <v>156</v>
      </c>
      <c r="F1471" s="1458" t="s">
        <v>68</v>
      </c>
      <c r="G1471" s="1458">
        <v>55</v>
      </c>
      <c r="H1471" s="1470" t="s">
        <v>68</v>
      </c>
      <c r="I1471" s="1473" t="s">
        <v>2509</v>
      </c>
      <c r="J1471" s="1476">
        <f>156*55/1000000</f>
        <v>8.5800000000000008E-3</v>
      </c>
      <c r="K1471" s="1471">
        <v>0.215</v>
      </c>
      <c r="L1471" s="1470">
        <v>2710</v>
      </c>
      <c r="M1471" s="1469">
        <v>1</v>
      </c>
      <c r="N1471" s="1468">
        <f>IF(J1471="",D1471*M1471,D1471*J1471*K1471*L1471*M1471)</f>
        <v>20.996375400000002</v>
      </c>
      <c r="O1471" s="143"/>
    </row>
    <row r="1472" spans="1:15" x14ac:dyDescent="0.25">
      <c r="A1472" s="98"/>
      <c r="B1472" s="95"/>
      <c r="C1472" s="95"/>
      <c r="D1472" s="95"/>
      <c r="E1472" s="95"/>
      <c r="F1472" s="95"/>
      <c r="G1472" s="95"/>
      <c r="H1472" s="95"/>
      <c r="I1472" s="95"/>
      <c r="J1472" s="95"/>
      <c r="K1472" s="95"/>
      <c r="L1472" s="95"/>
      <c r="M1472" s="1467" t="s">
        <v>58</v>
      </c>
      <c r="N1472" s="1447">
        <f>SUM(N1471:N1471)</f>
        <v>20.996375400000002</v>
      </c>
      <c r="O1472" s="93"/>
    </row>
    <row r="1473" spans="1:15" x14ac:dyDescent="0.25">
      <c r="A1473" s="107"/>
      <c r="B1473" s="94"/>
      <c r="C1473" s="94"/>
      <c r="D1473" s="94"/>
      <c r="E1473" s="94"/>
      <c r="F1473" s="94"/>
      <c r="G1473" s="94"/>
      <c r="H1473" s="94"/>
      <c r="I1473" s="94"/>
      <c r="J1473" s="94"/>
      <c r="K1473" s="94"/>
      <c r="L1473" s="94"/>
      <c r="M1473" s="94"/>
      <c r="N1473" s="94"/>
      <c r="O1473" s="93"/>
    </row>
    <row r="1474" spans="1:15" x14ac:dyDescent="0.25">
      <c r="A1474" s="1466" t="s">
        <v>67</v>
      </c>
      <c r="B1474" s="1465" t="s">
        <v>106</v>
      </c>
      <c r="C1474" s="1465" t="s">
        <v>66</v>
      </c>
      <c r="D1474" s="1465" t="s">
        <v>65</v>
      </c>
      <c r="E1474" s="1465" t="s">
        <v>64</v>
      </c>
      <c r="F1474" s="1465" t="s">
        <v>40</v>
      </c>
      <c r="G1474" s="1465" t="s">
        <v>105</v>
      </c>
      <c r="H1474" s="1465" t="s">
        <v>104</v>
      </c>
      <c r="I1474" s="1465" t="s">
        <v>58</v>
      </c>
      <c r="J1474" s="95"/>
      <c r="K1474" s="95"/>
      <c r="L1474" s="95"/>
      <c r="M1474" s="95"/>
      <c r="N1474" s="95"/>
      <c r="O1474" s="93"/>
    </row>
    <row r="1475" spans="1:15" ht="30" x14ac:dyDescent="0.25">
      <c r="A1475" s="1458">
        <v>10</v>
      </c>
      <c r="B1475" s="807" t="s">
        <v>516</v>
      </c>
      <c r="C1475" s="1463" t="s">
        <v>2508</v>
      </c>
      <c r="D1475" s="1459">
        <v>1.3</v>
      </c>
      <c r="E1475" s="1458" t="s">
        <v>64</v>
      </c>
      <c r="F1475" s="1458">
        <v>1</v>
      </c>
      <c r="G1475" s="1458"/>
      <c r="H1475" s="1458"/>
      <c r="I1475" s="1462">
        <f t="shared" ref="I1475:I1480" si="23">IF(H1475="",D1475*F1475,D1475*F1475*H1475)</f>
        <v>1.3</v>
      </c>
      <c r="J1475" s="142"/>
      <c r="K1475" s="142"/>
      <c r="L1475" s="142"/>
      <c r="M1475" s="142"/>
      <c r="N1475" s="142"/>
      <c r="O1475" s="120"/>
    </row>
    <row r="1476" spans="1:15" ht="30" x14ac:dyDescent="0.25">
      <c r="A1476" s="1458">
        <v>20</v>
      </c>
      <c r="B1476" s="1463" t="s">
        <v>2507</v>
      </c>
      <c r="C1476" s="1460" t="s">
        <v>2499</v>
      </c>
      <c r="D1476" s="1459">
        <v>0.01</v>
      </c>
      <c r="E1476" s="1458" t="s">
        <v>512</v>
      </c>
      <c r="F1476" s="1458">
        <v>1208</v>
      </c>
      <c r="G1476" s="807" t="s">
        <v>870</v>
      </c>
      <c r="H1476" s="1458">
        <v>1</v>
      </c>
      <c r="I1476" s="1462">
        <f t="shared" si="23"/>
        <v>12.08</v>
      </c>
      <c r="J1476" s="94"/>
      <c r="K1476" s="94"/>
      <c r="L1476" s="94"/>
      <c r="M1476" s="94"/>
      <c r="N1476" s="94"/>
      <c r="O1476" s="93"/>
    </row>
    <row r="1477" spans="1:15" ht="30" x14ac:dyDescent="0.25">
      <c r="A1477" s="1458">
        <v>30</v>
      </c>
      <c r="B1477" s="807" t="s">
        <v>516</v>
      </c>
      <c r="C1477" s="285"/>
      <c r="D1477" s="283">
        <v>1.3</v>
      </c>
      <c r="E1477" s="282"/>
      <c r="F1477" s="282">
        <v>1</v>
      </c>
      <c r="G1477" s="282"/>
      <c r="H1477" s="282"/>
      <c r="I1477" s="276">
        <f t="shared" si="23"/>
        <v>1.3</v>
      </c>
      <c r="J1477" s="99"/>
      <c r="K1477" s="99"/>
      <c r="L1477" s="99"/>
      <c r="M1477" s="99"/>
      <c r="N1477" s="99"/>
      <c r="O1477" s="130"/>
    </row>
    <row r="1478" spans="1:15" ht="30" x14ac:dyDescent="0.25">
      <c r="A1478" s="282">
        <v>40</v>
      </c>
      <c r="B1478" s="285" t="s">
        <v>514</v>
      </c>
      <c r="C1478" s="292" t="s">
        <v>2506</v>
      </c>
      <c r="D1478" s="283">
        <v>0.04</v>
      </c>
      <c r="E1478" s="282" t="s">
        <v>512</v>
      </c>
      <c r="F1478" s="282">
        <v>150</v>
      </c>
      <c r="G1478" s="309" t="s">
        <v>870</v>
      </c>
      <c r="H1478" s="282">
        <v>1</v>
      </c>
      <c r="I1478" s="276">
        <f t="shared" si="23"/>
        <v>6</v>
      </c>
      <c r="J1478" s="94"/>
      <c r="K1478" s="94"/>
      <c r="L1478" s="94"/>
      <c r="M1478" s="94"/>
      <c r="N1478" s="94"/>
      <c r="O1478" s="93"/>
    </row>
    <row r="1479" spans="1:15" x14ac:dyDescent="0.25">
      <c r="A1479" s="282">
        <v>50</v>
      </c>
      <c r="B1479" s="1371" t="s">
        <v>822</v>
      </c>
      <c r="C1479" s="285"/>
      <c r="D1479" s="283">
        <v>0.65</v>
      </c>
      <c r="E1479" s="282" t="s">
        <v>64</v>
      </c>
      <c r="F1479" s="282">
        <v>1</v>
      </c>
      <c r="G1479" s="282"/>
      <c r="H1479" s="282"/>
      <c r="I1479" s="276">
        <f t="shared" si="23"/>
        <v>0.65</v>
      </c>
      <c r="J1479" s="94"/>
      <c r="K1479" s="94"/>
      <c r="L1479" s="94"/>
      <c r="M1479" s="94"/>
      <c r="N1479" s="94"/>
      <c r="O1479" s="93"/>
    </row>
    <row r="1480" spans="1:15" ht="30" x14ac:dyDescent="0.25">
      <c r="A1480" s="282">
        <v>60</v>
      </c>
      <c r="B1480" s="285" t="s">
        <v>514</v>
      </c>
      <c r="C1480" s="292" t="s">
        <v>2505</v>
      </c>
      <c r="D1480" s="283">
        <v>0.04</v>
      </c>
      <c r="E1480" s="282" t="s">
        <v>512</v>
      </c>
      <c r="F1480" s="282">
        <v>210</v>
      </c>
      <c r="G1480" s="309" t="s">
        <v>870</v>
      </c>
      <c r="H1480" s="282">
        <v>1</v>
      </c>
      <c r="I1480" s="276">
        <f t="shared" si="23"/>
        <v>8.4</v>
      </c>
      <c r="J1480" s="94"/>
      <c r="K1480" s="94"/>
      <c r="L1480" s="94"/>
      <c r="M1480" s="94"/>
      <c r="N1480" s="94"/>
      <c r="O1480" s="93"/>
    </row>
    <row r="1481" spans="1:15" x14ac:dyDescent="0.25">
      <c r="A1481" s="98"/>
      <c r="B1481" s="95"/>
      <c r="C1481" s="95"/>
      <c r="D1481" s="95"/>
      <c r="E1481" s="95"/>
      <c r="F1481" s="95"/>
      <c r="G1481" s="95"/>
      <c r="H1481" s="1448" t="s">
        <v>58</v>
      </c>
      <c r="I1481" s="1447">
        <f>SUM(I1475:I1480)</f>
        <v>29.729999999999997</v>
      </c>
      <c r="J1481" s="95"/>
      <c r="K1481" s="95"/>
      <c r="L1481" s="95"/>
      <c r="M1481" s="95"/>
      <c r="N1481" s="95"/>
      <c r="O1481" s="93"/>
    </row>
    <row r="1482" spans="1:15" x14ac:dyDescent="0.25">
      <c r="A1482" s="107"/>
      <c r="B1482" s="94"/>
      <c r="C1482" s="94"/>
      <c r="D1482" s="94"/>
      <c r="E1482" s="94"/>
      <c r="F1482" s="94"/>
      <c r="G1482" s="94"/>
      <c r="H1482" s="94"/>
      <c r="I1482" s="99"/>
      <c r="J1482" s="94"/>
      <c r="K1482" s="94"/>
      <c r="L1482" s="94"/>
      <c r="M1482" s="94"/>
      <c r="N1482" s="94"/>
      <c r="O1482" s="93"/>
    </row>
    <row r="1483" spans="1:15" ht="15.75" thickBot="1" x14ac:dyDescent="0.3">
      <c r="A1483" s="92"/>
      <c r="B1483" s="91"/>
      <c r="C1483" s="91"/>
      <c r="D1483" s="91"/>
      <c r="E1483" s="91"/>
      <c r="F1483" s="91"/>
      <c r="G1483" s="91"/>
      <c r="H1483" s="91"/>
      <c r="I1483" s="91"/>
      <c r="J1483" s="91"/>
      <c r="K1483" s="91"/>
      <c r="L1483" s="91"/>
      <c r="M1483" s="91"/>
      <c r="N1483" s="91"/>
      <c r="O1483" s="90"/>
    </row>
    <row r="1484" spans="1:15" ht="15.75" thickBot="1" x14ac:dyDescent="0.3"/>
    <row r="1485" spans="1:15" x14ac:dyDescent="0.25">
      <c r="A1485" s="141"/>
      <c r="B1485" s="140"/>
      <c r="C1485" s="140"/>
      <c r="D1485" s="140"/>
      <c r="E1485" s="140"/>
      <c r="F1485" s="140"/>
      <c r="G1485" s="140"/>
      <c r="H1485" s="140"/>
      <c r="I1485" s="140"/>
      <c r="J1485" s="272"/>
      <c r="K1485" s="140"/>
      <c r="L1485" s="140"/>
      <c r="M1485" s="140"/>
      <c r="N1485" s="140"/>
      <c r="O1485" s="139"/>
    </row>
    <row r="1486" spans="1:15" x14ac:dyDescent="0.25">
      <c r="A1486" s="1454" t="s">
        <v>57</v>
      </c>
      <c r="B1486" s="133" t="s">
        <v>523</v>
      </c>
      <c r="C1486" s="94"/>
      <c r="D1486" s="94"/>
      <c r="E1486" s="94"/>
      <c r="F1486" s="94"/>
      <c r="G1486" s="94"/>
      <c r="H1486" s="94"/>
      <c r="I1486" s="94"/>
      <c r="J1486" s="1456" t="s">
        <v>51</v>
      </c>
      <c r="K1486" s="138">
        <v>81</v>
      </c>
      <c r="L1486" s="94"/>
      <c r="M1486" s="1454" t="s">
        <v>113</v>
      </c>
      <c r="N1486" s="100">
        <f>SU_12002_m+SU_12002_p</f>
        <v>3.6958321000000001</v>
      </c>
      <c r="O1486" s="93"/>
    </row>
    <row r="1487" spans="1:15" x14ac:dyDescent="0.25">
      <c r="A1487" s="1454" t="s">
        <v>125</v>
      </c>
      <c r="B1487" s="133" t="s">
        <v>5</v>
      </c>
      <c r="C1487" s="94"/>
      <c r="D1487" s="1454" t="s">
        <v>122</v>
      </c>
      <c r="E1487" s="270" t="s">
        <v>614</v>
      </c>
      <c r="F1487" s="94"/>
      <c r="G1487" s="94"/>
      <c r="H1487" s="94"/>
      <c r="I1487" s="94"/>
      <c r="J1487" s="94"/>
      <c r="K1487" s="94"/>
      <c r="L1487" s="94"/>
      <c r="M1487" s="1454" t="s">
        <v>124</v>
      </c>
      <c r="N1487" s="136">
        <v>1</v>
      </c>
      <c r="O1487" s="93"/>
    </row>
    <row r="1488" spans="1:15" x14ac:dyDescent="0.25">
      <c r="A1488" s="1454" t="s">
        <v>123</v>
      </c>
      <c r="B1488" s="270" t="str">
        <f>'SU Assemblies'!B586</f>
        <v>Rear upright assembly</v>
      </c>
      <c r="C1488" s="94"/>
      <c r="D1488" s="1454" t="s">
        <v>119</v>
      </c>
      <c r="E1488" s="94"/>
      <c r="F1488" s="94"/>
      <c r="G1488" s="94"/>
      <c r="H1488" s="94"/>
      <c r="I1488" s="94"/>
      <c r="J1488" s="1455" t="s">
        <v>122</v>
      </c>
      <c r="K1488" s="94"/>
      <c r="L1488" s="94"/>
      <c r="M1488" s="94"/>
      <c r="N1488" s="94"/>
      <c r="O1488" s="93"/>
    </row>
    <row r="1489" spans="1:15" x14ac:dyDescent="0.25">
      <c r="A1489" s="1454" t="s">
        <v>114</v>
      </c>
      <c r="B1489" s="135" t="s">
        <v>2504</v>
      </c>
      <c r="C1489" s="94"/>
      <c r="D1489" s="1454" t="s">
        <v>116</v>
      </c>
      <c r="E1489" s="94"/>
      <c r="F1489" s="94"/>
      <c r="G1489" s="94"/>
      <c r="H1489" s="94"/>
      <c r="I1489" s="94"/>
      <c r="J1489" s="1455" t="s">
        <v>119</v>
      </c>
      <c r="K1489" s="94"/>
      <c r="L1489" s="94"/>
      <c r="M1489" s="1454" t="s">
        <v>118</v>
      </c>
      <c r="N1489" s="100">
        <f>N1487*N1486</f>
        <v>3.6958321000000001</v>
      </c>
      <c r="O1489" s="93"/>
    </row>
    <row r="1490" spans="1:15" x14ac:dyDescent="0.25">
      <c r="A1490" s="1454" t="s">
        <v>121</v>
      </c>
      <c r="B1490" s="269" t="s">
        <v>2503</v>
      </c>
      <c r="C1490" s="94"/>
      <c r="D1490" s="94"/>
      <c r="E1490" s="94"/>
      <c r="F1490" s="94"/>
      <c r="G1490" s="94"/>
      <c r="H1490" s="94"/>
      <c r="I1490" s="94"/>
      <c r="J1490" s="1455" t="s">
        <v>116</v>
      </c>
      <c r="K1490" s="94"/>
      <c r="L1490" s="94"/>
      <c r="M1490" s="94"/>
      <c r="N1490" s="94"/>
      <c r="O1490" s="93"/>
    </row>
    <row r="1491" spans="1:15" x14ac:dyDescent="0.25">
      <c r="A1491" s="1454" t="s">
        <v>117</v>
      </c>
      <c r="B1491" s="133" t="s">
        <v>23</v>
      </c>
      <c r="C1491" s="94"/>
      <c r="D1491" s="94"/>
      <c r="E1491" s="94"/>
      <c r="F1491" s="94"/>
      <c r="G1491" s="94"/>
      <c r="H1491" s="94"/>
      <c r="I1491" s="94"/>
      <c r="J1491" s="94"/>
      <c r="K1491" s="94"/>
      <c r="L1491" s="94"/>
      <c r="M1491" s="94"/>
      <c r="N1491" s="94"/>
      <c r="O1491" s="93"/>
    </row>
    <row r="1492" spans="1:15" x14ac:dyDescent="0.25">
      <c r="A1492" s="1454" t="s">
        <v>115</v>
      </c>
      <c r="B1492" s="133" t="s">
        <v>2502</v>
      </c>
      <c r="C1492" s="94"/>
      <c r="D1492" s="94"/>
      <c r="E1492" s="94"/>
      <c r="F1492" s="94"/>
      <c r="G1492" s="94"/>
      <c r="H1492" s="94"/>
      <c r="I1492" s="94"/>
      <c r="J1492" s="94"/>
      <c r="K1492" s="94"/>
      <c r="L1492" s="94"/>
      <c r="M1492" s="94"/>
      <c r="N1492" s="94"/>
      <c r="O1492" s="93"/>
    </row>
    <row r="1493" spans="1:15" x14ac:dyDescent="0.25">
      <c r="A1493" s="266"/>
      <c r="B1493" s="265"/>
      <c r="C1493" s="265"/>
      <c r="D1493" s="265"/>
      <c r="E1493" s="265"/>
      <c r="F1493" s="94"/>
      <c r="G1493" s="94"/>
      <c r="H1493" s="94"/>
      <c r="I1493" s="94"/>
      <c r="J1493" s="94"/>
      <c r="K1493" s="94"/>
      <c r="L1493" s="94"/>
      <c r="M1493" s="94"/>
      <c r="N1493" s="94"/>
      <c r="O1493" s="93"/>
    </row>
    <row r="1494" spans="1:15" x14ac:dyDescent="0.25">
      <c r="A1494" s="1453" t="s">
        <v>67</v>
      </c>
      <c r="B1494" s="1452" t="s">
        <v>112</v>
      </c>
      <c r="C1494" s="1452" t="s">
        <v>66</v>
      </c>
      <c r="D1494" s="1452" t="s">
        <v>65</v>
      </c>
      <c r="E1494" s="1452" t="s">
        <v>81</v>
      </c>
      <c r="F1494" s="1465" t="s">
        <v>80</v>
      </c>
      <c r="G1494" s="1465" t="s">
        <v>79</v>
      </c>
      <c r="H1494" s="1465" t="s">
        <v>78</v>
      </c>
      <c r="I1494" s="1465" t="s">
        <v>111</v>
      </c>
      <c r="J1494" s="1465" t="s">
        <v>110</v>
      </c>
      <c r="K1494" s="1465" t="s">
        <v>109</v>
      </c>
      <c r="L1494" s="1465" t="s">
        <v>108</v>
      </c>
      <c r="M1494" s="1465" t="s">
        <v>40</v>
      </c>
      <c r="N1494" s="1465" t="s">
        <v>58</v>
      </c>
      <c r="O1494" s="93"/>
    </row>
    <row r="1495" spans="1:15" ht="30" x14ac:dyDescent="0.25">
      <c r="A1495" s="1458">
        <v>10</v>
      </c>
      <c r="B1495" s="1475" t="s">
        <v>852</v>
      </c>
      <c r="C1495" s="1458" t="s">
        <v>2501</v>
      </c>
      <c r="D1495" s="1459">
        <v>4.2</v>
      </c>
      <c r="E1495" s="1474">
        <v>35</v>
      </c>
      <c r="F1495" s="1458" t="s">
        <v>68</v>
      </c>
      <c r="G1495" s="1458">
        <v>35</v>
      </c>
      <c r="H1495" s="1470" t="s">
        <v>68</v>
      </c>
      <c r="I1495" s="1473" t="s">
        <v>2500</v>
      </c>
      <c r="J1495" s="1472">
        <f>35*35/1000000</f>
        <v>1.225E-3</v>
      </c>
      <c r="K1495" s="1471">
        <v>3.7999999999999999E-2</v>
      </c>
      <c r="L1495" s="1470">
        <v>2710</v>
      </c>
      <c r="M1495" s="1469">
        <v>1</v>
      </c>
      <c r="N1495" s="1468">
        <f>IF(J1495="",D1495*M1495,D1495*J1495*K1495*L1495*M1495)</f>
        <v>0.52983210000000003</v>
      </c>
      <c r="O1495" s="143"/>
    </row>
    <row r="1496" spans="1:15" x14ac:dyDescent="0.25">
      <c r="A1496" s="98"/>
      <c r="B1496" s="95"/>
      <c r="C1496" s="95"/>
      <c r="D1496" s="95"/>
      <c r="E1496" s="95"/>
      <c r="F1496" s="95"/>
      <c r="G1496" s="95"/>
      <c r="H1496" s="95"/>
      <c r="I1496" s="95"/>
      <c r="J1496" s="95"/>
      <c r="K1496" s="95"/>
      <c r="L1496" s="95"/>
      <c r="M1496" s="1467" t="s">
        <v>58</v>
      </c>
      <c r="N1496" s="1447">
        <f>SUM(N1495:N1495)</f>
        <v>0.52983210000000003</v>
      </c>
      <c r="O1496" s="93"/>
    </row>
    <row r="1497" spans="1:15" x14ac:dyDescent="0.25">
      <c r="A1497" s="107"/>
      <c r="B1497" s="94"/>
      <c r="C1497" s="94"/>
      <c r="D1497" s="94"/>
      <c r="E1497" s="94"/>
      <c r="F1497" s="94"/>
      <c r="G1497" s="94"/>
      <c r="H1497" s="94"/>
      <c r="I1497" s="94"/>
      <c r="J1497" s="94"/>
      <c r="K1497" s="94"/>
      <c r="L1497" s="94"/>
      <c r="M1497" s="94"/>
      <c r="N1497" s="94"/>
      <c r="O1497" s="93"/>
    </row>
    <row r="1498" spans="1:15" x14ac:dyDescent="0.25">
      <c r="A1498" s="1466" t="s">
        <v>67</v>
      </c>
      <c r="B1498" s="1465" t="s">
        <v>106</v>
      </c>
      <c r="C1498" s="1465" t="s">
        <v>66</v>
      </c>
      <c r="D1498" s="1465" t="s">
        <v>65</v>
      </c>
      <c r="E1498" s="1465" t="s">
        <v>64</v>
      </c>
      <c r="F1498" s="1465" t="s">
        <v>40</v>
      </c>
      <c r="G1498" s="1465" t="s">
        <v>105</v>
      </c>
      <c r="H1498" s="1465" t="s">
        <v>104</v>
      </c>
      <c r="I1498" s="1465" t="s">
        <v>58</v>
      </c>
      <c r="J1498" s="95"/>
      <c r="K1498" s="95"/>
      <c r="L1498" s="95"/>
      <c r="M1498" s="95"/>
      <c r="N1498" s="95"/>
      <c r="O1498" s="93"/>
    </row>
    <row r="1499" spans="1:15" ht="30" x14ac:dyDescent="0.25">
      <c r="A1499" s="1458">
        <v>10</v>
      </c>
      <c r="B1499" s="1464" t="s">
        <v>516</v>
      </c>
      <c r="C1499" s="1463"/>
      <c r="D1499" s="1459">
        <v>1.3</v>
      </c>
      <c r="E1499" s="1458" t="s">
        <v>64</v>
      </c>
      <c r="F1499" s="1458">
        <v>1</v>
      </c>
      <c r="G1499" s="1458"/>
      <c r="H1499" s="1458"/>
      <c r="I1499" s="1462">
        <f>IF(H1499="",D1499*F1499,D1499*F1499*H1499)</f>
        <v>1.3</v>
      </c>
      <c r="J1499" s="142"/>
      <c r="K1499" s="142"/>
      <c r="L1499" s="142"/>
      <c r="M1499" s="142"/>
      <c r="N1499" s="142"/>
      <c r="O1499" s="120"/>
    </row>
    <row r="1500" spans="1:15" ht="30" x14ac:dyDescent="0.25">
      <c r="A1500" s="1458">
        <v>20</v>
      </c>
      <c r="B1500" s="1461" t="s">
        <v>514</v>
      </c>
      <c r="C1500" s="1460" t="s">
        <v>2499</v>
      </c>
      <c r="D1500" s="1459">
        <v>0.04</v>
      </c>
      <c r="E1500" s="1459" t="s">
        <v>512</v>
      </c>
      <c r="F1500" s="1458">
        <v>15.4</v>
      </c>
      <c r="G1500" s="807" t="s">
        <v>870</v>
      </c>
      <c r="H1500" s="282">
        <v>1</v>
      </c>
      <c r="I1500" s="293">
        <f>IF(H1500="",D1500*F1500,D1500*F1500*H1500)</f>
        <v>0.61599999999999999</v>
      </c>
      <c r="J1500" s="94"/>
      <c r="K1500" s="94"/>
      <c r="L1500" s="94"/>
      <c r="M1500" s="94"/>
      <c r="N1500" s="94"/>
      <c r="O1500" s="93"/>
    </row>
    <row r="1501" spans="1:15" x14ac:dyDescent="0.25">
      <c r="A1501" s="282">
        <v>30</v>
      </c>
      <c r="B1501" s="1371" t="s">
        <v>822</v>
      </c>
      <c r="C1501" s="285"/>
      <c r="D1501" s="283">
        <v>0.65</v>
      </c>
      <c r="E1501" s="282" t="s">
        <v>64</v>
      </c>
      <c r="F1501" s="282">
        <v>1</v>
      </c>
      <c r="G1501" s="282"/>
      <c r="H1501" s="282"/>
      <c r="I1501" s="276">
        <f>IF(H1501="",D1501*F1501,D1501*F1501*H1501)</f>
        <v>0.65</v>
      </c>
      <c r="J1501" s="99"/>
      <c r="K1501" s="99"/>
      <c r="L1501" s="99"/>
      <c r="M1501" s="99"/>
      <c r="N1501" s="99"/>
      <c r="O1501" s="130"/>
    </row>
    <row r="1502" spans="1:15" ht="30" x14ac:dyDescent="0.25">
      <c r="A1502" s="282">
        <v>40</v>
      </c>
      <c r="B1502" s="309" t="s">
        <v>514</v>
      </c>
      <c r="C1502" s="376" t="s">
        <v>2498</v>
      </c>
      <c r="D1502" s="283">
        <v>0.04</v>
      </c>
      <c r="E1502" s="283" t="s">
        <v>512</v>
      </c>
      <c r="F1502" s="282">
        <v>15</v>
      </c>
      <c r="G1502" s="309" t="s">
        <v>870</v>
      </c>
      <c r="H1502" s="282">
        <v>1</v>
      </c>
      <c r="I1502" s="276">
        <f>IF(H1502="",D1502*F1502,D1502*F1502*H1502)</f>
        <v>0.6</v>
      </c>
      <c r="J1502" s="94"/>
      <c r="K1502" s="94"/>
      <c r="L1502" s="94"/>
      <c r="M1502" s="94"/>
      <c r="N1502" s="94"/>
      <c r="O1502" s="93"/>
    </row>
    <row r="1503" spans="1:15" x14ac:dyDescent="0.25">
      <c r="A1503" s="98"/>
      <c r="B1503" s="95"/>
      <c r="C1503" s="95"/>
      <c r="D1503" s="95"/>
      <c r="E1503" s="95"/>
      <c r="F1503" s="95"/>
      <c r="G1503" s="95"/>
      <c r="H1503" s="1448" t="s">
        <v>58</v>
      </c>
      <c r="I1503" s="1447">
        <f>SUM(I1499:I1502)</f>
        <v>3.1659999999999999</v>
      </c>
      <c r="J1503" s="95"/>
      <c r="K1503" s="95"/>
      <c r="L1503" s="95"/>
      <c r="M1503" s="95"/>
      <c r="N1503" s="95"/>
      <c r="O1503" s="93"/>
    </row>
    <row r="1504" spans="1:15" x14ac:dyDescent="0.25">
      <c r="A1504" s="107"/>
      <c r="B1504" s="94"/>
      <c r="C1504" s="94"/>
      <c r="D1504" s="94"/>
      <c r="E1504" s="94"/>
      <c r="F1504" s="94"/>
      <c r="G1504" s="94"/>
      <c r="H1504" s="94"/>
      <c r="I1504" s="99"/>
      <c r="J1504" s="94"/>
      <c r="K1504" s="94"/>
      <c r="L1504" s="94"/>
      <c r="M1504" s="94"/>
      <c r="N1504" s="94"/>
      <c r="O1504" s="93"/>
    </row>
    <row r="1505" spans="1:15" ht="15.75" thickBot="1" x14ac:dyDescent="0.3">
      <c r="A1505" s="92"/>
      <c r="B1505" s="91"/>
      <c r="C1505" s="91"/>
      <c r="D1505" s="91"/>
      <c r="E1505" s="91"/>
      <c r="F1505" s="91"/>
      <c r="G1505" s="91"/>
      <c r="H1505" s="91"/>
      <c r="I1505" s="91"/>
      <c r="J1505" s="91"/>
      <c r="K1505" s="91"/>
      <c r="L1505" s="91"/>
      <c r="M1505" s="91"/>
      <c r="N1505" s="91"/>
      <c r="O1505" s="90"/>
    </row>
    <row r="1506" spans="1:15" ht="15.75" thickBot="1" x14ac:dyDescent="0.3"/>
    <row r="1507" spans="1:15" x14ac:dyDescent="0.25">
      <c r="A1507" s="141"/>
      <c r="B1507" s="140"/>
      <c r="C1507" s="140"/>
      <c r="D1507" s="140"/>
      <c r="E1507" s="140"/>
      <c r="F1507" s="140"/>
      <c r="G1507" s="140"/>
      <c r="H1507" s="140"/>
      <c r="I1507" s="140"/>
      <c r="J1507" s="272"/>
      <c r="K1507" s="140"/>
      <c r="L1507" s="140"/>
      <c r="M1507" s="140"/>
      <c r="N1507" s="140"/>
      <c r="O1507" s="139"/>
    </row>
    <row r="1508" spans="1:15" x14ac:dyDescent="0.25">
      <c r="A1508" s="1454" t="s">
        <v>57</v>
      </c>
      <c r="B1508" s="133" t="s">
        <v>523</v>
      </c>
      <c r="C1508" s="94"/>
      <c r="D1508" s="94"/>
      <c r="E1508" s="94"/>
      <c r="F1508" s="94"/>
      <c r="G1508" s="94"/>
      <c r="H1508" s="94"/>
      <c r="I1508" s="94"/>
      <c r="J1508" s="1456" t="s">
        <v>51</v>
      </c>
      <c r="K1508" s="138">
        <v>81</v>
      </c>
      <c r="L1508" s="94"/>
      <c r="M1508" s="1454" t="s">
        <v>113</v>
      </c>
      <c r="N1508" s="100">
        <f>SU_12003_m+SU_12003_p</f>
        <v>1.7551442500000001</v>
      </c>
      <c r="O1508" s="93"/>
    </row>
    <row r="1509" spans="1:15" x14ac:dyDescent="0.25">
      <c r="A1509" s="1454" t="s">
        <v>125</v>
      </c>
      <c r="B1509" s="133" t="s">
        <v>5</v>
      </c>
      <c r="C1509" s="94"/>
      <c r="D1509" s="1454" t="s">
        <v>122</v>
      </c>
      <c r="E1509" s="94"/>
      <c r="F1509" s="94"/>
      <c r="G1509" s="94"/>
      <c r="H1509" s="94"/>
      <c r="I1509" s="94"/>
      <c r="J1509" s="94"/>
      <c r="K1509" s="94"/>
      <c r="L1509" s="94"/>
      <c r="M1509" s="1454" t="s">
        <v>124</v>
      </c>
      <c r="N1509" s="136">
        <v>1</v>
      </c>
      <c r="O1509" s="93"/>
    </row>
    <row r="1510" spans="1:15" x14ac:dyDescent="0.25">
      <c r="A1510" s="1454" t="s">
        <v>123</v>
      </c>
      <c r="B1510" s="270" t="str">
        <f>'SU Assemblies'!B586</f>
        <v>Rear upright assembly</v>
      </c>
      <c r="C1510" s="94"/>
      <c r="D1510" s="1454" t="s">
        <v>119</v>
      </c>
      <c r="E1510" s="94"/>
      <c r="F1510" s="94"/>
      <c r="G1510" s="94"/>
      <c r="H1510" s="94"/>
      <c r="I1510" s="94"/>
      <c r="J1510" s="1455" t="s">
        <v>122</v>
      </c>
      <c r="K1510" s="94"/>
      <c r="L1510" s="94"/>
      <c r="M1510" s="94"/>
      <c r="N1510" s="94"/>
      <c r="O1510" s="93"/>
    </row>
    <row r="1511" spans="1:15" x14ac:dyDescent="0.25">
      <c r="A1511" s="1454" t="s">
        <v>114</v>
      </c>
      <c r="B1511" s="135" t="s">
        <v>2494</v>
      </c>
      <c r="C1511" s="94"/>
      <c r="D1511" s="1454" t="s">
        <v>116</v>
      </c>
      <c r="E1511" s="94"/>
      <c r="F1511" s="94"/>
      <c r="G1511" s="94"/>
      <c r="H1511" s="94"/>
      <c r="I1511" s="94"/>
      <c r="J1511" s="1455" t="s">
        <v>119</v>
      </c>
      <c r="K1511" s="94"/>
      <c r="L1511" s="94"/>
      <c r="M1511" s="1454" t="s">
        <v>118</v>
      </c>
      <c r="N1511" s="100">
        <f>N1509*N1508</f>
        <v>1.7551442500000001</v>
      </c>
      <c r="O1511" s="93"/>
    </row>
    <row r="1512" spans="1:15" x14ac:dyDescent="0.25">
      <c r="A1512" s="1454" t="s">
        <v>121</v>
      </c>
      <c r="B1512" s="269" t="s">
        <v>2497</v>
      </c>
      <c r="C1512" s="94"/>
      <c r="D1512" s="94"/>
      <c r="E1512" s="94"/>
      <c r="F1512" s="94"/>
      <c r="G1512" s="94"/>
      <c r="H1512" s="94"/>
      <c r="I1512" s="94"/>
      <c r="J1512" s="1455" t="s">
        <v>116</v>
      </c>
      <c r="K1512" s="94"/>
      <c r="L1512" s="94"/>
      <c r="M1512" s="94"/>
      <c r="N1512" s="94"/>
      <c r="O1512" s="93"/>
    </row>
    <row r="1513" spans="1:15" x14ac:dyDescent="0.25">
      <c r="A1513" s="1454" t="s">
        <v>117</v>
      </c>
      <c r="B1513" s="133" t="s">
        <v>23</v>
      </c>
      <c r="C1513" s="94"/>
      <c r="D1513" s="94"/>
      <c r="E1513" s="94"/>
      <c r="F1513" s="94"/>
      <c r="G1513" s="94"/>
      <c r="H1513" s="94"/>
      <c r="I1513" s="94"/>
      <c r="J1513" s="94"/>
      <c r="K1513" s="94"/>
      <c r="L1513" s="94"/>
      <c r="M1513" s="94"/>
      <c r="N1513" s="94"/>
      <c r="O1513" s="93"/>
    </row>
    <row r="1514" spans="1:15" x14ac:dyDescent="0.25">
      <c r="A1514" s="1454" t="s">
        <v>115</v>
      </c>
      <c r="B1514" s="133" t="s">
        <v>2496</v>
      </c>
      <c r="C1514" s="94"/>
      <c r="D1514" s="94"/>
      <c r="E1514" s="94"/>
      <c r="F1514" s="94"/>
      <c r="G1514" s="94"/>
      <c r="H1514" s="94"/>
      <c r="I1514" s="94"/>
      <c r="J1514" s="94"/>
      <c r="K1514" s="94"/>
      <c r="L1514" s="94"/>
      <c r="M1514" s="94"/>
      <c r="N1514" s="94"/>
      <c r="O1514" s="93"/>
    </row>
    <row r="1515" spans="1:15" x14ac:dyDescent="0.25">
      <c r="A1515" s="266"/>
      <c r="B1515" s="265"/>
      <c r="C1515" s="265"/>
      <c r="D1515" s="265"/>
      <c r="E1515" s="265"/>
      <c r="F1515" s="94"/>
      <c r="G1515" s="94"/>
      <c r="H1515" s="94"/>
      <c r="I1515" s="94"/>
      <c r="J1515" s="94"/>
      <c r="K1515" s="94"/>
      <c r="L1515" s="94"/>
      <c r="M1515" s="94"/>
      <c r="N1515" s="94"/>
      <c r="O1515" s="93"/>
    </row>
    <row r="1516" spans="1:15" x14ac:dyDescent="0.25">
      <c r="A1516" s="1453" t="s">
        <v>67</v>
      </c>
      <c r="B1516" s="1452" t="s">
        <v>112</v>
      </c>
      <c r="C1516" s="1452" t="s">
        <v>66</v>
      </c>
      <c r="D1516" s="1452" t="s">
        <v>65</v>
      </c>
      <c r="E1516" s="1452" t="s">
        <v>81</v>
      </c>
      <c r="F1516" s="1449" t="s">
        <v>80</v>
      </c>
      <c r="G1516" s="1449" t="s">
        <v>79</v>
      </c>
      <c r="H1516" s="1449" t="s">
        <v>78</v>
      </c>
      <c r="I1516" s="1449" t="s">
        <v>111</v>
      </c>
      <c r="J1516" s="1449" t="s">
        <v>110</v>
      </c>
      <c r="K1516" s="1449" t="s">
        <v>109</v>
      </c>
      <c r="L1516" s="1449" t="s">
        <v>108</v>
      </c>
      <c r="M1516" s="1449" t="s">
        <v>40</v>
      </c>
      <c r="N1516" s="1449" t="s">
        <v>58</v>
      </c>
      <c r="O1516" s="93"/>
    </row>
    <row r="1517" spans="1:15" ht="30" x14ac:dyDescent="0.25">
      <c r="A1517" s="282">
        <v>10</v>
      </c>
      <c r="B1517" s="354" t="s">
        <v>852</v>
      </c>
      <c r="C1517" s="292" t="s">
        <v>2494</v>
      </c>
      <c r="D1517" s="283">
        <v>4.2</v>
      </c>
      <c r="E1517" s="380">
        <v>35</v>
      </c>
      <c r="F1517" s="282" t="s">
        <v>68</v>
      </c>
      <c r="G1517" s="282">
        <v>15</v>
      </c>
      <c r="H1517" s="278" t="s">
        <v>68</v>
      </c>
      <c r="I1517" s="281" t="s">
        <v>2495</v>
      </c>
      <c r="J1517" s="403">
        <f>35*15/1000000</f>
        <v>5.2499999999999997E-4</v>
      </c>
      <c r="K1517" s="279">
        <v>3.5000000000000003E-2</v>
      </c>
      <c r="L1517" s="278">
        <v>2710</v>
      </c>
      <c r="M1517" s="302">
        <v>1</v>
      </c>
      <c r="N1517" s="276">
        <f>IF(J1517="",D1517*M1517,D1517*J1517*K1517*L1517*M1517)</f>
        <v>0.20914425</v>
      </c>
      <c r="O1517" s="143"/>
    </row>
    <row r="1518" spans="1:15" x14ac:dyDescent="0.25">
      <c r="A1518" s="98"/>
      <c r="B1518" s="95"/>
      <c r="C1518" s="95"/>
      <c r="D1518" s="95"/>
      <c r="E1518" s="95"/>
      <c r="F1518" s="95"/>
      <c r="G1518" s="95"/>
      <c r="H1518" s="95"/>
      <c r="I1518" s="95"/>
      <c r="J1518" s="95"/>
      <c r="K1518" s="95"/>
      <c r="L1518" s="95"/>
      <c r="M1518" s="1451" t="s">
        <v>58</v>
      </c>
      <c r="N1518" s="1447">
        <f>SUM(N1517:N1517)</f>
        <v>0.20914425</v>
      </c>
      <c r="O1518" s="93"/>
    </row>
    <row r="1519" spans="1:15" x14ac:dyDescent="0.25">
      <c r="A1519" s="107"/>
      <c r="B1519" s="94"/>
      <c r="C1519" s="94"/>
      <c r="D1519" s="94"/>
      <c r="E1519" s="94"/>
      <c r="F1519" s="94"/>
      <c r="G1519" s="94"/>
      <c r="H1519" s="94"/>
      <c r="I1519" s="94"/>
      <c r="J1519" s="94"/>
      <c r="K1519" s="94"/>
      <c r="L1519" s="94"/>
      <c r="M1519" s="94"/>
      <c r="N1519" s="94"/>
      <c r="O1519" s="93"/>
    </row>
    <row r="1520" spans="1:15" x14ac:dyDescent="0.25">
      <c r="A1520" s="1450" t="s">
        <v>67</v>
      </c>
      <c r="B1520" s="1449" t="s">
        <v>106</v>
      </c>
      <c r="C1520" s="1449" t="s">
        <v>66</v>
      </c>
      <c r="D1520" s="1449" t="s">
        <v>65</v>
      </c>
      <c r="E1520" s="1449" t="s">
        <v>64</v>
      </c>
      <c r="F1520" s="1449" t="s">
        <v>40</v>
      </c>
      <c r="G1520" s="1449" t="s">
        <v>105</v>
      </c>
      <c r="H1520" s="1449" t="s">
        <v>104</v>
      </c>
      <c r="I1520" s="1449" t="s">
        <v>58</v>
      </c>
      <c r="J1520" s="95"/>
      <c r="K1520" s="95"/>
      <c r="L1520" s="95"/>
      <c r="M1520" s="95"/>
      <c r="N1520" s="95"/>
      <c r="O1520" s="93"/>
    </row>
    <row r="1521" spans="1:15" ht="30" x14ac:dyDescent="0.25">
      <c r="A1521" s="282">
        <v>10</v>
      </c>
      <c r="B1521" s="309" t="s">
        <v>516</v>
      </c>
      <c r="C1521" s="285" t="s">
        <v>802</v>
      </c>
      <c r="D1521" s="283">
        <v>1.3</v>
      </c>
      <c r="E1521" s="282"/>
      <c r="F1521" s="282">
        <v>1</v>
      </c>
      <c r="G1521" s="282"/>
      <c r="H1521" s="282"/>
      <c r="I1521" s="293">
        <f>IF(H1521="",D1521*F1521,D1521*F1521*H1521)</f>
        <v>1.3</v>
      </c>
      <c r="J1521" s="142"/>
      <c r="K1521" s="142"/>
      <c r="L1521" s="142"/>
      <c r="M1521" s="142"/>
      <c r="N1521" s="142"/>
      <c r="O1521" s="120"/>
    </row>
    <row r="1522" spans="1:15" ht="30" x14ac:dyDescent="0.25">
      <c r="A1522" s="1457">
        <v>20</v>
      </c>
      <c r="B1522" s="309" t="s">
        <v>541</v>
      </c>
      <c r="C1522" s="292" t="s">
        <v>2494</v>
      </c>
      <c r="D1522" s="283">
        <v>0.01</v>
      </c>
      <c r="E1522" s="282" t="s">
        <v>101</v>
      </c>
      <c r="F1522" s="282">
        <v>24.6</v>
      </c>
      <c r="G1522" s="309" t="s">
        <v>870</v>
      </c>
      <c r="H1522" s="282">
        <v>1</v>
      </c>
      <c r="I1522" s="293">
        <f>IF(H1522="",D1522*F1522,D1522*F1522*H1522)</f>
        <v>0.24600000000000002</v>
      </c>
      <c r="J1522" s="94"/>
      <c r="K1522" s="94"/>
      <c r="L1522" s="94"/>
      <c r="M1522" s="94"/>
      <c r="N1522" s="94"/>
      <c r="O1522" s="93"/>
    </row>
    <row r="1523" spans="1:15" x14ac:dyDescent="0.25">
      <c r="A1523" s="98"/>
      <c r="B1523" s="95"/>
      <c r="C1523" s="95"/>
      <c r="D1523" s="95"/>
      <c r="E1523" s="95"/>
      <c r="F1523" s="95"/>
      <c r="G1523" s="95"/>
      <c r="H1523" s="1448" t="s">
        <v>58</v>
      </c>
      <c r="I1523" s="1447">
        <f>SUM(I1521:I1522)</f>
        <v>1.546</v>
      </c>
      <c r="J1523" s="95"/>
      <c r="K1523" s="95"/>
      <c r="L1523" s="95"/>
      <c r="M1523" s="95"/>
      <c r="N1523" s="95"/>
      <c r="O1523" s="93"/>
    </row>
    <row r="1524" spans="1:15" x14ac:dyDescent="0.25">
      <c r="A1524" s="107"/>
      <c r="B1524" s="94"/>
      <c r="C1524" s="94"/>
      <c r="D1524" s="94"/>
      <c r="E1524" s="94"/>
      <c r="F1524" s="94"/>
      <c r="G1524" s="94"/>
      <c r="H1524" s="94"/>
      <c r="I1524" s="99"/>
      <c r="J1524" s="94"/>
      <c r="K1524" s="94"/>
      <c r="L1524" s="94"/>
      <c r="M1524" s="94"/>
      <c r="N1524" s="94"/>
      <c r="O1524" s="93"/>
    </row>
    <row r="1525" spans="1:15" ht="15.75" thickBot="1" x14ac:dyDescent="0.3">
      <c r="A1525" s="92"/>
      <c r="B1525" s="91"/>
      <c r="C1525" s="91"/>
      <c r="D1525" s="91"/>
      <c r="E1525" s="91"/>
      <c r="F1525" s="91"/>
      <c r="G1525" s="91"/>
      <c r="H1525" s="91"/>
      <c r="I1525" s="91"/>
      <c r="J1525" s="91"/>
      <c r="K1525" s="91"/>
      <c r="L1525" s="91"/>
      <c r="M1525" s="91"/>
      <c r="N1525" s="91"/>
      <c r="O1525" s="90"/>
    </row>
    <row r="1526" spans="1:15" ht="15.75" thickBot="1" x14ac:dyDescent="0.3"/>
    <row r="1527" spans="1:15" x14ac:dyDescent="0.25">
      <c r="A1527" s="141"/>
      <c r="B1527" s="140"/>
      <c r="C1527" s="140"/>
      <c r="D1527" s="140"/>
      <c r="E1527" s="140"/>
      <c r="F1527" s="140"/>
      <c r="G1527" s="140"/>
      <c r="H1527" s="140"/>
      <c r="I1527" s="140"/>
      <c r="J1527" s="272"/>
      <c r="K1527" s="140"/>
      <c r="L1527" s="140"/>
      <c r="M1527" s="140"/>
      <c r="N1527" s="140"/>
      <c r="O1527" s="139"/>
    </row>
    <row r="1528" spans="1:15" x14ac:dyDescent="0.25">
      <c r="A1528" s="1454" t="s">
        <v>57</v>
      </c>
      <c r="B1528" s="133" t="s">
        <v>523</v>
      </c>
      <c r="C1528" s="94"/>
      <c r="D1528" s="94"/>
      <c r="E1528" s="94"/>
      <c r="F1528" s="94"/>
      <c r="G1528" s="94"/>
      <c r="H1528" s="94"/>
      <c r="I1528" s="94"/>
      <c r="J1528" s="1456" t="s">
        <v>51</v>
      </c>
      <c r="K1528" s="138">
        <v>81</v>
      </c>
      <c r="L1528" s="94"/>
      <c r="M1528" s="1454" t="s">
        <v>113</v>
      </c>
      <c r="N1528" s="100">
        <f>SU_12004_m+SU_12004_p</f>
        <v>1.3620026539555241</v>
      </c>
      <c r="O1528" s="93"/>
    </row>
    <row r="1529" spans="1:15" x14ac:dyDescent="0.25">
      <c r="A1529" s="1454" t="s">
        <v>125</v>
      </c>
      <c r="B1529" s="133" t="s">
        <v>5</v>
      </c>
      <c r="C1529" s="94"/>
      <c r="D1529" s="1454" t="s">
        <v>122</v>
      </c>
      <c r="E1529" s="94"/>
      <c r="F1529" s="94"/>
      <c r="G1529" s="94"/>
      <c r="H1529" s="94"/>
      <c r="I1529" s="94"/>
      <c r="J1529" s="94"/>
      <c r="K1529" s="94"/>
      <c r="L1529" s="94"/>
      <c r="M1529" s="1454" t="s">
        <v>124</v>
      </c>
      <c r="N1529" s="136">
        <v>2</v>
      </c>
      <c r="O1529" s="93"/>
    </row>
    <row r="1530" spans="1:15" x14ac:dyDescent="0.25">
      <c r="A1530" s="1454" t="s">
        <v>123</v>
      </c>
      <c r="B1530" s="270" t="str">
        <f>'SU Assemblies'!B586</f>
        <v>Rear upright assembly</v>
      </c>
      <c r="C1530" s="94"/>
      <c r="D1530" s="1454" t="s">
        <v>119</v>
      </c>
      <c r="E1530" s="94"/>
      <c r="F1530" s="94"/>
      <c r="G1530" s="94"/>
      <c r="H1530" s="94"/>
      <c r="I1530" s="94"/>
      <c r="J1530" s="1455" t="s">
        <v>122</v>
      </c>
      <c r="K1530" s="94"/>
      <c r="L1530" s="94"/>
      <c r="M1530" s="94"/>
      <c r="N1530" s="94"/>
      <c r="O1530" s="93"/>
    </row>
    <row r="1531" spans="1:15" x14ac:dyDescent="0.25">
      <c r="A1531" s="1454" t="s">
        <v>114</v>
      </c>
      <c r="B1531" s="135" t="s">
        <v>2493</v>
      </c>
      <c r="C1531" s="94"/>
      <c r="D1531" s="1454" t="s">
        <v>116</v>
      </c>
      <c r="E1531" s="94"/>
      <c r="F1531" s="94"/>
      <c r="G1531" s="94"/>
      <c r="H1531" s="94"/>
      <c r="I1531" s="94"/>
      <c r="J1531" s="1455" t="s">
        <v>119</v>
      </c>
      <c r="K1531" s="94"/>
      <c r="L1531" s="94"/>
      <c r="M1531" s="1454" t="s">
        <v>118</v>
      </c>
      <c r="N1531" s="100">
        <f>N1529*N1528</f>
        <v>2.7240053079110482</v>
      </c>
      <c r="O1531" s="93"/>
    </row>
    <row r="1532" spans="1:15" x14ac:dyDescent="0.25">
      <c r="A1532" s="1454" t="s">
        <v>121</v>
      </c>
      <c r="B1532" s="269" t="s">
        <v>2492</v>
      </c>
      <c r="C1532" s="94"/>
      <c r="D1532" s="94"/>
      <c r="E1532" s="94"/>
      <c r="F1532" s="94"/>
      <c r="G1532" s="94"/>
      <c r="H1532" s="94"/>
      <c r="I1532" s="94"/>
      <c r="J1532" s="1455" t="s">
        <v>116</v>
      </c>
      <c r="K1532" s="94"/>
      <c r="L1532" s="94"/>
      <c r="M1532" s="94"/>
      <c r="N1532" s="94"/>
      <c r="O1532" s="93"/>
    </row>
    <row r="1533" spans="1:15" x14ac:dyDescent="0.25">
      <c r="A1533" s="1454" t="s">
        <v>117</v>
      </c>
      <c r="B1533" s="133" t="s">
        <v>23</v>
      </c>
      <c r="C1533" s="94"/>
      <c r="D1533" s="94"/>
      <c r="E1533" s="94"/>
      <c r="F1533" s="94"/>
      <c r="G1533" s="94"/>
      <c r="H1533" s="94"/>
      <c r="I1533" s="94"/>
      <c r="J1533" s="94"/>
      <c r="K1533" s="94"/>
      <c r="L1533" s="94"/>
      <c r="M1533" s="94"/>
      <c r="N1533" s="94"/>
      <c r="O1533" s="93"/>
    </row>
    <row r="1534" spans="1:15" x14ac:dyDescent="0.25">
      <c r="A1534" s="1454" t="s">
        <v>115</v>
      </c>
      <c r="B1534" s="133" t="s">
        <v>2489</v>
      </c>
      <c r="C1534" s="94"/>
      <c r="D1534" s="94"/>
      <c r="E1534" s="94"/>
      <c r="F1534" s="94"/>
      <c r="G1534" s="94"/>
      <c r="H1534" s="94"/>
      <c r="I1534" s="94"/>
      <c r="J1534" s="94"/>
      <c r="K1534" s="94"/>
      <c r="L1534" s="94"/>
      <c r="M1534" s="94"/>
      <c r="N1534" s="94"/>
      <c r="O1534" s="93"/>
    </row>
    <row r="1535" spans="1:15" x14ac:dyDescent="0.25">
      <c r="A1535" s="266"/>
      <c r="B1535" s="265"/>
      <c r="C1535" s="265"/>
      <c r="D1535" s="265"/>
      <c r="E1535" s="265"/>
      <c r="F1535" s="94"/>
      <c r="G1535" s="94"/>
      <c r="H1535" s="94"/>
      <c r="I1535" s="94"/>
      <c r="J1535" s="94"/>
      <c r="K1535" s="94"/>
      <c r="L1535" s="94"/>
      <c r="M1535" s="94"/>
      <c r="N1535" s="94"/>
      <c r="O1535" s="93"/>
    </row>
    <row r="1536" spans="1:15" x14ac:dyDescent="0.25">
      <c r="A1536" s="1453" t="s">
        <v>67</v>
      </c>
      <c r="B1536" s="1452" t="s">
        <v>112</v>
      </c>
      <c r="C1536" s="1452" t="s">
        <v>66</v>
      </c>
      <c r="D1536" s="1452" t="s">
        <v>65</v>
      </c>
      <c r="E1536" s="1452" t="s">
        <v>81</v>
      </c>
      <c r="F1536" s="1449" t="s">
        <v>80</v>
      </c>
      <c r="G1536" s="1449" t="s">
        <v>79</v>
      </c>
      <c r="H1536" s="1449" t="s">
        <v>78</v>
      </c>
      <c r="I1536" s="1449" t="s">
        <v>111</v>
      </c>
      <c r="J1536" s="1449" t="s">
        <v>110</v>
      </c>
      <c r="K1536" s="1449" t="s">
        <v>109</v>
      </c>
      <c r="L1536" s="1449" t="s">
        <v>108</v>
      </c>
      <c r="M1536" s="1449" t="s">
        <v>40</v>
      </c>
      <c r="N1536" s="1449" t="s">
        <v>58</v>
      </c>
      <c r="O1536" s="93"/>
    </row>
    <row r="1537" spans="1:15" ht="30" x14ac:dyDescent="0.25">
      <c r="A1537" s="282">
        <v>10</v>
      </c>
      <c r="B1537" s="292" t="s">
        <v>729</v>
      </c>
      <c r="C1537" s="282" t="s">
        <v>2488</v>
      </c>
      <c r="D1537" s="283">
        <v>4.2</v>
      </c>
      <c r="E1537" s="380">
        <v>18</v>
      </c>
      <c r="F1537" s="282" t="s">
        <v>68</v>
      </c>
      <c r="G1537" s="282"/>
      <c r="H1537" s="278"/>
      <c r="I1537" s="281" t="s">
        <v>2487</v>
      </c>
      <c r="J1537" s="295">
        <f>(PI()*0.018*0.018)/4</f>
        <v>2.5446900494077322E-4</v>
      </c>
      <c r="K1537" s="279">
        <v>5.0000000000000001E-3</v>
      </c>
      <c r="L1537" s="278">
        <v>7860</v>
      </c>
      <c r="M1537" s="302">
        <v>1</v>
      </c>
      <c r="N1537" s="276">
        <f>IF(J1537="",D1537*M1537,D1537*J1537*K1537*L1537*M1537)</f>
        <v>4.2002653955524029E-2</v>
      </c>
      <c r="O1537" s="143"/>
    </row>
    <row r="1538" spans="1:15" x14ac:dyDescent="0.25">
      <c r="A1538" s="98"/>
      <c r="B1538" s="95"/>
      <c r="C1538" s="95"/>
      <c r="D1538" s="95"/>
      <c r="E1538" s="95"/>
      <c r="F1538" s="95"/>
      <c r="G1538" s="95"/>
      <c r="H1538" s="95"/>
      <c r="I1538" s="95"/>
      <c r="J1538" s="95"/>
      <c r="K1538" s="95"/>
      <c r="L1538" s="95"/>
      <c r="M1538" s="1451" t="s">
        <v>58</v>
      </c>
      <c r="N1538" s="1447">
        <f>SUM(N1537:N1537)</f>
        <v>4.2002653955524029E-2</v>
      </c>
      <c r="O1538" s="93"/>
    </row>
    <row r="1539" spans="1:15" x14ac:dyDescent="0.25">
      <c r="A1539" s="107"/>
      <c r="B1539" s="94"/>
      <c r="C1539" s="94"/>
      <c r="D1539" s="94"/>
      <c r="E1539" s="94"/>
      <c r="F1539" s="94"/>
      <c r="G1539" s="94"/>
      <c r="H1539" s="94"/>
      <c r="I1539" s="94"/>
      <c r="J1539" s="94"/>
      <c r="K1539" s="94"/>
      <c r="L1539" s="94"/>
      <c r="M1539" s="94"/>
      <c r="N1539" s="94"/>
      <c r="O1539" s="93"/>
    </row>
    <row r="1540" spans="1:15" x14ac:dyDescent="0.25">
      <c r="A1540" s="1450" t="s">
        <v>67</v>
      </c>
      <c r="B1540" s="1449" t="s">
        <v>106</v>
      </c>
      <c r="C1540" s="1449" t="s">
        <v>66</v>
      </c>
      <c r="D1540" s="1449" t="s">
        <v>65</v>
      </c>
      <c r="E1540" s="1449" t="s">
        <v>64</v>
      </c>
      <c r="F1540" s="1449" t="s">
        <v>40</v>
      </c>
      <c r="G1540" s="1449" t="s">
        <v>105</v>
      </c>
      <c r="H1540" s="1449" t="s">
        <v>104</v>
      </c>
      <c r="I1540" s="1449" t="s">
        <v>58</v>
      </c>
      <c r="J1540" s="95"/>
      <c r="K1540" s="95"/>
      <c r="L1540" s="95"/>
      <c r="M1540" s="95"/>
      <c r="N1540" s="95"/>
      <c r="O1540" s="93"/>
    </row>
    <row r="1541" spans="1:15" ht="30" x14ac:dyDescent="0.25">
      <c r="A1541" s="282">
        <v>10</v>
      </c>
      <c r="B1541" s="309" t="s">
        <v>516</v>
      </c>
      <c r="C1541" s="285"/>
      <c r="D1541" s="283">
        <v>1.3</v>
      </c>
      <c r="E1541" s="282"/>
      <c r="F1541" s="282">
        <v>1</v>
      </c>
      <c r="G1541" s="282"/>
      <c r="H1541" s="282"/>
      <c r="I1541" s="293">
        <f>IF(H1541="",D1541*F1541,D1541*F1541*H1541)</f>
        <v>1.3</v>
      </c>
      <c r="J1541" s="142"/>
      <c r="K1541" s="142"/>
      <c r="L1541" s="142"/>
      <c r="M1541" s="142"/>
      <c r="N1541" s="142"/>
      <c r="O1541" s="120"/>
    </row>
    <row r="1542" spans="1:15" ht="30" x14ac:dyDescent="0.25">
      <c r="A1542" s="282">
        <v>20</v>
      </c>
      <c r="B1542" s="309" t="s">
        <v>514</v>
      </c>
      <c r="C1542" s="285"/>
      <c r="D1542" s="283">
        <v>0.04</v>
      </c>
      <c r="E1542" s="282" t="s">
        <v>512</v>
      </c>
      <c r="F1542" s="282">
        <v>0.5</v>
      </c>
      <c r="G1542" s="309" t="s">
        <v>870</v>
      </c>
      <c r="H1542" s="282">
        <v>1</v>
      </c>
      <c r="I1542" s="293">
        <f>IF(H1542="",D1542*F1542,D1542*F1542*H1542)</f>
        <v>0.02</v>
      </c>
      <c r="J1542" s="94"/>
      <c r="K1542" s="94"/>
      <c r="L1542" s="94"/>
      <c r="M1542" s="94"/>
      <c r="N1542" s="94"/>
      <c r="O1542" s="93"/>
    </row>
    <row r="1543" spans="1:15" x14ac:dyDescent="0.25">
      <c r="A1543" s="98"/>
      <c r="B1543" s="95"/>
      <c r="C1543" s="95"/>
      <c r="D1543" s="95"/>
      <c r="E1543" s="95"/>
      <c r="F1543" s="95"/>
      <c r="G1543" s="95"/>
      <c r="H1543" s="1448" t="s">
        <v>58</v>
      </c>
      <c r="I1543" s="1447">
        <f>SUM(I1541:I1542)</f>
        <v>1.32</v>
      </c>
      <c r="J1543" s="95"/>
      <c r="K1543" s="95"/>
      <c r="L1543" s="95"/>
      <c r="M1543" s="95"/>
      <c r="N1543" s="95"/>
      <c r="O1543" s="93"/>
    </row>
    <row r="1544" spans="1:15" x14ac:dyDescent="0.25">
      <c r="A1544" s="107"/>
      <c r="B1544" s="94"/>
      <c r="C1544" s="94"/>
      <c r="D1544" s="94"/>
      <c r="E1544" s="94"/>
      <c r="F1544" s="94"/>
      <c r="G1544" s="94"/>
      <c r="H1544" s="94"/>
      <c r="I1544" s="99"/>
      <c r="J1544" s="94"/>
      <c r="K1544" s="94"/>
      <c r="L1544" s="94"/>
      <c r="M1544" s="94"/>
      <c r="N1544" s="94"/>
      <c r="O1544" s="93"/>
    </row>
    <row r="1545" spans="1:15" ht="15.75" thickBot="1" x14ac:dyDescent="0.3">
      <c r="A1545" s="92"/>
      <c r="B1545" s="91"/>
      <c r="C1545" s="91"/>
      <c r="D1545" s="91"/>
      <c r="E1545" s="91"/>
      <c r="F1545" s="91"/>
      <c r="G1545" s="91"/>
      <c r="H1545" s="91"/>
      <c r="I1545" s="91"/>
      <c r="J1545" s="91"/>
      <c r="K1545" s="91"/>
      <c r="L1545" s="91"/>
      <c r="M1545" s="91"/>
      <c r="N1545" s="91"/>
      <c r="O1545" s="90"/>
    </row>
    <row r="1546" spans="1:15" ht="15.75" thickBot="1" x14ac:dyDescent="0.3"/>
    <row r="1547" spans="1:15" x14ac:dyDescent="0.25">
      <c r="A1547" s="141"/>
      <c r="B1547" s="140"/>
      <c r="C1547" s="140"/>
      <c r="D1547" s="140"/>
      <c r="E1547" s="140"/>
      <c r="F1547" s="140"/>
      <c r="G1547" s="140"/>
      <c r="H1547" s="140"/>
      <c r="I1547" s="140"/>
      <c r="J1547" s="272"/>
      <c r="K1547" s="140"/>
      <c r="L1547" s="140"/>
      <c r="M1547" s="140"/>
      <c r="N1547" s="140"/>
      <c r="O1547" s="139"/>
    </row>
    <row r="1548" spans="1:15" x14ac:dyDescent="0.25">
      <c r="A1548" s="1454" t="s">
        <v>57</v>
      </c>
      <c r="B1548" s="133" t="s">
        <v>523</v>
      </c>
      <c r="C1548" s="94"/>
      <c r="D1548" s="94"/>
      <c r="E1548" s="94"/>
      <c r="F1548" s="94"/>
      <c r="G1548" s="94"/>
      <c r="H1548" s="94"/>
      <c r="I1548" s="94"/>
      <c r="J1548" s="1456" t="s">
        <v>51</v>
      </c>
      <c r="K1548" s="138">
        <v>81</v>
      </c>
      <c r="L1548" s="94"/>
      <c r="M1548" s="1454" t="s">
        <v>113</v>
      </c>
      <c r="N1548" s="100">
        <f>SU_12005_m+SU_12005_p</f>
        <v>1.3895031278761534</v>
      </c>
      <c r="O1548" s="93"/>
    </row>
    <row r="1549" spans="1:15" x14ac:dyDescent="0.25">
      <c r="A1549" s="1454" t="s">
        <v>125</v>
      </c>
      <c r="B1549" s="133" t="s">
        <v>5</v>
      </c>
      <c r="C1549" s="94"/>
      <c r="D1549" s="1454" t="s">
        <v>122</v>
      </c>
      <c r="E1549" s="94"/>
      <c r="F1549" s="94"/>
      <c r="G1549" s="94"/>
      <c r="H1549" s="94"/>
      <c r="I1549" s="94"/>
      <c r="J1549" s="94"/>
      <c r="K1549" s="94"/>
      <c r="L1549" s="94"/>
      <c r="M1549" s="1454" t="s">
        <v>124</v>
      </c>
      <c r="N1549" s="136">
        <v>2</v>
      </c>
      <c r="O1549" s="93"/>
    </row>
    <row r="1550" spans="1:15" x14ac:dyDescent="0.25">
      <c r="A1550" s="1454" t="s">
        <v>123</v>
      </c>
      <c r="B1550" s="270" t="str">
        <f>'SU Assemblies'!B586</f>
        <v>Rear upright assembly</v>
      </c>
      <c r="C1550" s="94"/>
      <c r="D1550" s="1454" t="s">
        <v>119</v>
      </c>
      <c r="E1550" s="94"/>
      <c r="F1550" s="94"/>
      <c r="G1550" s="94"/>
      <c r="H1550" s="94"/>
      <c r="I1550" s="94"/>
      <c r="J1550" s="1455" t="s">
        <v>122</v>
      </c>
      <c r="K1550" s="94"/>
      <c r="L1550" s="94"/>
      <c r="M1550" s="94"/>
      <c r="N1550" s="94"/>
      <c r="O1550" s="93"/>
    </row>
    <row r="1551" spans="1:15" x14ac:dyDescent="0.25">
      <c r="A1551" s="1454" t="s">
        <v>114</v>
      </c>
      <c r="B1551" s="135" t="s">
        <v>2491</v>
      </c>
      <c r="C1551" s="94"/>
      <c r="D1551" s="1454" t="s">
        <v>116</v>
      </c>
      <c r="E1551" s="94"/>
      <c r="F1551" s="94"/>
      <c r="G1551" s="94"/>
      <c r="H1551" s="94"/>
      <c r="I1551" s="94"/>
      <c r="J1551" s="1455" t="s">
        <v>119</v>
      </c>
      <c r="K1551" s="94"/>
      <c r="L1551" s="94"/>
      <c r="M1551" s="1454" t="s">
        <v>118</v>
      </c>
      <c r="N1551" s="100">
        <f>N1549*N1548</f>
        <v>2.7790062557523068</v>
      </c>
      <c r="O1551" s="93"/>
    </row>
    <row r="1552" spans="1:15" x14ac:dyDescent="0.25">
      <c r="A1552" s="1454" t="s">
        <v>121</v>
      </c>
      <c r="B1552" s="269" t="s">
        <v>2490</v>
      </c>
      <c r="C1552" s="94"/>
      <c r="D1552" s="94"/>
      <c r="E1552" s="94"/>
      <c r="F1552" s="94"/>
      <c r="G1552" s="94"/>
      <c r="H1552" s="94"/>
      <c r="I1552" s="94"/>
      <c r="J1552" s="1455" t="s">
        <v>116</v>
      </c>
      <c r="K1552" s="94"/>
      <c r="L1552" s="94"/>
      <c r="M1552" s="94"/>
      <c r="N1552" s="94"/>
      <c r="O1552" s="93"/>
    </row>
    <row r="1553" spans="1:15" x14ac:dyDescent="0.25">
      <c r="A1553" s="1454" t="s">
        <v>117</v>
      </c>
      <c r="B1553" s="133" t="s">
        <v>23</v>
      </c>
      <c r="C1553" s="94"/>
      <c r="D1553" s="94"/>
      <c r="E1553" s="94"/>
      <c r="F1553" s="94"/>
      <c r="G1553" s="94"/>
      <c r="H1553" s="94"/>
      <c r="I1553" s="94"/>
      <c r="J1553" s="94"/>
      <c r="K1553" s="94"/>
      <c r="L1553" s="94"/>
      <c r="M1553" s="94"/>
      <c r="N1553" s="94"/>
      <c r="O1553" s="93"/>
    </row>
    <row r="1554" spans="1:15" x14ac:dyDescent="0.25">
      <c r="A1554" s="1454" t="s">
        <v>115</v>
      </c>
      <c r="B1554" s="133" t="s">
        <v>2489</v>
      </c>
      <c r="C1554" s="94"/>
      <c r="D1554" s="94"/>
      <c r="E1554" s="94"/>
      <c r="F1554" s="94"/>
      <c r="G1554" s="94"/>
      <c r="H1554" s="94"/>
      <c r="I1554" s="94"/>
      <c r="J1554" s="94"/>
      <c r="K1554" s="94"/>
      <c r="L1554" s="94"/>
      <c r="M1554" s="94"/>
      <c r="N1554" s="94"/>
      <c r="O1554" s="93"/>
    </row>
    <row r="1555" spans="1:15" x14ac:dyDescent="0.25">
      <c r="A1555" s="266"/>
      <c r="B1555" s="265"/>
      <c r="C1555" s="265"/>
      <c r="D1555" s="265"/>
      <c r="E1555" s="265"/>
      <c r="F1555" s="94"/>
      <c r="G1555" s="94"/>
      <c r="H1555" s="94"/>
      <c r="I1555" s="94"/>
      <c r="J1555" s="94"/>
      <c r="K1555" s="94"/>
      <c r="L1555" s="94"/>
      <c r="M1555" s="94"/>
      <c r="N1555" s="94"/>
      <c r="O1555" s="93"/>
    </row>
    <row r="1556" spans="1:15" x14ac:dyDescent="0.25">
      <c r="A1556" s="1453" t="s">
        <v>67</v>
      </c>
      <c r="B1556" s="1452" t="s">
        <v>112</v>
      </c>
      <c r="C1556" s="1452" t="s">
        <v>66</v>
      </c>
      <c r="D1556" s="1452" t="s">
        <v>65</v>
      </c>
      <c r="E1556" s="1452" t="s">
        <v>81</v>
      </c>
      <c r="F1556" s="1449" t="s">
        <v>80</v>
      </c>
      <c r="G1556" s="1449" t="s">
        <v>79</v>
      </c>
      <c r="H1556" s="1449" t="s">
        <v>78</v>
      </c>
      <c r="I1556" s="1449" t="s">
        <v>111</v>
      </c>
      <c r="J1556" s="1449" t="s">
        <v>110</v>
      </c>
      <c r="K1556" s="1449" t="s">
        <v>109</v>
      </c>
      <c r="L1556" s="1449" t="s">
        <v>108</v>
      </c>
      <c r="M1556" s="1449" t="s">
        <v>40</v>
      </c>
      <c r="N1556" s="1449" t="s">
        <v>58</v>
      </c>
      <c r="O1556" s="93"/>
    </row>
    <row r="1557" spans="1:15" ht="30" x14ac:dyDescent="0.25">
      <c r="A1557" s="282">
        <v>10</v>
      </c>
      <c r="B1557" s="292" t="s">
        <v>729</v>
      </c>
      <c r="C1557" s="282" t="s">
        <v>2488</v>
      </c>
      <c r="D1557" s="283">
        <v>2.25</v>
      </c>
      <c r="E1557" s="303">
        <v>18</v>
      </c>
      <c r="F1557" s="282" t="s">
        <v>68</v>
      </c>
      <c r="G1557" s="282"/>
      <c r="H1557" s="278"/>
      <c r="I1557" s="281" t="s">
        <v>2487</v>
      </c>
      <c r="J1557" s="295">
        <f>(PI()*0.018*0.018)/4</f>
        <v>2.5446900494077322E-4</v>
      </c>
      <c r="K1557" s="279">
        <v>1.0999999999999999E-2</v>
      </c>
      <c r="L1557" s="278">
        <v>7860</v>
      </c>
      <c r="M1557" s="302">
        <v>1</v>
      </c>
      <c r="N1557" s="276">
        <f>IF(J1557="",D1557*M1557,D1557*J1557*K1557*L1557*M1557)</f>
        <v>4.9503127876153317E-2</v>
      </c>
      <c r="O1557" s="143"/>
    </row>
    <row r="1558" spans="1:15" x14ac:dyDescent="0.25">
      <c r="A1558" s="98"/>
      <c r="B1558" s="95"/>
      <c r="C1558" s="95"/>
      <c r="D1558" s="95"/>
      <c r="E1558" s="95"/>
      <c r="F1558" s="95"/>
      <c r="G1558" s="95"/>
      <c r="H1558" s="95"/>
      <c r="I1558" s="95"/>
      <c r="J1558" s="95"/>
      <c r="K1558" s="95"/>
      <c r="L1558" s="95"/>
      <c r="M1558" s="1451" t="s">
        <v>58</v>
      </c>
      <c r="N1558" s="1447">
        <f>SUM(N1557:N1557)</f>
        <v>4.9503127876153317E-2</v>
      </c>
      <c r="O1558" s="93"/>
    </row>
    <row r="1559" spans="1:15" x14ac:dyDescent="0.25">
      <c r="A1559" s="107"/>
      <c r="B1559" s="94"/>
      <c r="C1559" s="94"/>
      <c r="D1559" s="94"/>
      <c r="E1559" s="94"/>
      <c r="F1559" s="94"/>
      <c r="G1559" s="94"/>
      <c r="H1559" s="94"/>
      <c r="I1559" s="94"/>
      <c r="J1559" s="94"/>
      <c r="K1559" s="94"/>
      <c r="L1559" s="94"/>
      <c r="M1559" s="94"/>
      <c r="N1559" s="94"/>
      <c r="O1559" s="93"/>
    </row>
    <row r="1560" spans="1:15" x14ac:dyDescent="0.25">
      <c r="A1560" s="1450" t="s">
        <v>67</v>
      </c>
      <c r="B1560" s="1449" t="s">
        <v>106</v>
      </c>
      <c r="C1560" s="1449" t="s">
        <v>66</v>
      </c>
      <c r="D1560" s="1449" t="s">
        <v>65</v>
      </c>
      <c r="E1560" s="1449" t="s">
        <v>64</v>
      </c>
      <c r="F1560" s="1449" t="s">
        <v>40</v>
      </c>
      <c r="G1560" s="1449" t="s">
        <v>105</v>
      </c>
      <c r="H1560" s="1449" t="s">
        <v>104</v>
      </c>
      <c r="I1560" s="1449" t="s">
        <v>58</v>
      </c>
      <c r="J1560" s="95"/>
      <c r="K1560" s="95"/>
      <c r="L1560" s="95"/>
      <c r="M1560" s="95"/>
      <c r="N1560" s="95"/>
      <c r="O1560" s="93"/>
    </row>
    <row r="1561" spans="1:15" ht="30" x14ac:dyDescent="0.25">
      <c r="A1561" s="282">
        <v>10</v>
      </c>
      <c r="B1561" s="309" t="s">
        <v>516</v>
      </c>
      <c r="C1561" s="285"/>
      <c r="D1561" s="283">
        <v>1.3</v>
      </c>
      <c r="E1561" s="282"/>
      <c r="F1561" s="282">
        <v>1</v>
      </c>
      <c r="G1561" s="282"/>
      <c r="H1561" s="282"/>
      <c r="I1561" s="293">
        <f>IF(H1561="",D1561*F1561,D1561*F1561*H1561)</f>
        <v>1.3</v>
      </c>
      <c r="J1561" s="142"/>
      <c r="K1561" s="142"/>
      <c r="L1561" s="142"/>
      <c r="M1561" s="142"/>
      <c r="N1561" s="142"/>
      <c r="O1561" s="120"/>
    </row>
    <row r="1562" spans="1:15" ht="30" x14ac:dyDescent="0.25">
      <c r="A1562" s="282">
        <v>20</v>
      </c>
      <c r="B1562" s="309" t="s">
        <v>514</v>
      </c>
      <c r="C1562" s="285"/>
      <c r="D1562" s="283">
        <v>0.04</v>
      </c>
      <c r="E1562" s="282" t="s">
        <v>512</v>
      </c>
      <c r="F1562" s="282">
        <v>1</v>
      </c>
      <c r="G1562" s="309" t="s">
        <v>870</v>
      </c>
      <c r="H1562" s="282">
        <v>1</v>
      </c>
      <c r="I1562" s="293">
        <f>IF(H1562="",D1562*F1562,D1562*F1562*H1562)</f>
        <v>0.04</v>
      </c>
      <c r="J1562" s="94"/>
      <c r="K1562" s="94"/>
      <c r="L1562" s="94"/>
      <c r="M1562" s="94"/>
      <c r="N1562" s="94"/>
      <c r="O1562" s="93"/>
    </row>
    <row r="1563" spans="1:15" x14ac:dyDescent="0.25">
      <c r="A1563" s="98"/>
      <c r="B1563" s="95"/>
      <c r="C1563" s="95"/>
      <c r="D1563" s="95"/>
      <c r="E1563" s="95"/>
      <c r="F1563" s="95"/>
      <c r="G1563" s="95"/>
      <c r="H1563" s="1448" t="s">
        <v>58</v>
      </c>
      <c r="I1563" s="1447">
        <f>SUM(I1561:I1562)</f>
        <v>1.34</v>
      </c>
      <c r="J1563" s="95"/>
      <c r="K1563" s="95"/>
      <c r="L1563" s="95"/>
      <c r="M1563" s="95"/>
      <c r="N1563" s="95"/>
      <c r="O1563" s="93"/>
    </row>
    <row r="1564" spans="1:15" x14ac:dyDescent="0.25">
      <c r="A1564" s="107"/>
      <c r="B1564" s="94"/>
      <c r="C1564" s="94"/>
      <c r="D1564" s="94"/>
      <c r="E1564" s="94"/>
      <c r="F1564" s="94"/>
      <c r="G1564" s="94"/>
      <c r="H1564" s="94"/>
      <c r="I1564" s="99"/>
      <c r="J1564" s="94"/>
      <c r="K1564" s="94"/>
      <c r="L1564" s="94"/>
      <c r="M1564" s="94"/>
      <c r="N1564" s="94"/>
      <c r="O1564" s="93"/>
    </row>
    <row r="1565" spans="1:15" ht="15.75" thickBot="1" x14ac:dyDescent="0.3">
      <c r="A1565" s="92"/>
      <c r="B1565" s="91"/>
      <c r="C1565" s="91"/>
      <c r="D1565" s="91"/>
      <c r="E1565" s="91"/>
      <c r="F1565" s="91"/>
      <c r="G1565" s="91"/>
      <c r="H1565" s="91"/>
      <c r="I1565" s="91"/>
      <c r="J1565" s="91"/>
      <c r="K1565" s="91"/>
      <c r="L1565" s="91"/>
      <c r="M1565" s="91"/>
      <c r="N1565" s="91"/>
      <c r="O1565" s="90"/>
    </row>
  </sheetData>
  <hyperlinks>
    <hyperlink ref="B4" location="'SU Assemblies'!A1" display="'SU Assemblies'!A1"/>
    <hyperlink ref="E3" location="dSU_01001" display="Drawing"/>
    <hyperlink ref="B27" location="SU_A0001" display="SU_A0001"/>
    <hyperlink ref="E26" location="dSU_01002" display="dSU_01002"/>
    <hyperlink ref="B56" location="SU_A0001" display="Lower Front A-Arm"/>
    <hyperlink ref="B74" location="SU_A0001" display="Lower Front A-Arm"/>
    <hyperlink ref="B95" location="'SU Assemblies'!A1" display="'SU Assemblies'!A1"/>
    <hyperlink ref="B116" location="'SU Assemblies'!A1" display="'SU Assemblies'!A1"/>
    <hyperlink ref="B137" location="'SU Assemblies'!A1" display="'SU Assemblies'!A1"/>
    <hyperlink ref="E136" location="dSU_01007" display="drawing"/>
    <hyperlink ref="B161" location="'SU Assemblies'!A1" display="'SU Assemblies'!A1"/>
    <hyperlink ref="E160" location="dSU_10007" display="drawing"/>
    <hyperlink ref="B186" location="SU_A0002" display="SU_A0002"/>
    <hyperlink ref="E185" location="dSU_01001" display="Drawing"/>
    <hyperlink ref="E208" location="dSU_02002" display="drawing"/>
    <hyperlink ref="B209" location="SU_A0002" display="SU_A0002"/>
    <hyperlink ref="B235" location="SU_A0002" display="Upper Front A-Arm"/>
    <hyperlink ref="B253" location="SU_A0002" display="Upper Front A-Arm"/>
    <hyperlink ref="B274" location="SU_A0002" display="Upper Front A-Arm"/>
    <hyperlink ref="B295" location="SU_A0002" display="Upper Front A-Arm"/>
    <hyperlink ref="E315" location="dSU_02007" display="drawing"/>
    <hyperlink ref="E339" location="dSU_02008" display="drawing"/>
    <hyperlink ref="B316" location="SU_A0002" display="Upper Front A-Arm"/>
    <hyperlink ref="B340" location="SU_A0002" display="Upper Front A-Arm"/>
    <hyperlink ref="B960" location="SU_A0007" display="SU_A0007"/>
    <hyperlink ref="B985" location="SU_A0007" display="SU_A0007"/>
    <hyperlink ref="B1334" location="SU_A0011" display="SU_A0011"/>
    <hyperlink ref="B1358" location="SU_A0011" display="SU_A0011"/>
    <hyperlink ref="E959" location="SU_07003_d" display="Drawing"/>
    <hyperlink ref="B1382" location="SU_A0011" display="SU_A0011"/>
    <hyperlink ref="B1404" location="SU_A0011" display="SU_A0011"/>
    <hyperlink ref="B1424" location="SU_A0011" display="SU_A0011"/>
    <hyperlink ref="B1464" location="SU_A0012" display="SU_A0012"/>
    <hyperlink ref="B1444" location="SU_A0011" display="SU_A0011"/>
    <hyperlink ref="E1333" location="SU_11001_d" display="Drawing"/>
    <hyperlink ref="E1357" location="SU_11002_d" display="drawing"/>
    <hyperlink ref="E1381" location="SU_11003_d" display="Drawing"/>
    <hyperlink ref="B945" location="SU_A0007" display="SU_A0007"/>
    <hyperlink ref="E755" location="SU_05003_d" display="Drawing"/>
    <hyperlink ref="B930" location="SU_A0007" display="SU_A0007"/>
    <hyperlink ref="B781" location="SU_A0005" display="SU_A0005"/>
    <hyperlink ref="B756" location="SU_A0005" display="SU_A0005"/>
    <hyperlink ref="B741" location="SU_A0005" display="SU_A0005"/>
    <hyperlink ref="B726" location="SU_A0005" display="SU_A0005"/>
    <hyperlink ref="B365" location="SU_A0003" display="Lower Rear A-Arm"/>
    <hyperlink ref="E364" location="dSU_01001" display="Drawing"/>
    <hyperlink ref="E387" location="dSU_03002" display="drawing"/>
    <hyperlink ref="E494" location="dSU_03007" display="drawing"/>
    <hyperlink ref="E518" location="dSU_03008" display="drawing"/>
    <hyperlink ref="B388" location="SU_A0003" display="Lower Rear A-Arm"/>
    <hyperlink ref="B414" location="SU_A0003" display="Lower Rear A-Arm"/>
    <hyperlink ref="B432" location="SU_A0003" display="Lower Rear A-Arm"/>
    <hyperlink ref="B453" location="SU_A0003" display="Lower Rear A-Arm"/>
    <hyperlink ref="B474" location="SU_A0003" display="Lower Rear A-Arm"/>
    <hyperlink ref="B495" location="SU_A0003" display="Lower Rear A-Arm"/>
    <hyperlink ref="B519" location="SU_A0003" display="Lower Rear A-Arm"/>
    <hyperlink ref="B544" location="SU_A0004" display="Upper Rear A-Arm"/>
    <hyperlink ref="E543" location="dSU_01001" display="Drawing"/>
    <hyperlink ref="E566" location="dSU_04002" display="drawing"/>
    <hyperlink ref="E676" location="dSU_04007" display="drawing"/>
    <hyperlink ref="E700" location="dSU_04008" display="drawing"/>
    <hyperlink ref="B567" location="SU_A0004" display="Upper Rear A-Arm"/>
    <hyperlink ref="B596" location="SU_A0004" display="Upper Rear A-Arm"/>
    <hyperlink ref="B614" location="SU_A0004" display="Upper Rear A-Arm"/>
    <hyperlink ref="B635" location="SU_A0004" display="Upper Rear A-Arm"/>
    <hyperlink ref="B656" location="SU_A0004" display="Upper Rear A-Arm"/>
    <hyperlink ref="B677" location="SU_A0004" display="Upper Rear A-Arm"/>
    <hyperlink ref="B701" location="SU_A0004" display="Upper Rear A-Arm"/>
    <hyperlink ref="B1488" location="SU_A0012" display="SU_A0012"/>
    <hyperlink ref="B1510" location="SU_A0012" display="SU_A0012"/>
    <hyperlink ref="B1530" location="SU_A0012" display="SU_A0012"/>
    <hyperlink ref="B1550" location="SU_A0012" display="SU_A0012"/>
    <hyperlink ref="E1463" location="SU_12001_d" display="Drawing"/>
    <hyperlink ref="E1487" location="SU_12002_d" display="Drawing "/>
    <hyperlink ref="B802" location="SU_A0006" display="SU_A0006"/>
    <hyperlink ref="B822" location="SU_A0006" display="SU_A0006"/>
    <hyperlink ref="B843" location="SU_A0006" display="SU_A0006"/>
    <hyperlink ref="E862" location="dSU_06004" display="Drawing"/>
    <hyperlink ref="B863" location="SU_A0006" display="SU_A0006"/>
    <hyperlink ref="E887" location="SU_05003_d" display="Drawing"/>
    <hyperlink ref="B888" location="SU_A0006" display="SU_A0006"/>
    <hyperlink ref="B907" location="SU_A0006" display="SU_A0006"/>
    <hyperlink ref="E801" location="dSU_06001" display="Drawing"/>
    <hyperlink ref="E906" location="dSU_06006" display="Drawing"/>
    <hyperlink ref="B1006" location="SU_A0008" display="SU_A0008"/>
    <hyperlink ref="B1026" location="SU_A0008" display="SU_A0008"/>
    <hyperlink ref="B1047" location="SU_A0008" display="SU_A0008"/>
    <hyperlink ref="E1066" location="dSU_08004" display="Drawing"/>
    <hyperlink ref="B1067" location="SU_A0008" display="SU_A0008"/>
    <hyperlink ref="E1091" location="SU_05003_d" display="Drawing"/>
    <hyperlink ref="B1092" location="SU_A0008" display="SU_A0008"/>
    <hyperlink ref="B1111" location="SU_A0008" display="SU_A0008"/>
    <hyperlink ref="E1005" location="dSU_08001" display="Drawing"/>
    <hyperlink ref="E1110" location="dSU_08006" display="Drawing"/>
    <hyperlink ref="B1134" location="SU_A0009" display="Rear Tie Rod"/>
    <hyperlink ref="E1133" location="dSU_09001" display="Drawing"/>
    <hyperlink ref="B1157" location="SU_A0009" display="Rear Tie Rod"/>
    <hyperlink ref="B1176" location="SU_A0009" display="Rear Tie Rod"/>
    <hyperlink ref="E1175" location="dSU_09003" display="Drawing"/>
    <hyperlink ref="B1201" location="SU_A0010" display="SU_A0010"/>
    <hyperlink ref="B1215" location="SU_A0010" display="SU_A0010"/>
    <hyperlink ref="B1234" location="SU_A0010" display="SU_A0010"/>
    <hyperlink ref="B1253" location="SU_A0010" display="SU_A0010"/>
    <hyperlink ref="B1272" location="SU_A0010" display="SU_A0010"/>
    <hyperlink ref="B1294" location="SU_A0010" display="SU_A0010"/>
    <hyperlink ref="B1312" location="SU_A0010" display="SU_A0010"/>
  </hyperlinks>
  <pageMargins left="0.78749999999999998" right="0.78749999999999998" top="1.05277777777778" bottom="1.05277777777778" header="0.78749999999999998" footer="0.78749999999999998"/>
  <pageSetup paperSize="9" scale="40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72" manualBreakCount="72">
    <brk id="22" max="16383" man="1"/>
    <brk id="51" max="16383" man="1"/>
    <brk id="69" max="16383" man="1"/>
    <brk id="90" max="16383" man="1"/>
    <brk id="111" max="16383" man="1"/>
    <brk id="132" max="16383" man="1"/>
    <brk id="156" max="16383" man="1"/>
    <brk id="181" max="16383" man="1"/>
    <brk id="204" max="16383" man="1"/>
    <brk id="230" max="16383" man="1"/>
    <brk id="248" max="16383" man="1"/>
    <brk id="269" max="16383" man="1"/>
    <brk id="290" max="16383" man="1"/>
    <brk id="311" max="16383" man="1"/>
    <brk id="335" max="16383" man="1"/>
    <brk id="360" max="16383" man="1"/>
    <brk id="383" max="16383" man="1"/>
    <brk id="409" max="16383" man="1"/>
    <brk id="427" max="16383" man="1"/>
    <brk id="448" max="16383" man="1"/>
    <brk id="469" max="16383" man="1"/>
    <brk id="490" max="16383" man="1"/>
    <brk id="514" max="16383" man="1"/>
    <brk id="539" max="16383" man="1"/>
    <brk id="562" max="16383" man="1"/>
    <brk id="591" max="16383" man="1"/>
    <brk id="609" max="16383" man="1"/>
    <brk id="630" max="16383" man="1"/>
    <brk id="651" max="16383" man="1"/>
    <brk id="672" max="16383" man="1"/>
    <brk id="696" max="16383" man="1"/>
    <brk id="721" max="16383" man="1"/>
    <brk id="736" max="16383" man="1"/>
    <brk id="751" max="16383" man="1"/>
    <brk id="776" max="16383" man="1"/>
    <brk id="797" max="16383" man="1"/>
    <brk id="817" max="16383" man="1"/>
    <brk id="838" max="16383" man="1"/>
    <brk id="858" max="16383" man="1"/>
    <brk id="883" max="16383" man="1"/>
    <brk id="902" max="16383" man="1"/>
    <brk id="925" max="16383" man="1"/>
    <brk id="940" max="16383" man="1"/>
    <brk id="955" max="16383" man="1"/>
    <brk id="980" max="16383" man="1"/>
    <brk id="1001" max="16383" man="1"/>
    <brk id="1021" max="16383" man="1"/>
    <brk id="1042" max="16383" man="1"/>
    <brk id="1062" max="16383" man="1"/>
    <brk id="1087" max="16383" man="1"/>
    <brk id="1106" max="16383" man="1"/>
    <brk id="1129" max="16383" man="1"/>
    <brk id="1152" max="16383" man="1"/>
    <brk id="1171" max="16383" man="1"/>
    <brk id="1196" max="16383" man="1"/>
    <brk id="1210" max="16383" man="1"/>
    <brk id="1229" max="16383" man="1"/>
    <brk id="1248" max="16383" man="1"/>
    <brk id="1267" max="16383" man="1"/>
    <brk id="1289" max="16383" man="1"/>
    <brk id="1307" max="16383" man="1"/>
    <brk id="1329" max="16383" man="1"/>
    <brk id="1353" max="16383" man="1"/>
    <brk id="1377" max="16383" man="1"/>
    <brk id="1399" max="16383" man="1"/>
    <brk id="1419" max="16383" man="1"/>
    <brk id="1439" max="16383" man="1"/>
    <brk id="1459" max="16383" man="1"/>
    <brk id="1483" max="16383" man="1"/>
    <brk id="1505" max="16383" man="1"/>
    <brk id="1525" max="16383" man="1"/>
    <brk id="1545" max="16383" man="1"/>
  </rowBreaks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99"/>
    <pageSetUpPr fitToPage="1"/>
  </sheetPr>
  <dimension ref="A1:Q533"/>
  <sheetViews>
    <sheetView zoomScale="60" zoomScaleNormal="60" workbookViewId="0"/>
  </sheetViews>
  <sheetFormatPr baseColWidth="10" defaultRowHeight="15" x14ac:dyDescent="0.25"/>
  <cols>
    <col min="1" max="1" width="14" style="89" customWidth="1"/>
    <col min="2" max="13" width="11.42578125" style="89"/>
    <col min="14" max="14" width="13.28515625" style="89" bestFit="1" customWidth="1"/>
    <col min="15" max="16384" width="11.42578125" style="89"/>
  </cols>
  <sheetData>
    <row r="1" spans="1:15" x14ac:dyDescent="0.25">
      <c r="A1" s="89" t="s">
        <v>1087</v>
      </c>
      <c r="B1" s="547" t="s">
        <v>2684</v>
      </c>
      <c r="C1" s="547" t="s">
        <v>2672</v>
      </c>
      <c r="D1" s="547" t="s">
        <v>2657</v>
      </c>
      <c r="E1" s="547" t="s">
        <v>2644</v>
      </c>
      <c r="N1" s="89" t="s">
        <v>1087</v>
      </c>
      <c r="O1" s="547" t="s">
        <v>2674</v>
      </c>
    </row>
    <row r="37" spans="1:15" x14ac:dyDescent="0.25">
      <c r="A37" s="89" t="s">
        <v>1087</v>
      </c>
      <c r="B37" s="547" t="s">
        <v>2683</v>
      </c>
      <c r="N37" s="89" t="s">
        <v>1087</v>
      </c>
      <c r="O37" s="547" t="s">
        <v>2673</v>
      </c>
    </row>
    <row r="73" spans="1:15" x14ac:dyDescent="0.25">
      <c r="A73" s="89" t="s">
        <v>1087</v>
      </c>
      <c r="B73" s="547" t="s">
        <v>2670</v>
      </c>
      <c r="N73" s="89" t="s">
        <v>1087</v>
      </c>
      <c r="O73" s="547" t="s">
        <v>2661</v>
      </c>
    </row>
    <row r="109" spans="1:15" x14ac:dyDescent="0.25">
      <c r="A109" s="89" t="s">
        <v>1087</v>
      </c>
      <c r="B109" s="547" t="s">
        <v>2659</v>
      </c>
      <c r="N109" s="89" t="s">
        <v>1087</v>
      </c>
      <c r="O109" s="547" t="s">
        <v>2656</v>
      </c>
    </row>
    <row r="145" spans="1:15" x14ac:dyDescent="0.25">
      <c r="A145" s="89" t="s">
        <v>1087</v>
      </c>
      <c r="B145" s="547" t="s">
        <v>2647</v>
      </c>
      <c r="N145" s="89" t="s">
        <v>1089</v>
      </c>
      <c r="O145" s="547" t="s">
        <v>2645</v>
      </c>
    </row>
    <row r="182" spans="1:15" x14ac:dyDescent="0.25">
      <c r="A182" s="89" t="s">
        <v>1157</v>
      </c>
      <c r="B182" s="547" t="s">
        <v>2640</v>
      </c>
      <c r="N182" s="89" t="s">
        <v>1156</v>
      </c>
      <c r="O182" s="547" t="s">
        <v>2619</v>
      </c>
    </row>
    <row r="219" spans="1:2" x14ac:dyDescent="0.25">
      <c r="A219" s="89" t="s">
        <v>1157</v>
      </c>
      <c r="B219" s="547" t="s">
        <v>2617</v>
      </c>
    </row>
    <row r="255" spans="1:2" x14ac:dyDescent="0.25">
      <c r="A255" s="89" t="s">
        <v>1087</v>
      </c>
      <c r="B255" s="547" t="s">
        <v>2686</v>
      </c>
    </row>
    <row r="292" spans="1:14" x14ac:dyDescent="0.25">
      <c r="A292" s="89" t="s">
        <v>522</v>
      </c>
      <c r="B292" s="547" t="str">
        <f>SU_06001</f>
        <v>SU 06001</v>
      </c>
      <c r="M292" s="89" t="s">
        <v>522</v>
      </c>
      <c r="N292" s="547" t="str">
        <f>SU_06004</f>
        <v>SU 06004</v>
      </c>
    </row>
    <row r="362" spans="1:14" x14ac:dyDescent="0.25">
      <c r="A362" s="89" t="s">
        <v>522</v>
      </c>
      <c r="B362" s="547" t="str">
        <f>SU_08001</f>
        <v>SU 08001</v>
      </c>
      <c r="M362" s="89" t="s">
        <v>522</v>
      </c>
      <c r="N362" s="547" t="str">
        <f>SU_08004</f>
        <v>SU 08004</v>
      </c>
    </row>
    <row r="398" spans="13:17" x14ac:dyDescent="0.25">
      <c r="M398" s="89" t="s">
        <v>1087</v>
      </c>
      <c r="N398" s="547" t="s">
        <v>2685</v>
      </c>
      <c r="O398" s="547" t="str">
        <f>SU_06006</f>
        <v>SU 06006</v>
      </c>
      <c r="P398" s="547" t="str">
        <f>SU_08006</f>
        <v>SU 08006</v>
      </c>
      <c r="Q398" s="547" t="str">
        <f>SU_10007</f>
        <v>SU 10007</v>
      </c>
    </row>
    <row r="436" spans="1:14" x14ac:dyDescent="0.25">
      <c r="A436" s="89" t="s">
        <v>1087</v>
      </c>
      <c r="B436" s="547" t="s">
        <v>2591</v>
      </c>
      <c r="M436" s="89" t="s">
        <v>1087</v>
      </c>
      <c r="N436" s="547" t="s">
        <v>2562</v>
      </c>
    </row>
    <row r="474" spans="1:14" x14ac:dyDescent="0.25">
      <c r="A474" s="89" t="s">
        <v>1087</v>
      </c>
      <c r="B474" s="547" t="s">
        <v>2528</v>
      </c>
      <c r="M474" s="89" t="s">
        <v>1088</v>
      </c>
      <c r="N474" s="547" t="s">
        <v>2524</v>
      </c>
    </row>
    <row r="508" spans="1:2" x14ac:dyDescent="0.25">
      <c r="A508" s="89" t="s">
        <v>1087</v>
      </c>
      <c r="B508" s="547" t="s">
        <v>2520</v>
      </c>
    </row>
    <row r="533" spans="1:10" x14ac:dyDescent="0.25">
      <c r="A533" s="89" t="s">
        <v>1087</v>
      </c>
      <c r="B533" s="547" t="s">
        <v>2512</v>
      </c>
      <c r="I533" s="89" t="s">
        <v>1088</v>
      </c>
      <c r="J533" s="547" t="s">
        <v>2503</v>
      </c>
    </row>
  </sheetData>
  <hyperlinks>
    <hyperlink ref="B1" location="SU_01001" display="SU 01001"/>
    <hyperlink ref="B37" location="SU_01002" display="SU 01002"/>
    <hyperlink ref="O1" location="SU_01007" display="SU 01007"/>
    <hyperlink ref="O37" location="SU_01008" display="SU 01008"/>
    <hyperlink ref="C1" location="SU_02001" display="SU 02001"/>
    <hyperlink ref="B73" location="SU_02002" display="SU 02002"/>
    <hyperlink ref="O73" location="SU_02007" display="SU 02007"/>
    <hyperlink ref="B109" location="SU_02008" display="SU 02008"/>
    <hyperlink ref="B255" location="SU_05003" display="SU_05003"/>
    <hyperlink ref="B436" location="SU_07003" display="SU 07003"/>
    <hyperlink ref="B474" location="SU_11001" display="SU 11001"/>
    <hyperlink ref="N474" location="SU_11002" display="SU 11002"/>
    <hyperlink ref="B508" location="SU_11003" display="SU 11003"/>
    <hyperlink ref="D1" location="SU_03001" display="SU 03001"/>
    <hyperlink ref="O109" location="SU_03002" display="SU 03002"/>
    <hyperlink ref="B145" location="SU_03007" display="SU 03007"/>
    <hyperlink ref="O145" location="SU_03008" display="SU 03008"/>
    <hyperlink ref="E1" location="SU_04001" display="SU 04001"/>
    <hyperlink ref="B182" location="SU_04002" display="SU 04002"/>
    <hyperlink ref="O182" location="SU_04007" display="SU 04007"/>
    <hyperlink ref="B219" location="SU_04008" display="SU 04008"/>
    <hyperlink ref="B533" location="SU_12001" display="SU 12001"/>
    <hyperlink ref="J533" location="SU_12002" display="SU 12002"/>
    <hyperlink ref="B292" location="SU_06001" display="SU_06001"/>
    <hyperlink ref="N292" location="SU_06004" display="SU_06004"/>
    <hyperlink ref="O398" location="SU_06006" display="SU_06006"/>
    <hyperlink ref="B362" location="SU_08001" display="SU_08001"/>
    <hyperlink ref="N362" location="SU_08004" display="SU_08004"/>
    <hyperlink ref="P398" location="SU_08006" display="SU_08006"/>
    <hyperlink ref="N398" location="SU_09001" display="SU_09001"/>
    <hyperlink ref="N436" location="SU_09003" display="SU 09003"/>
    <hyperlink ref="Q398" location="SU_01007" display="SU_01007"/>
  </hyperlinks>
  <pageMargins left="0.7" right="0.7" top="0.75" bottom="0.75" header="0.3" footer="0.3"/>
  <pageSetup paperSize="9" fitToHeight="0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CCFF"/>
    <pageSetUpPr fitToPage="1"/>
  </sheetPr>
  <dimension ref="A1:Q97"/>
  <sheetViews>
    <sheetView zoomScale="80" zoomScaleNormal="80" zoomScaleSheetLayoutView="80" workbookViewId="0"/>
  </sheetViews>
  <sheetFormatPr baseColWidth="10" defaultColWidth="9.140625" defaultRowHeight="15" x14ac:dyDescent="0.25"/>
  <cols>
    <col min="1" max="1" width="9.140625" style="89"/>
    <col min="2" max="2" width="29.42578125" style="89" customWidth="1"/>
    <col min="3" max="3" width="21.28515625" style="89" customWidth="1"/>
    <col min="4" max="4" width="12.42578125" style="89" customWidth="1"/>
    <col min="5" max="5" width="11.7109375" style="89" customWidth="1"/>
    <col min="6" max="6" width="9.140625" style="89"/>
    <col min="7" max="7" width="22.28515625" style="89" customWidth="1"/>
    <col min="8" max="13" width="9.140625" style="89"/>
    <col min="14" max="14" width="10.42578125" style="89" customWidth="1"/>
    <col min="15" max="15" width="5.28515625" style="89" customWidth="1"/>
    <col min="16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554" t="s">
        <v>57</v>
      </c>
      <c r="B2" s="133" t="s">
        <v>127</v>
      </c>
      <c r="C2" s="94"/>
      <c r="D2" s="94"/>
      <c r="E2" s="94"/>
      <c r="F2" s="94"/>
      <c r="G2" s="94"/>
      <c r="H2" s="94"/>
      <c r="I2" s="94"/>
      <c r="J2" s="554" t="s">
        <v>51</v>
      </c>
      <c r="K2" s="138">
        <v>81</v>
      </c>
      <c r="L2" s="94"/>
      <c r="M2" s="554" t="s">
        <v>126</v>
      </c>
      <c r="N2" s="137">
        <f>WT_A0001_Pa+WT_A0001_m+WT_A0001_P+WT_A0001_F+WT_A0001_T</f>
        <v>178.91</v>
      </c>
      <c r="O2" s="93"/>
    </row>
    <row r="3" spans="1:15" x14ac:dyDescent="0.25">
      <c r="A3" s="554" t="s">
        <v>125</v>
      </c>
      <c r="B3" s="133" t="s">
        <v>4</v>
      </c>
      <c r="C3" s="94"/>
      <c r="D3" s="94"/>
      <c r="E3" s="94"/>
      <c r="F3" s="94"/>
      <c r="G3" s="94"/>
      <c r="H3" s="94"/>
      <c r="I3" s="94"/>
      <c r="J3" s="94"/>
      <c r="K3" s="94"/>
      <c r="L3" s="94"/>
      <c r="M3" s="554" t="s">
        <v>124</v>
      </c>
      <c r="N3" s="136">
        <v>4</v>
      </c>
      <c r="O3" s="93"/>
    </row>
    <row r="4" spans="1:15" x14ac:dyDescent="0.25">
      <c r="A4" s="554" t="s">
        <v>123</v>
      </c>
      <c r="B4" s="99" t="s">
        <v>1120</v>
      </c>
      <c r="C4" s="94"/>
      <c r="D4" s="94"/>
      <c r="E4" s="94"/>
      <c r="F4" s="94"/>
      <c r="G4" s="94"/>
      <c r="H4" s="94"/>
      <c r="I4" s="94"/>
      <c r="J4" s="557" t="s">
        <v>122</v>
      </c>
      <c r="K4" s="94"/>
      <c r="L4" s="94"/>
      <c r="M4" s="94"/>
      <c r="N4" s="94"/>
      <c r="O4" s="93"/>
    </row>
    <row r="5" spans="1:15" x14ac:dyDescent="0.25">
      <c r="A5" s="554" t="s">
        <v>121</v>
      </c>
      <c r="B5" s="135" t="s">
        <v>1119</v>
      </c>
      <c r="C5" s="94"/>
      <c r="D5" s="94"/>
      <c r="E5" s="94"/>
      <c r="F5" s="94"/>
      <c r="G5" s="94"/>
      <c r="H5" s="94"/>
      <c r="I5" s="94"/>
      <c r="J5" s="557" t="s">
        <v>119</v>
      </c>
      <c r="K5" s="94"/>
      <c r="L5" s="94"/>
      <c r="M5" s="554" t="s">
        <v>118</v>
      </c>
      <c r="N5" s="100">
        <f>N2*N3</f>
        <v>715.64</v>
      </c>
      <c r="O5" s="93"/>
    </row>
    <row r="6" spans="1:15" x14ac:dyDescent="0.25">
      <c r="A6" s="554" t="s">
        <v>117</v>
      </c>
      <c r="B6" s="133" t="s">
        <v>23</v>
      </c>
      <c r="C6" s="94"/>
      <c r="D6" s="94"/>
      <c r="E6" s="94"/>
      <c r="F6" s="94"/>
      <c r="G6" s="94"/>
      <c r="H6" s="94"/>
      <c r="I6" s="94"/>
      <c r="J6" s="557" t="s">
        <v>116</v>
      </c>
      <c r="K6" s="94"/>
      <c r="L6" s="94"/>
      <c r="M6" s="94"/>
      <c r="N6" s="94"/>
      <c r="O6" s="93"/>
    </row>
    <row r="7" spans="1:15" x14ac:dyDescent="0.25">
      <c r="A7" s="554" t="s">
        <v>115</v>
      </c>
      <c r="B7" s="133" t="s">
        <v>1118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107"/>
      <c r="B8" s="94"/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554" t="s">
        <v>67</v>
      </c>
      <c r="B9" s="554" t="s">
        <v>114</v>
      </c>
      <c r="C9" s="554" t="s">
        <v>113</v>
      </c>
      <c r="D9" s="554" t="s">
        <v>40</v>
      </c>
      <c r="E9" s="554" t="s">
        <v>58</v>
      </c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129">
        <v>10</v>
      </c>
      <c r="B10" s="132" t="str">
        <f>WT_01001</f>
        <v>Wheel</v>
      </c>
      <c r="C10" s="100">
        <f>WT_01001_PC</f>
        <v>77.5</v>
      </c>
      <c r="D10" s="127">
        <f>WT_01001_Qty</f>
        <v>1</v>
      </c>
      <c r="E10" s="100">
        <f>C10*D10</f>
        <v>77.5</v>
      </c>
      <c r="F10" s="94"/>
      <c r="G10" s="94"/>
      <c r="H10" s="94"/>
      <c r="I10" s="94"/>
      <c r="J10" s="94"/>
      <c r="K10" s="94"/>
      <c r="L10" s="94"/>
      <c r="M10" s="94"/>
      <c r="N10" s="94"/>
      <c r="O10" s="93"/>
    </row>
    <row r="11" spans="1:15" x14ac:dyDescent="0.25">
      <c r="A11" s="129">
        <v>20</v>
      </c>
      <c r="B11" s="132" t="str">
        <f>WT_01002</f>
        <v>Tire</v>
      </c>
      <c r="C11" s="100">
        <f>WT_01002_PC</f>
        <v>85</v>
      </c>
      <c r="D11" s="127">
        <f>WT_01002_Qty</f>
        <v>1</v>
      </c>
      <c r="E11" s="100">
        <f>C11*D11</f>
        <v>85</v>
      </c>
      <c r="F11" s="99"/>
      <c r="G11" s="99"/>
      <c r="H11" s="99"/>
      <c r="I11" s="99"/>
      <c r="J11" s="99"/>
      <c r="K11" s="99"/>
      <c r="L11" s="99"/>
      <c r="M11" s="99"/>
      <c r="N11" s="99"/>
      <c r="O11" s="93"/>
    </row>
    <row r="12" spans="1:15" x14ac:dyDescent="0.25">
      <c r="A12" s="129">
        <v>30</v>
      </c>
      <c r="B12" s="132" t="str">
        <f>WT_01003</f>
        <v>Valve stem</v>
      </c>
      <c r="C12" s="100">
        <f>WT_01003_PC</f>
        <v>1</v>
      </c>
      <c r="D12" s="127">
        <f>WT_01003_Qty</f>
        <v>1</v>
      </c>
      <c r="E12" s="100">
        <f>C12*D12</f>
        <v>1</v>
      </c>
      <c r="F12" s="99"/>
      <c r="G12" s="99"/>
      <c r="H12" s="99"/>
      <c r="I12" s="99"/>
      <c r="J12" s="99"/>
      <c r="K12" s="99"/>
      <c r="L12" s="99"/>
      <c r="M12" s="99"/>
      <c r="N12" s="99"/>
      <c r="O12" s="131"/>
    </row>
    <row r="13" spans="1:15" s="254" customFormat="1" x14ac:dyDescent="0.25">
      <c r="A13" s="107"/>
      <c r="B13" s="94"/>
      <c r="C13" s="94"/>
      <c r="D13" s="551" t="s">
        <v>58</v>
      </c>
      <c r="E13" s="550">
        <f>SUM(E10:E12)</f>
        <v>163.5</v>
      </c>
      <c r="F13" s="99"/>
      <c r="G13" s="99"/>
      <c r="H13" s="99"/>
      <c r="I13" s="99"/>
      <c r="J13" s="99"/>
      <c r="K13" s="99"/>
      <c r="L13" s="99"/>
      <c r="M13" s="99"/>
      <c r="N13" s="99"/>
      <c r="O13" s="93"/>
    </row>
    <row r="14" spans="1:15" s="254" customFormat="1" x14ac:dyDescent="0.25">
      <c r="A14" s="107"/>
      <c r="B14" s="94"/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  <c r="N14" s="94"/>
      <c r="O14" s="93"/>
    </row>
    <row r="15" spans="1:15" x14ac:dyDescent="0.25">
      <c r="A15" s="554" t="s">
        <v>67</v>
      </c>
      <c r="B15" s="554" t="s">
        <v>112</v>
      </c>
      <c r="C15" s="554" t="s">
        <v>66</v>
      </c>
      <c r="D15" s="554" t="s">
        <v>65</v>
      </c>
      <c r="E15" s="554" t="s">
        <v>81</v>
      </c>
      <c r="F15" s="554" t="s">
        <v>80</v>
      </c>
      <c r="G15" s="554" t="s">
        <v>79</v>
      </c>
      <c r="H15" s="554" t="s">
        <v>78</v>
      </c>
      <c r="I15" s="554" t="s">
        <v>111</v>
      </c>
      <c r="J15" s="554" t="s">
        <v>110</v>
      </c>
      <c r="K15" s="554" t="s">
        <v>109</v>
      </c>
      <c r="L15" s="554" t="s">
        <v>108</v>
      </c>
      <c r="M15" s="554" t="s">
        <v>40</v>
      </c>
      <c r="N15" s="554" t="s">
        <v>58</v>
      </c>
      <c r="O15" s="93"/>
    </row>
    <row r="16" spans="1:15" x14ac:dyDescent="0.25">
      <c r="A16" s="129">
        <v>10</v>
      </c>
      <c r="B16" s="601" t="s">
        <v>1117</v>
      </c>
      <c r="C16" s="129"/>
      <c r="D16" s="100">
        <v>4</v>
      </c>
      <c r="E16" s="129"/>
      <c r="F16" s="129"/>
      <c r="G16" s="129"/>
      <c r="H16" s="200"/>
      <c r="I16" s="202"/>
      <c r="J16" s="201"/>
      <c r="K16" s="200"/>
      <c r="L16" s="200"/>
      <c r="M16" s="200">
        <v>1</v>
      </c>
      <c r="N16" s="100">
        <f>M16*D16</f>
        <v>4</v>
      </c>
      <c r="O16" s="93"/>
    </row>
    <row r="17" spans="1:17" x14ac:dyDescent="0.25">
      <c r="A17" s="98"/>
      <c r="B17" s="95"/>
      <c r="C17" s="95"/>
      <c r="D17" s="95"/>
      <c r="E17" s="95"/>
      <c r="F17" s="95"/>
      <c r="G17" s="95"/>
      <c r="H17" s="95"/>
      <c r="I17" s="95"/>
      <c r="J17" s="95"/>
      <c r="K17" s="95"/>
      <c r="L17" s="95"/>
      <c r="M17" s="554" t="s">
        <v>58</v>
      </c>
      <c r="N17" s="550">
        <f>SUM(N16:N16)</f>
        <v>4</v>
      </c>
      <c r="O17" s="93"/>
    </row>
    <row r="18" spans="1:17" x14ac:dyDescent="0.25">
      <c r="A18" s="107"/>
      <c r="B18" s="94"/>
      <c r="C18" s="94"/>
      <c r="D18" s="94"/>
      <c r="E18" s="94"/>
      <c r="F18" s="94"/>
      <c r="G18" s="94"/>
      <c r="H18" s="94"/>
      <c r="I18" s="94"/>
      <c r="J18" s="94"/>
      <c r="K18" s="94"/>
      <c r="L18" s="94"/>
      <c r="M18" s="549"/>
      <c r="N18" s="549"/>
      <c r="O18" s="93"/>
    </row>
    <row r="19" spans="1:17" x14ac:dyDescent="0.25">
      <c r="A19" s="554" t="s">
        <v>67</v>
      </c>
      <c r="B19" s="554" t="s">
        <v>106</v>
      </c>
      <c r="C19" s="554" t="s">
        <v>66</v>
      </c>
      <c r="D19" s="554" t="s">
        <v>65</v>
      </c>
      <c r="E19" s="554" t="s">
        <v>64</v>
      </c>
      <c r="F19" s="554" t="s">
        <v>40</v>
      </c>
      <c r="G19" s="554" t="s">
        <v>105</v>
      </c>
      <c r="H19" s="554" t="s">
        <v>104</v>
      </c>
      <c r="I19" s="554" t="s">
        <v>58</v>
      </c>
      <c r="J19" s="95"/>
      <c r="K19" s="95"/>
      <c r="L19" s="95"/>
      <c r="M19" s="95"/>
      <c r="N19" s="95"/>
      <c r="O19" s="120"/>
      <c r="Q19" s="561"/>
    </row>
    <row r="20" spans="1:17" s="250" customFormat="1" ht="16.5" customHeight="1" x14ac:dyDescent="0.25">
      <c r="A20" s="129">
        <v>10</v>
      </c>
      <c r="B20" s="601" t="s">
        <v>1116</v>
      </c>
      <c r="C20" s="129" t="s">
        <v>1115</v>
      </c>
      <c r="D20" s="100">
        <v>0.31</v>
      </c>
      <c r="E20" s="129" t="s">
        <v>64</v>
      </c>
      <c r="F20" s="244">
        <v>1</v>
      </c>
      <c r="G20" s="244"/>
      <c r="H20" s="244">
        <v>1</v>
      </c>
      <c r="I20" s="100">
        <f>IF(H20="",D20*F20,D20*F20*H20)</f>
        <v>0.31</v>
      </c>
      <c r="J20" s="94"/>
      <c r="K20" s="94"/>
      <c r="L20" s="94"/>
      <c r="M20" s="94"/>
      <c r="N20" s="94"/>
      <c r="O20" s="93"/>
    </row>
    <row r="21" spans="1:17" ht="45.75" customHeight="1" x14ac:dyDescent="0.25">
      <c r="A21" s="129">
        <v>20</v>
      </c>
      <c r="B21" s="555" t="s">
        <v>465</v>
      </c>
      <c r="C21" s="129" t="s">
        <v>1114</v>
      </c>
      <c r="D21" s="100">
        <v>0.75</v>
      </c>
      <c r="E21" s="555" t="s">
        <v>258</v>
      </c>
      <c r="F21" s="244">
        <v>4</v>
      </c>
      <c r="G21" s="556" t="s">
        <v>189</v>
      </c>
      <c r="H21" s="129">
        <v>1.5</v>
      </c>
      <c r="I21" s="100">
        <f>IF(H21="",D21*F21,D21*F21*H21)</f>
        <v>4.5</v>
      </c>
      <c r="J21" s="94"/>
      <c r="K21" s="94"/>
      <c r="L21" s="94"/>
      <c r="M21" s="94"/>
      <c r="N21" s="94"/>
      <c r="O21" s="93"/>
    </row>
    <row r="22" spans="1:17" x14ac:dyDescent="0.25">
      <c r="A22" s="98"/>
      <c r="B22" s="95"/>
      <c r="C22" s="95"/>
      <c r="D22" s="95"/>
      <c r="E22" s="95"/>
      <c r="F22" s="95"/>
      <c r="G22" s="95"/>
      <c r="H22" s="551" t="s">
        <v>58</v>
      </c>
      <c r="I22" s="550">
        <f>SUM(I20:I21)</f>
        <v>4.8099999999999996</v>
      </c>
      <c r="J22" s="94"/>
      <c r="K22" s="94"/>
      <c r="L22" s="94"/>
      <c r="M22" s="94"/>
      <c r="N22" s="94"/>
      <c r="O22" s="93"/>
      <c r="P22" s="560"/>
    </row>
    <row r="23" spans="1:17" x14ac:dyDescent="0.25">
      <c r="A23" s="107"/>
      <c r="B23" s="94"/>
      <c r="C23" s="94"/>
      <c r="D23" s="94"/>
      <c r="E23" s="94"/>
      <c r="F23" s="94"/>
      <c r="G23" s="94"/>
      <c r="H23" s="94"/>
      <c r="I23" s="94"/>
      <c r="J23" s="94"/>
      <c r="K23" s="94"/>
      <c r="L23" s="94"/>
      <c r="M23" s="94"/>
      <c r="N23" s="94"/>
      <c r="O23" s="93"/>
    </row>
    <row r="24" spans="1:17" x14ac:dyDescent="0.25">
      <c r="A24" s="554" t="s">
        <v>67</v>
      </c>
      <c r="B24" s="554" t="s">
        <v>82</v>
      </c>
      <c r="C24" s="554" t="s">
        <v>66</v>
      </c>
      <c r="D24" s="554" t="s">
        <v>65</v>
      </c>
      <c r="E24" s="554" t="s">
        <v>81</v>
      </c>
      <c r="F24" s="554" t="s">
        <v>80</v>
      </c>
      <c r="G24" s="554" t="s">
        <v>79</v>
      </c>
      <c r="H24" s="554" t="s">
        <v>78</v>
      </c>
      <c r="I24" s="554" t="s">
        <v>40</v>
      </c>
      <c r="J24" s="554" t="s">
        <v>58</v>
      </c>
      <c r="K24" s="94"/>
      <c r="L24" s="94"/>
      <c r="M24" s="94"/>
      <c r="N24" s="94"/>
      <c r="O24" s="93"/>
    </row>
    <row r="25" spans="1:17" x14ac:dyDescent="0.25">
      <c r="A25" s="129">
        <v>10</v>
      </c>
      <c r="B25" s="129" t="s">
        <v>1113</v>
      </c>
      <c r="C25" s="129" t="s">
        <v>1112</v>
      </c>
      <c r="D25" s="553">
        <v>0.4</v>
      </c>
      <c r="E25" s="552"/>
      <c r="F25" s="552"/>
      <c r="G25" s="552"/>
      <c r="H25" s="552"/>
      <c r="I25" s="136">
        <v>4</v>
      </c>
      <c r="J25" s="100">
        <f>I25*D25</f>
        <v>1.6</v>
      </c>
      <c r="K25" s="94"/>
      <c r="L25" s="94"/>
      <c r="M25" s="94"/>
      <c r="N25" s="94"/>
      <c r="O25" s="93"/>
    </row>
    <row r="26" spans="1:17" s="245" customFormat="1" x14ac:dyDescent="0.25">
      <c r="A26" s="98"/>
      <c r="B26" s="95"/>
      <c r="C26" s="95"/>
      <c r="D26" s="95"/>
      <c r="E26" s="95"/>
      <c r="F26" s="95"/>
      <c r="G26" s="95"/>
      <c r="H26" s="95"/>
      <c r="I26" s="551" t="s">
        <v>58</v>
      </c>
      <c r="J26" s="550">
        <f>SUM(J25:J25)</f>
        <v>1.6</v>
      </c>
      <c r="K26" s="94"/>
      <c r="L26" s="94"/>
      <c r="M26" s="94"/>
      <c r="N26" s="94"/>
      <c r="O26" s="93"/>
    </row>
    <row r="27" spans="1:17" x14ac:dyDescent="0.25">
      <c r="A27" s="107"/>
      <c r="B27" s="94"/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94"/>
      <c r="N27" s="94"/>
      <c r="O27" s="93"/>
    </row>
    <row r="28" spans="1:17" x14ac:dyDescent="0.25">
      <c r="A28" s="554" t="s">
        <v>67</v>
      </c>
      <c r="B28" s="554" t="s">
        <v>13</v>
      </c>
      <c r="C28" s="554" t="s">
        <v>66</v>
      </c>
      <c r="D28" s="554" t="s">
        <v>65</v>
      </c>
      <c r="E28" s="554" t="s">
        <v>64</v>
      </c>
      <c r="F28" s="554" t="s">
        <v>40</v>
      </c>
      <c r="G28" s="554" t="s">
        <v>63</v>
      </c>
      <c r="H28" s="554" t="s">
        <v>62</v>
      </c>
      <c r="I28" s="554" t="s">
        <v>58</v>
      </c>
      <c r="J28" s="95"/>
      <c r="K28" s="94"/>
      <c r="L28" s="94"/>
      <c r="M28" s="94"/>
      <c r="N28" s="94"/>
      <c r="O28" s="93"/>
    </row>
    <row r="29" spans="1:17" x14ac:dyDescent="0.25">
      <c r="A29" s="129">
        <v>10</v>
      </c>
      <c r="B29" s="129" t="s">
        <v>61</v>
      </c>
      <c r="C29" s="129"/>
      <c r="D29" s="100">
        <v>500</v>
      </c>
      <c r="E29" s="129" t="s">
        <v>59</v>
      </c>
      <c r="F29" s="129">
        <v>30</v>
      </c>
      <c r="G29" s="129">
        <v>3000</v>
      </c>
      <c r="H29" s="129">
        <v>1</v>
      </c>
      <c r="I29" s="100">
        <f>D29*F29/G29*H29</f>
        <v>5</v>
      </c>
      <c r="J29" s="95"/>
      <c r="K29" s="94"/>
      <c r="L29" s="94"/>
      <c r="M29" s="94"/>
      <c r="N29" s="94"/>
      <c r="O29" s="93"/>
    </row>
    <row r="30" spans="1:17" s="254" customFormat="1" x14ac:dyDescent="0.25">
      <c r="A30" s="98"/>
      <c r="B30" s="95"/>
      <c r="C30" s="95"/>
      <c r="D30" s="95"/>
      <c r="E30" s="95"/>
      <c r="F30" s="95"/>
      <c r="G30" s="95"/>
      <c r="H30" s="559" t="s">
        <v>58</v>
      </c>
      <c r="I30" s="558">
        <f>SUM(I29:I29)</f>
        <v>5</v>
      </c>
      <c r="J30" s="95"/>
      <c r="K30" s="94"/>
      <c r="L30" s="94"/>
      <c r="M30" s="94"/>
      <c r="N30" s="94"/>
      <c r="O30" s="93"/>
    </row>
    <row r="31" spans="1:17" s="245" customFormat="1" ht="15.75" thickBot="1" x14ac:dyDescent="0.3">
      <c r="A31" s="92"/>
      <c r="B31" s="91"/>
      <c r="C31" s="91"/>
      <c r="D31" s="91"/>
      <c r="E31" s="91"/>
      <c r="F31" s="91"/>
      <c r="G31" s="91"/>
      <c r="H31" s="91"/>
      <c r="I31" s="91"/>
      <c r="J31" s="91"/>
      <c r="K31" s="91"/>
      <c r="L31" s="91"/>
      <c r="M31" s="91"/>
      <c r="N31" s="91"/>
      <c r="O31" s="90"/>
    </row>
    <row r="32" spans="1:17" s="254" customFormat="1" ht="15.75" thickBot="1" x14ac:dyDescent="0.3">
      <c r="A32" s="94"/>
      <c r="B32" s="94"/>
      <c r="C32" s="94"/>
      <c r="D32" s="94"/>
      <c r="E32" s="94"/>
      <c r="F32" s="94"/>
      <c r="G32" s="94"/>
      <c r="H32" s="94"/>
      <c r="I32" s="94"/>
      <c r="J32" s="94"/>
      <c r="K32" s="94"/>
      <c r="L32" s="94"/>
      <c r="M32" s="94"/>
      <c r="N32" s="94"/>
      <c r="O32" s="89"/>
    </row>
    <row r="33" spans="1:15" x14ac:dyDescent="0.25">
      <c r="A33" s="141"/>
      <c r="B33" s="140"/>
      <c r="C33" s="140"/>
      <c r="D33" s="140"/>
      <c r="E33" s="140"/>
      <c r="F33" s="140"/>
      <c r="G33" s="140"/>
      <c r="H33" s="140"/>
      <c r="I33" s="140"/>
      <c r="J33" s="140"/>
      <c r="K33" s="140"/>
      <c r="L33" s="140"/>
      <c r="M33" s="140"/>
      <c r="N33" s="140"/>
      <c r="O33" s="139"/>
    </row>
    <row r="34" spans="1:15" x14ac:dyDescent="0.25">
      <c r="A34" s="554" t="s">
        <v>57</v>
      </c>
      <c r="B34" s="133" t="s">
        <v>127</v>
      </c>
      <c r="C34" s="94"/>
      <c r="D34" s="94"/>
      <c r="E34" s="94"/>
      <c r="F34" s="94"/>
      <c r="G34" s="94"/>
      <c r="H34" s="94"/>
      <c r="I34" s="94"/>
      <c r="J34" s="554" t="s">
        <v>51</v>
      </c>
      <c r="K34" s="138">
        <v>81</v>
      </c>
      <c r="L34" s="94"/>
      <c r="M34" s="554" t="s">
        <v>126</v>
      </c>
      <c r="N34" s="137">
        <f>WT_A0002_Pa+WT_A0002_m+WT_A0002_p+WT_A0002_f</f>
        <v>363.85112067857619</v>
      </c>
      <c r="O34" s="93"/>
    </row>
    <row r="35" spans="1:15" x14ac:dyDescent="0.25">
      <c r="A35" s="554" t="s">
        <v>125</v>
      </c>
      <c r="B35" s="133" t="s">
        <v>4</v>
      </c>
      <c r="C35" s="94"/>
      <c r="D35" s="94"/>
      <c r="E35" s="94"/>
      <c r="F35" s="94"/>
      <c r="G35" s="94"/>
      <c r="H35" s="94"/>
      <c r="I35" s="94"/>
      <c r="J35" s="94"/>
      <c r="K35" s="94"/>
      <c r="L35" s="94"/>
      <c r="M35" s="554" t="s">
        <v>124</v>
      </c>
      <c r="N35" s="136">
        <v>2</v>
      </c>
      <c r="O35" s="93"/>
    </row>
    <row r="36" spans="1:15" x14ac:dyDescent="0.25">
      <c r="A36" s="554" t="s">
        <v>123</v>
      </c>
      <c r="B36" s="99" t="s">
        <v>1111</v>
      </c>
      <c r="C36" s="94"/>
      <c r="D36" s="94"/>
      <c r="E36" s="94"/>
      <c r="F36" s="94"/>
      <c r="G36" s="94"/>
      <c r="H36" s="94"/>
      <c r="I36" s="94"/>
      <c r="J36" s="557" t="s">
        <v>122</v>
      </c>
      <c r="K36" s="94"/>
      <c r="L36" s="94"/>
      <c r="M36" s="94"/>
      <c r="N36" s="94"/>
      <c r="O36" s="93"/>
    </row>
    <row r="37" spans="1:15" x14ac:dyDescent="0.25">
      <c r="A37" s="554" t="s">
        <v>121</v>
      </c>
      <c r="B37" s="135" t="s">
        <v>1110</v>
      </c>
      <c r="C37" s="94"/>
      <c r="D37" s="94"/>
      <c r="E37" s="94"/>
      <c r="F37" s="94"/>
      <c r="G37" s="94"/>
      <c r="H37" s="94"/>
      <c r="I37" s="94"/>
      <c r="J37" s="557" t="s">
        <v>119</v>
      </c>
      <c r="K37" s="94"/>
      <c r="L37" s="94"/>
      <c r="M37" s="554" t="s">
        <v>118</v>
      </c>
      <c r="N37" s="100">
        <f>N34*N35</f>
        <v>727.70224135715239</v>
      </c>
      <c r="O37" s="93"/>
    </row>
    <row r="38" spans="1:15" x14ac:dyDescent="0.25">
      <c r="A38" s="554" t="s">
        <v>117</v>
      </c>
      <c r="B38" s="133" t="s">
        <v>23</v>
      </c>
      <c r="C38" s="94"/>
      <c r="D38" s="94"/>
      <c r="E38" s="94"/>
      <c r="F38" s="94"/>
      <c r="G38" s="94"/>
      <c r="H38" s="94"/>
      <c r="I38" s="94"/>
      <c r="J38" s="557" t="s">
        <v>116</v>
      </c>
      <c r="K38" s="94"/>
      <c r="L38" s="94"/>
      <c r="M38" s="94"/>
      <c r="N38" s="94"/>
      <c r="O38" s="93"/>
    </row>
    <row r="39" spans="1:15" x14ac:dyDescent="0.25">
      <c r="A39" s="554" t="s">
        <v>115</v>
      </c>
      <c r="B39" s="133"/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94"/>
      <c r="N39" s="94"/>
      <c r="O39" s="93"/>
    </row>
    <row r="40" spans="1:15" x14ac:dyDescent="0.25">
      <c r="A40" s="107"/>
      <c r="B40" s="94"/>
      <c r="C40" s="94"/>
      <c r="D40" s="94"/>
      <c r="E40" s="94"/>
      <c r="F40" s="94"/>
      <c r="G40" s="94"/>
      <c r="H40" s="94"/>
      <c r="I40" s="94"/>
      <c r="J40" s="94"/>
      <c r="K40" s="94"/>
      <c r="L40" s="94"/>
      <c r="M40" s="94"/>
      <c r="N40" s="94"/>
      <c r="O40" s="93"/>
    </row>
    <row r="41" spans="1:15" s="254" customFormat="1" x14ac:dyDescent="0.25">
      <c r="A41" s="554" t="s">
        <v>67</v>
      </c>
      <c r="B41" s="554" t="s">
        <v>114</v>
      </c>
      <c r="C41" s="554" t="s">
        <v>113</v>
      </c>
      <c r="D41" s="554" t="s">
        <v>40</v>
      </c>
      <c r="E41" s="554" t="s">
        <v>58</v>
      </c>
      <c r="F41" s="94"/>
      <c r="G41" s="94"/>
      <c r="H41" s="94"/>
      <c r="I41" s="94"/>
      <c r="J41" s="94"/>
      <c r="K41" s="94"/>
      <c r="L41" s="94"/>
      <c r="M41" s="94"/>
      <c r="N41" s="94"/>
      <c r="O41" s="93"/>
    </row>
    <row r="42" spans="1:15" x14ac:dyDescent="0.25">
      <c r="A42" s="129">
        <v>10</v>
      </c>
      <c r="B42" s="132" t="str">
        <f>WT_02001</f>
        <v>Front Hub</v>
      </c>
      <c r="C42" s="100">
        <f>WT_02001_PC</f>
        <v>64.098478700906938</v>
      </c>
      <c r="D42" s="127">
        <f>WT_02001_Qty</f>
        <v>1</v>
      </c>
      <c r="E42" s="100">
        <f>C42*D42</f>
        <v>64.098478700906938</v>
      </c>
      <c r="F42" s="94"/>
      <c r="G42" s="94"/>
      <c r="H42" s="94"/>
      <c r="I42" s="94"/>
      <c r="J42" s="94"/>
      <c r="K42" s="94"/>
      <c r="L42" s="94"/>
      <c r="M42" s="94"/>
      <c r="N42" s="94"/>
      <c r="O42" s="93"/>
    </row>
    <row r="43" spans="1:15" x14ac:dyDescent="0.25">
      <c r="A43" s="129">
        <v>20</v>
      </c>
      <c r="B43" s="132" t="str">
        <f>WT_02002</f>
        <v>Bearings</v>
      </c>
      <c r="C43" s="100">
        <f>WT_02002_PC</f>
        <v>122.59</v>
      </c>
      <c r="D43" s="127">
        <f>WT_02002_Qty</f>
        <v>2</v>
      </c>
      <c r="E43" s="100">
        <f>C43*D43</f>
        <v>245.18</v>
      </c>
      <c r="F43" s="99"/>
      <c r="G43" s="99"/>
      <c r="H43" s="99"/>
      <c r="I43" s="99"/>
      <c r="J43" s="99"/>
      <c r="K43" s="99"/>
      <c r="L43" s="99"/>
      <c r="M43" s="99"/>
      <c r="N43" s="99"/>
      <c r="O43" s="93"/>
    </row>
    <row r="44" spans="1:15" x14ac:dyDescent="0.25">
      <c r="A44" s="129">
        <v>30</v>
      </c>
      <c r="B44" s="132" t="str">
        <f>WT_02003</f>
        <v>Front Spacer</v>
      </c>
      <c r="C44" s="100">
        <f>WT_02003_PC</f>
        <v>28.157641977669254</v>
      </c>
      <c r="D44" s="129">
        <f>WT_02003_Qty</f>
        <v>1</v>
      </c>
      <c r="E44" s="100">
        <f>C44*D44</f>
        <v>28.157641977669254</v>
      </c>
      <c r="F44" s="99"/>
      <c r="G44" s="99"/>
      <c r="H44" s="99"/>
      <c r="I44" s="99"/>
      <c r="J44" s="99"/>
      <c r="K44" s="99"/>
      <c r="L44" s="99"/>
      <c r="M44" s="99"/>
      <c r="N44" s="99"/>
      <c r="O44" s="131"/>
    </row>
    <row r="45" spans="1:15" x14ac:dyDescent="0.25">
      <c r="A45" s="107"/>
      <c r="B45" s="94"/>
      <c r="C45" s="94"/>
      <c r="D45" s="551" t="s">
        <v>58</v>
      </c>
      <c r="E45" s="550">
        <f>SUM(E42:E44)</f>
        <v>337.43612067857617</v>
      </c>
      <c r="F45" s="99"/>
      <c r="G45" s="99"/>
      <c r="H45" s="99"/>
      <c r="I45" s="99"/>
      <c r="J45" s="99"/>
      <c r="K45" s="99"/>
      <c r="L45" s="99"/>
      <c r="M45" s="99"/>
      <c r="N45" s="99"/>
      <c r="O45" s="93"/>
    </row>
    <row r="46" spans="1:15" x14ac:dyDescent="0.25">
      <c r="A46" s="107"/>
      <c r="B46" s="94"/>
      <c r="C46" s="94"/>
      <c r="D46" s="94"/>
      <c r="E46" s="94"/>
      <c r="F46" s="94"/>
      <c r="G46" s="94"/>
      <c r="H46" s="94"/>
      <c r="I46" s="94"/>
      <c r="J46" s="94"/>
      <c r="K46" s="94"/>
      <c r="L46" s="94"/>
      <c r="M46" s="94"/>
      <c r="N46" s="94"/>
      <c r="O46" s="93"/>
    </row>
    <row r="47" spans="1:15" x14ac:dyDescent="0.25">
      <c r="A47" s="554" t="s">
        <v>67</v>
      </c>
      <c r="B47" s="554" t="s">
        <v>112</v>
      </c>
      <c r="C47" s="554" t="s">
        <v>66</v>
      </c>
      <c r="D47" s="554" t="s">
        <v>65</v>
      </c>
      <c r="E47" s="554" t="s">
        <v>81</v>
      </c>
      <c r="F47" s="554" t="s">
        <v>80</v>
      </c>
      <c r="G47" s="554" t="s">
        <v>79</v>
      </c>
      <c r="H47" s="554" t="s">
        <v>78</v>
      </c>
      <c r="I47" s="554" t="s">
        <v>111</v>
      </c>
      <c r="J47" s="554" t="s">
        <v>110</v>
      </c>
      <c r="K47" s="554" t="s">
        <v>109</v>
      </c>
      <c r="L47" s="554" t="s">
        <v>108</v>
      </c>
      <c r="M47" s="554" t="s">
        <v>40</v>
      </c>
      <c r="N47" s="554" t="s">
        <v>58</v>
      </c>
      <c r="O47" s="93"/>
    </row>
    <row r="48" spans="1:15" x14ac:dyDescent="0.25">
      <c r="A48" s="129">
        <v>10</v>
      </c>
      <c r="B48" s="129" t="s">
        <v>1107</v>
      </c>
      <c r="C48" s="129" t="s">
        <v>1102</v>
      </c>
      <c r="D48" s="100">
        <v>9.1300000000000008</v>
      </c>
      <c r="E48" s="129">
        <v>60</v>
      </c>
      <c r="F48" s="129" t="s">
        <v>68</v>
      </c>
      <c r="G48" s="129"/>
      <c r="H48" s="200"/>
      <c r="I48" s="202"/>
      <c r="J48" s="201"/>
      <c r="K48" s="200"/>
      <c r="L48" s="200"/>
      <c r="M48" s="200">
        <v>1</v>
      </c>
      <c r="N48" s="100">
        <f>M48*D48</f>
        <v>9.1300000000000008</v>
      </c>
      <c r="O48" s="93"/>
    </row>
    <row r="49" spans="1:15" x14ac:dyDescent="0.25">
      <c r="A49" s="98"/>
      <c r="B49" s="95"/>
      <c r="C49" s="95"/>
      <c r="D49" s="95"/>
      <c r="E49" s="95"/>
      <c r="F49" s="95"/>
      <c r="G49" s="95"/>
      <c r="H49" s="95"/>
      <c r="I49" s="95"/>
      <c r="J49" s="95"/>
      <c r="K49" s="95"/>
      <c r="L49" s="95"/>
      <c r="M49" s="554" t="s">
        <v>58</v>
      </c>
      <c r="N49" s="550">
        <f>SUM(N48:N48)</f>
        <v>9.1300000000000008</v>
      </c>
      <c r="O49" s="93"/>
    </row>
    <row r="50" spans="1:15" x14ac:dyDescent="0.25">
      <c r="A50" s="107"/>
      <c r="B50" s="94"/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3"/>
    </row>
    <row r="51" spans="1:15" x14ac:dyDescent="0.25">
      <c r="A51" s="554" t="s">
        <v>67</v>
      </c>
      <c r="B51" s="554" t="s">
        <v>106</v>
      </c>
      <c r="C51" s="554" t="s">
        <v>66</v>
      </c>
      <c r="D51" s="554" t="s">
        <v>65</v>
      </c>
      <c r="E51" s="554" t="s">
        <v>64</v>
      </c>
      <c r="F51" s="554" t="s">
        <v>40</v>
      </c>
      <c r="G51" s="554" t="s">
        <v>105</v>
      </c>
      <c r="H51" s="554" t="s">
        <v>104</v>
      </c>
      <c r="I51" s="554" t="s">
        <v>58</v>
      </c>
      <c r="J51" s="95"/>
      <c r="K51" s="95"/>
      <c r="L51" s="95"/>
      <c r="M51" s="95"/>
      <c r="N51" s="95"/>
      <c r="O51" s="120"/>
    </row>
    <row r="52" spans="1:15" ht="30" x14ac:dyDescent="0.25">
      <c r="A52" s="129">
        <v>10</v>
      </c>
      <c r="B52" s="129" t="s">
        <v>439</v>
      </c>
      <c r="C52" s="601" t="s">
        <v>1106</v>
      </c>
      <c r="D52" s="100">
        <v>0.19</v>
      </c>
      <c r="E52" s="129" t="s">
        <v>64</v>
      </c>
      <c r="F52" s="244">
        <v>4</v>
      </c>
      <c r="G52" s="244"/>
      <c r="H52" s="244"/>
      <c r="I52" s="100">
        <f t="shared" ref="I52:I57" si="0">IF(H52="",D52*F52,D52*F52*H52)</f>
        <v>0.76</v>
      </c>
      <c r="J52" s="94"/>
      <c r="K52" s="94"/>
      <c r="L52" s="94"/>
      <c r="M52" s="94"/>
      <c r="N52" s="94"/>
      <c r="O52" s="93"/>
    </row>
    <row r="53" spans="1:15" x14ac:dyDescent="0.25">
      <c r="A53" s="129">
        <v>20</v>
      </c>
      <c r="B53" s="129" t="s">
        <v>439</v>
      </c>
      <c r="C53" s="129" t="s">
        <v>1105</v>
      </c>
      <c r="D53" s="100">
        <v>0.19</v>
      </c>
      <c r="E53" s="555" t="s">
        <v>64</v>
      </c>
      <c r="F53" s="244">
        <v>2</v>
      </c>
      <c r="G53" s="129"/>
      <c r="H53" s="129"/>
      <c r="I53" s="100">
        <f t="shared" si="0"/>
        <v>0.38</v>
      </c>
      <c r="J53" s="94"/>
      <c r="K53" s="94"/>
      <c r="L53" s="94"/>
      <c r="M53" s="94"/>
      <c r="N53" s="94"/>
      <c r="O53" s="93"/>
    </row>
    <row r="54" spans="1:15" ht="30" x14ac:dyDescent="0.25">
      <c r="A54" s="129">
        <v>30</v>
      </c>
      <c r="B54" s="129" t="s">
        <v>439</v>
      </c>
      <c r="C54" s="129" t="s">
        <v>1104</v>
      </c>
      <c r="D54" s="100">
        <v>0.19</v>
      </c>
      <c r="E54" s="129" t="s">
        <v>64</v>
      </c>
      <c r="F54" s="244">
        <v>1</v>
      </c>
      <c r="G54" s="556" t="s">
        <v>189</v>
      </c>
      <c r="H54" s="129">
        <v>1.5</v>
      </c>
      <c r="I54" s="100">
        <f t="shared" si="0"/>
        <v>0.28500000000000003</v>
      </c>
      <c r="J54" s="94"/>
      <c r="K54" s="94"/>
      <c r="L54" s="94"/>
      <c r="M54" s="94"/>
      <c r="N54" s="94"/>
      <c r="O54" s="93"/>
    </row>
    <row r="55" spans="1:15" x14ac:dyDescent="0.25">
      <c r="A55" s="222">
        <v>40</v>
      </c>
      <c r="B55" s="222" t="s">
        <v>2696</v>
      </c>
      <c r="C55" s="222" t="s">
        <v>2695</v>
      </c>
      <c r="D55" s="220">
        <v>0.13</v>
      </c>
      <c r="E55" s="222" t="s">
        <v>64</v>
      </c>
      <c r="F55" s="1630">
        <v>1</v>
      </c>
      <c r="G55" s="1643"/>
      <c r="H55" s="222"/>
      <c r="I55" s="100">
        <f t="shared" si="0"/>
        <v>0.13</v>
      </c>
      <c r="J55" s="94"/>
      <c r="K55" s="94"/>
      <c r="L55" s="94"/>
      <c r="M55" s="94"/>
      <c r="N55" s="94"/>
      <c r="O55" s="93"/>
    </row>
    <row r="56" spans="1:15" x14ac:dyDescent="0.25">
      <c r="A56" s="222">
        <v>50</v>
      </c>
      <c r="B56" s="1628" t="s">
        <v>1103</v>
      </c>
      <c r="C56" s="222" t="s">
        <v>1102</v>
      </c>
      <c r="D56" s="220">
        <v>2</v>
      </c>
      <c r="E56" s="222" t="s">
        <v>64</v>
      </c>
      <c r="F56" s="1630">
        <v>1</v>
      </c>
      <c r="G56" s="222"/>
      <c r="H56" s="222"/>
      <c r="I56" s="220">
        <f t="shared" si="0"/>
        <v>2</v>
      </c>
      <c r="J56" s="99"/>
      <c r="K56" s="99"/>
      <c r="L56" s="99"/>
      <c r="M56" s="99"/>
      <c r="N56" s="99"/>
      <c r="O56" s="130"/>
    </row>
    <row r="57" spans="1:15" x14ac:dyDescent="0.25">
      <c r="A57" s="1497">
        <v>60</v>
      </c>
      <c r="B57" s="1548" t="s">
        <v>539</v>
      </c>
      <c r="C57" s="1497" t="s">
        <v>2694</v>
      </c>
      <c r="D57" s="1468">
        <v>0.25</v>
      </c>
      <c r="E57" s="1497" t="s">
        <v>64</v>
      </c>
      <c r="F57" s="1544">
        <v>1</v>
      </c>
      <c r="G57" s="1497"/>
      <c r="H57" s="1497"/>
      <c r="I57" s="1468">
        <f t="shared" si="0"/>
        <v>0.25</v>
      </c>
      <c r="J57" s="99"/>
      <c r="K57" s="99"/>
      <c r="L57" s="99"/>
      <c r="M57" s="99"/>
      <c r="N57" s="99"/>
      <c r="O57" s="130"/>
    </row>
    <row r="58" spans="1:15" x14ac:dyDescent="0.25">
      <c r="A58" s="98"/>
      <c r="B58" s="95"/>
      <c r="C58" s="95"/>
      <c r="D58" s="95"/>
      <c r="E58" s="95"/>
      <c r="F58" s="95"/>
      <c r="G58" s="95"/>
      <c r="H58" s="559" t="s">
        <v>58</v>
      </c>
      <c r="I58" s="558">
        <f>SUM(I52:I57)</f>
        <v>3.8050000000000002</v>
      </c>
      <c r="J58" s="94"/>
      <c r="K58" s="94"/>
      <c r="L58" s="94"/>
      <c r="M58" s="94"/>
      <c r="N58" s="94"/>
      <c r="O58" s="93"/>
    </row>
    <row r="59" spans="1:15" x14ac:dyDescent="0.25">
      <c r="A59" s="107"/>
      <c r="B59" s="94"/>
      <c r="C59" s="94"/>
      <c r="D59" s="94"/>
      <c r="E59" s="94"/>
      <c r="F59" s="94"/>
      <c r="G59" s="94"/>
      <c r="H59" s="549"/>
      <c r="I59" s="549"/>
      <c r="J59" s="94"/>
      <c r="K59" s="94"/>
      <c r="L59" s="94"/>
      <c r="M59" s="94"/>
      <c r="N59" s="94"/>
      <c r="O59" s="93"/>
    </row>
    <row r="60" spans="1:15" x14ac:dyDescent="0.25">
      <c r="A60" s="554" t="s">
        <v>67</v>
      </c>
      <c r="B60" s="554" t="s">
        <v>82</v>
      </c>
      <c r="C60" s="554" t="s">
        <v>66</v>
      </c>
      <c r="D60" s="554" t="s">
        <v>65</v>
      </c>
      <c r="E60" s="554" t="s">
        <v>81</v>
      </c>
      <c r="F60" s="554" t="s">
        <v>80</v>
      </c>
      <c r="G60" s="554" t="s">
        <v>79</v>
      </c>
      <c r="H60" s="554" t="s">
        <v>78</v>
      </c>
      <c r="I60" s="554" t="s">
        <v>40</v>
      </c>
      <c r="J60" s="554" t="s">
        <v>58</v>
      </c>
      <c r="K60" s="94"/>
      <c r="L60" s="94"/>
      <c r="M60" s="94"/>
      <c r="N60" s="94"/>
      <c r="O60" s="93"/>
    </row>
    <row r="61" spans="1:15" x14ac:dyDescent="0.25">
      <c r="A61" s="129">
        <v>10</v>
      </c>
      <c r="B61" s="129" t="s">
        <v>1101</v>
      </c>
      <c r="C61" s="129" t="s">
        <v>1100</v>
      </c>
      <c r="D61" s="553">
        <v>3.37</v>
      </c>
      <c r="E61" s="552">
        <v>12</v>
      </c>
      <c r="F61" s="552" t="s">
        <v>68</v>
      </c>
      <c r="G61" s="552">
        <v>150</v>
      </c>
      <c r="H61" s="552" t="s">
        <v>68</v>
      </c>
      <c r="I61" s="136">
        <v>4</v>
      </c>
      <c r="J61" s="100">
        <f>I61*D61</f>
        <v>13.48</v>
      </c>
      <c r="K61" s="94"/>
      <c r="L61" s="94"/>
      <c r="M61" s="94"/>
      <c r="N61" s="94"/>
      <c r="O61" s="93"/>
    </row>
    <row r="62" spans="1:15" x14ac:dyDescent="0.25">
      <c r="A62" s="98"/>
      <c r="B62" s="95"/>
      <c r="C62" s="95"/>
      <c r="D62" s="95"/>
      <c r="E62" s="95"/>
      <c r="F62" s="95"/>
      <c r="G62" s="95"/>
      <c r="H62" s="95"/>
      <c r="I62" s="551" t="s">
        <v>58</v>
      </c>
      <c r="J62" s="550">
        <f>SUM(J61:J61)</f>
        <v>13.48</v>
      </c>
      <c r="K62" s="94"/>
      <c r="L62" s="94"/>
      <c r="M62" s="94"/>
      <c r="N62" s="94"/>
      <c r="O62" s="93"/>
    </row>
    <row r="63" spans="1:15" x14ac:dyDescent="0.25">
      <c r="A63" s="107"/>
      <c r="B63" s="94"/>
      <c r="C63" s="94"/>
      <c r="D63" s="94"/>
      <c r="E63" s="94"/>
      <c r="F63" s="94"/>
      <c r="G63" s="94"/>
      <c r="H63" s="94"/>
      <c r="I63" s="549"/>
      <c r="J63" s="549"/>
      <c r="K63" s="94"/>
      <c r="L63" s="94"/>
      <c r="M63" s="94"/>
      <c r="N63" s="94"/>
      <c r="O63" s="93"/>
    </row>
    <row r="64" spans="1:15" ht="15.75" thickBot="1" x14ac:dyDescent="0.3">
      <c r="A64" s="92"/>
      <c r="B64" s="91"/>
      <c r="C64" s="91"/>
      <c r="D64" s="91"/>
      <c r="E64" s="91"/>
      <c r="F64" s="91"/>
      <c r="G64" s="91"/>
      <c r="H64" s="91"/>
      <c r="I64" s="91"/>
      <c r="J64" s="91"/>
      <c r="K64" s="91"/>
      <c r="L64" s="91"/>
      <c r="M64" s="91"/>
      <c r="N64" s="91"/>
      <c r="O64" s="90"/>
    </row>
    <row r="65" spans="1:15" ht="15.75" thickBot="1" x14ac:dyDescent="0.3"/>
    <row r="66" spans="1:15" x14ac:dyDescent="0.25">
      <c r="A66" s="141"/>
      <c r="B66" s="140"/>
      <c r="C66" s="140"/>
      <c r="D66" s="140"/>
      <c r="E66" s="140"/>
      <c r="F66" s="140"/>
      <c r="G66" s="140"/>
      <c r="H66" s="140"/>
      <c r="I66" s="140"/>
      <c r="J66" s="140"/>
      <c r="K66" s="140"/>
      <c r="L66" s="140"/>
      <c r="M66" s="140"/>
      <c r="N66" s="140"/>
      <c r="O66" s="139"/>
    </row>
    <row r="67" spans="1:15" x14ac:dyDescent="0.25">
      <c r="A67" s="554" t="s">
        <v>57</v>
      </c>
      <c r="B67" s="133" t="s">
        <v>127</v>
      </c>
      <c r="C67" s="94"/>
      <c r="D67" s="94"/>
      <c r="E67" s="94"/>
      <c r="F67" s="94"/>
      <c r="G67" s="94"/>
      <c r="H67" s="94"/>
      <c r="I67" s="94"/>
      <c r="J67" s="554" t="s">
        <v>51</v>
      </c>
      <c r="K67" s="138">
        <v>81</v>
      </c>
      <c r="L67" s="94"/>
      <c r="M67" s="554" t="s">
        <v>126</v>
      </c>
      <c r="N67" s="137">
        <f>WT_A0003_Pa+WT_A0003_m+WT_A0003_p+WT_A0003_f</f>
        <v>382.65507801208912</v>
      </c>
      <c r="O67" s="93"/>
    </row>
    <row r="68" spans="1:15" x14ac:dyDescent="0.25">
      <c r="A68" s="554" t="s">
        <v>125</v>
      </c>
      <c r="B68" s="133" t="s">
        <v>4</v>
      </c>
      <c r="C68" s="94"/>
      <c r="D68" s="94"/>
      <c r="E68" s="94"/>
      <c r="F68" s="94"/>
      <c r="G68" s="94"/>
      <c r="H68" s="94"/>
      <c r="I68" s="94"/>
      <c r="J68" s="94"/>
      <c r="K68" s="94"/>
      <c r="L68" s="94"/>
      <c r="M68" s="554" t="s">
        <v>124</v>
      </c>
      <c r="N68" s="136">
        <v>2</v>
      </c>
      <c r="O68" s="93"/>
    </row>
    <row r="69" spans="1:15" x14ac:dyDescent="0.25">
      <c r="A69" s="554" t="s">
        <v>123</v>
      </c>
      <c r="B69" s="94" t="s">
        <v>1109</v>
      </c>
      <c r="C69" s="94"/>
      <c r="D69" s="94"/>
      <c r="E69" s="94"/>
      <c r="F69" s="94"/>
      <c r="G69" s="94"/>
      <c r="H69" s="94"/>
      <c r="I69" s="94"/>
      <c r="J69" s="557" t="s">
        <v>122</v>
      </c>
      <c r="K69" s="94"/>
      <c r="L69" s="94"/>
      <c r="M69" s="94"/>
      <c r="N69" s="94"/>
      <c r="O69" s="93"/>
    </row>
    <row r="70" spans="1:15" x14ac:dyDescent="0.25">
      <c r="A70" s="554" t="s">
        <v>121</v>
      </c>
      <c r="B70" s="135" t="s">
        <v>1108</v>
      </c>
      <c r="C70" s="94"/>
      <c r="D70" s="94"/>
      <c r="E70" s="94"/>
      <c r="F70" s="94"/>
      <c r="G70" s="94"/>
      <c r="H70" s="94"/>
      <c r="I70" s="94"/>
      <c r="J70" s="557" t="s">
        <v>119</v>
      </c>
      <c r="K70" s="94"/>
      <c r="L70" s="94"/>
      <c r="M70" s="554" t="s">
        <v>118</v>
      </c>
      <c r="N70" s="100">
        <f>N67*N68</f>
        <v>765.31015602417824</v>
      </c>
      <c r="O70" s="93"/>
    </row>
    <row r="71" spans="1:15" x14ac:dyDescent="0.25">
      <c r="A71" s="554" t="s">
        <v>117</v>
      </c>
      <c r="B71" s="133" t="s">
        <v>23</v>
      </c>
      <c r="C71" s="94"/>
      <c r="D71" s="94"/>
      <c r="E71" s="94"/>
      <c r="F71" s="94"/>
      <c r="G71" s="94"/>
      <c r="H71" s="94"/>
      <c r="I71" s="94"/>
      <c r="J71" s="557" t="s">
        <v>116</v>
      </c>
      <c r="K71" s="94"/>
      <c r="L71" s="94"/>
      <c r="M71" s="94"/>
      <c r="N71" s="94"/>
      <c r="O71" s="93"/>
    </row>
    <row r="72" spans="1:15" x14ac:dyDescent="0.25">
      <c r="A72" s="554" t="s">
        <v>115</v>
      </c>
      <c r="B72" s="133"/>
      <c r="C72" s="94"/>
      <c r="D72" s="94"/>
      <c r="E72" s="94"/>
      <c r="F72" s="94"/>
      <c r="G72" s="94"/>
      <c r="H72" s="94"/>
      <c r="I72" s="94"/>
      <c r="J72" s="94"/>
      <c r="K72" s="94"/>
      <c r="L72" s="94"/>
      <c r="M72" s="94"/>
      <c r="N72" s="94"/>
      <c r="O72" s="93"/>
    </row>
    <row r="73" spans="1:15" x14ac:dyDescent="0.25">
      <c r="A73" s="107"/>
      <c r="B73" s="94"/>
      <c r="C73" s="94"/>
      <c r="D73" s="94"/>
      <c r="E73" s="94"/>
      <c r="F73" s="94"/>
      <c r="G73" s="94"/>
      <c r="H73" s="94"/>
      <c r="I73" s="94"/>
      <c r="J73" s="94"/>
      <c r="K73" s="94"/>
      <c r="L73" s="94"/>
      <c r="M73" s="94"/>
      <c r="N73" s="94"/>
      <c r="O73" s="93"/>
    </row>
    <row r="74" spans="1:15" x14ac:dyDescent="0.25">
      <c r="A74" s="554" t="s">
        <v>67</v>
      </c>
      <c r="B74" s="554" t="s">
        <v>114</v>
      </c>
      <c r="C74" s="554" t="s">
        <v>113</v>
      </c>
      <c r="D74" s="554" t="s">
        <v>40</v>
      </c>
      <c r="E74" s="554" t="s">
        <v>58</v>
      </c>
      <c r="F74" s="94"/>
      <c r="G74" s="94"/>
      <c r="H74" s="94"/>
      <c r="I74" s="94"/>
      <c r="J74" s="94"/>
      <c r="K74" s="94"/>
      <c r="L74" s="94"/>
      <c r="M74" s="94"/>
      <c r="N74" s="94"/>
      <c r="O74" s="93"/>
    </row>
    <row r="75" spans="1:15" x14ac:dyDescent="0.25">
      <c r="A75" s="129">
        <v>10</v>
      </c>
      <c r="B75" s="132" t="str">
        <f>WT_03001</f>
        <v>Rear hub</v>
      </c>
      <c r="C75" s="100">
        <f>WT_03001_PC</f>
        <v>77.234943819207018</v>
      </c>
      <c r="D75" s="127">
        <f>WT_03001_Qty</f>
        <v>1</v>
      </c>
      <c r="E75" s="100">
        <f>C75*D75</f>
        <v>77.234943819207018</v>
      </c>
      <c r="F75" s="94"/>
      <c r="G75" s="94"/>
      <c r="H75" s="94"/>
      <c r="I75" s="94"/>
      <c r="J75" s="94"/>
      <c r="K75" s="94"/>
      <c r="L75" s="94"/>
      <c r="M75" s="94"/>
      <c r="N75" s="94"/>
      <c r="O75" s="93"/>
    </row>
    <row r="76" spans="1:15" x14ac:dyDescent="0.25">
      <c r="A76" s="129">
        <v>20</v>
      </c>
      <c r="B76" s="132" t="str">
        <f>WT_03002</f>
        <v>Bearings</v>
      </c>
      <c r="C76" s="100">
        <f>WT_03002_PC</f>
        <v>122.59</v>
      </c>
      <c r="D76" s="127">
        <f>WT_03002_Qty</f>
        <v>2</v>
      </c>
      <c r="E76" s="100">
        <f>C76*D76</f>
        <v>245.18</v>
      </c>
      <c r="F76" s="99"/>
      <c r="G76" s="99"/>
      <c r="H76" s="99"/>
      <c r="I76" s="99"/>
      <c r="J76" s="99"/>
      <c r="K76" s="99"/>
      <c r="L76" s="99"/>
      <c r="M76" s="99"/>
      <c r="N76" s="99"/>
      <c r="O76" s="93"/>
    </row>
    <row r="77" spans="1:15" x14ac:dyDescent="0.25">
      <c r="A77" s="129">
        <v>30</v>
      </c>
      <c r="B77" s="132" t="str">
        <f>WT_03003</f>
        <v>Rear spacer</v>
      </c>
      <c r="C77" s="100">
        <f>WT_03003_PC</f>
        <v>33.825134192882096</v>
      </c>
      <c r="D77" s="129">
        <f>WT_03003_Qty</f>
        <v>1</v>
      </c>
      <c r="E77" s="100">
        <f>C77*D77</f>
        <v>33.825134192882096</v>
      </c>
      <c r="F77" s="99"/>
      <c r="G77" s="99"/>
      <c r="H77" s="99"/>
      <c r="I77" s="99"/>
      <c r="J77" s="99"/>
      <c r="K77" s="99"/>
      <c r="L77" s="99"/>
      <c r="M77" s="99"/>
      <c r="N77" s="99"/>
      <c r="O77" s="131"/>
    </row>
    <row r="78" spans="1:15" x14ac:dyDescent="0.25">
      <c r="A78" s="107"/>
      <c r="B78" s="94"/>
      <c r="C78" s="94"/>
      <c r="D78" s="551" t="s">
        <v>58</v>
      </c>
      <c r="E78" s="550">
        <f>SUM(E75:E77)</f>
        <v>356.2400780120891</v>
      </c>
      <c r="F78" s="99"/>
      <c r="G78" s="99"/>
      <c r="H78" s="99"/>
      <c r="I78" s="99"/>
      <c r="J78" s="99"/>
      <c r="K78" s="99"/>
      <c r="L78" s="99"/>
      <c r="M78" s="99"/>
      <c r="N78" s="99"/>
      <c r="O78" s="93"/>
    </row>
    <row r="79" spans="1:15" x14ac:dyDescent="0.25">
      <c r="A79" s="107"/>
      <c r="B79" s="94"/>
      <c r="C79" s="94"/>
      <c r="D79" s="94"/>
      <c r="E79" s="94"/>
      <c r="F79" s="94"/>
      <c r="G79" s="94"/>
      <c r="H79" s="94"/>
      <c r="I79" s="94"/>
      <c r="J79" s="94"/>
      <c r="K79" s="94"/>
      <c r="L79" s="94"/>
      <c r="M79" s="94"/>
      <c r="N79" s="94"/>
      <c r="O79" s="93"/>
    </row>
    <row r="80" spans="1:15" x14ac:dyDescent="0.25">
      <c r="A80" s="554" t="s">
        <v>67</v>
      </c>
      <c r="B80" s="554" t="s">
        <v>112</v>
      </c>
      <c r="C80" s="554" t="s">
        <v>66</v>
      </c>
      <c r="D80" s="554" t="s">
        <v>65</v>
      </c>
      <c r="E80" s="554" t="s">
        <v>81</v>
      </c>
      <c r="F80" s="554" t="s">
        <v>80</v>
      </c>
      <c r="G80" s="554" t="s">
        <v>79</v>
      </c>
      <c r="H80" s="554" t="s">
        <v>78</v>
      </c>
      <c r="I80" s="554" t="s">
        <v>111</v>
      </c>
      <c r="J80" s="554" t="s">
        <v>110</v>
      </c>
      <c r="K80" s="554" t="s">
        <v>109</v>
      </c>
      <c r="L80" s="554" t="s">
        <v>108</v>
      </c>
      <c r="M80" s="554" t="s">
        <v>40</v>
      </c>
      <c r="N80" s="554" t="s">
        <v>58</v>
      </c>
      <c r="O80" s="93"/>
    </row>
    <row r="81" spans="1:15" x14ac:dyDescent="0.25">
      <c r="A81" s="129">
        <v>10</v>
      </c>
      <c r="B81" s="129" t="s">
        <v>1107</v>
      </c>
      <c r="C81" s="129" t="s">
        <v>1102</v>
      </c>
      <c r="D81" s="100">
        <v>9.1300000000000008</v>
      </c>
      <c r="E81" s="129">
        <v>60</v>
      </c>
      <c r="F81" s="129" t="s">
        <v>68</v>
      </c>
      <c r="G81" s="129"/>
      <c r="H81" s="200"/>
      <c r="I81" s="202"/>
      <c r="J81" s="201"/>
      <c r="K81" s="200"/>
      <c r="L81" s="200"/>
      <c r="M81" s="200">
        <v>1</v>
      </c>
      <c r="N81" s="100">
        <f>M81*D81</f>
        <v>9.1300000000000008</v>
      </c>
      <c r="O81" s="93"/>
    </row>
    <row r="82" spans="1:15" x14ac:dyDescent="0.25">
      <c r="A82" s="98"/>
      <c r="B82" s="95"/>
      <c r="C82" s="95"/>
      <c r="D82" s="95"/>
      <c r="E82" s="95"/>
      <c r="F82" s="95"/>
      <c r="G82" s="95"/>
      <c r="H82" s="95"/>
      <c r="I82" s="95"/>
      <c r="J82" s="95"/>
      <c r="K82" s="95"/>
      <c r="L82" s="95"/>
      <c r="M82" s="554" t="s">
        <v>58</v>
      </c>
      <c r="N82" s="550">
        <f>SUM(N81:N81)</f>
        <v>9.1300000000000008</v>
      </c>
      <c r="O82" s="93"/>
    </row>
    <row r="83" spans="1:15" x14ac:dyDescent="0.25">
      <c r="A83" s="107"/>
      <c r="B83" s="94"/>
      <c r="C83" s="94"/>
      <c r="D83" s="94"/>
      <c r="E83" s="94"/>
      <c r="F83" s="94"/>
      <c r="G83" s="94"/>
      <c r="H83" s="94"/>
      <c r="I83" s="94"/>
      <c r="J83" s="94"/>
      <c r="K83" s="94"/>
      <c r="L83" s="94"/>
      <c r="M83" s="94"/>
      <c r="N83" s="94"/>
      <c r="O83" s="93"/>
    </row>
    <row r="84" spans="1:15" x14ac:dyDescent="0.25">
      <c r="A84" s="554" t="s">
        <v>67</v>
      </c>
      <c r="B84" s="554" t="s">
        <v>106</v>
      </c>
      <c r="C84" s="554" t="s">
        <v>66</v>
      </c>
      <c r="D84" s="554" t="s">
        <v>65</v>
      </c>
      <c r="E84" s="554" t="s">
        <v>64</v>
      </c>
      <c r="F84" s="554" t="s">
        <v>40</v>
      </c>
      <c r="G84" s="554" t="s">
        <v>105</v>
      </c>
      <c r="H84" s="554" t="s">
        <v>104</v>
      </c>
      <c r="I84" s="554" t="s">
        <v>58</v>
      </c>
      <c r="J84" s="95"/>
      <c r="K84" s="95"/>
      <c r="L84" s="95"/>
      <c r="M84" s="95"/>
      <c r="N84" s="95"/>
      <c r="O84" s="120"/>
    </row>
    <row r="85" spans="1:15" ht="30" x14ac:dyDescent="0.25">
      <c r="A85" s="129">
        <v>10</v>
      </c>
      <c r="B85" s="129" t="s">
        <v>439</v>
      </c>
      <c r="C85" s="601" t="s">
        <v>1106</v>
      </c>
      <c r="D85" s="100">
        <v>0.19</v>
      </c>
      <c r="E85" s="129" t="s">
        <v>64</v>
      </c>
      <c r="F85" s="244">
        <v>4</v>
      </c>
      <c r="G85" s="244"/>
      <c r="H85" s="244"/>
      <c r="I85" s="100">
        <f t="shared" ref="I85:I90" si="1">IF(H85="",D85*F85,D85*F85*H85)</f>
        <v>0.76</v>
      </c>
      <c r="J85" s="94"/>
      <c r="K85" s="94"/>
      <c r="L85" s="94"/>
      <c r="M85" s="94"/>
      <c r="N85" s="94"/>
      <c r="O85" s="93"/>
    </row>
    <row r="86" spans="1:15" x14ac:dyDescent="0.25">
      <c r="A86" s="129">
        <v>20</v>
      </c>
      <c r="B86" s="129" t="s">
        <v>439</v>
      </c>
      <c r="C86" s="129" t="s">
        <v>1105</v>
      </c>
      <c r="D86" s="100">
        <v>0.19</v>
      </c>
      <c r="E86" s="555" t="s">
        <v>64</v>
      </c>
      <c r="F86" s="244">
        <v>2</v>
      </c>
      <c r="G86" s="129"/>
      <c r="H86" s="129"/>
      <c r="I86" s="100">
        <f t="shared" si="1"/>
        <v>0.38</v>
      </c>
      <c r="J86" s="94"/>
      <c r="K86" s="94"/>
      <c r="L86" s="94"/>
      <c r="M86" s="94"/>
      <c r="N86" s="94"/>
      <c r="O86" s="93"/>
    </row>
    <row r="87" spans="1:15" ht="30" x14ac:dyDescent="0.25">
      <c r="A87" s="129">
        <v>30</v>
      </c>
      <c r="B87" s="129" t="s">
        <v>439</v>
      </c>
      <c r="C87" s="129" t="s">
        <v>1104</v>
      </c>
      <c r="D87" s="100">
        <v>0.19</v>
      </c>
      <c r="E87" s="129" t="s">
        <v>64</v>
      </c>
      <c r="F87" s="244">
        <v>1</v>
      </c>
      <c r="G87" s="556" t="s">
        <v>189</v>
      </c>
      <c r="H87" s="129">
        <v>1.5</v>
      </c>
      <c r="I87" s="100">
        <f t="shared" si="1"/>
        <v>0.28500000000000003</v>
      </c>
      <c r="J87" s="94"/>
      <c r="K87" s="94"/>
      <c r="L87" s="94"/>
      <c r="M87" s="94"/>
      <c r="N87" s="94"/>
      <c r="O87" s="93"/>
    </row>
    <row r="88" spans="1:15" x14ac:dyDescent="0.25">
      <c r="A88" s="222">
        <v>40</v>
      </c>
      <c r="B88" s="222" t="s">
        <v>334</v>
      </c>
      <c r="C88" s="222" t="s">
        <v>2695</v>
      </c>
      <c r="D88" s="220">
        <v>0.13</v>
      </c>
      <c r="E88" s="222" t="s">
        <v>64</v>
      </c>
      <c r="F88" s="1630">
        <v>1</v>
      </c>
      <c r="G88" s="1643"/>
      <c r="H88" s="222"/>
      <c r="I88" s="100">
        <f t="shared" si="1"/>
        <v>0.13</v>
      </c>
      <c r="J88" s="94"/>
      <c r="K88" s="94"/>
      <c r="L88" s="94"/>
      <c r="M88" s="94"/>
      <c r="N88" s="94"/>
      <c r="O88" s="93"/>
    </row>
    <row r="89" spans="1:15" x14ac:dyDescent="0.25">
      <c r="A89" s="222">
        <v>50</v>
      </c>
      <c r="B89" s="1628" t="s">
        <v>1103</v>
      </c>
      <c r="C89" s="222" t="s">
        <v>1102</v>
      </c>
      <c r="D89" s="220">
        <v>2</v>
      </c>
      <c r="E89" s="222" t="s">
        <v>64</v>
      </c>
      <c r="F89" s="1630">
        <v>1</v>
      </c>
      <c r="G89" s="222"/>
      <c r="H89" s="222"/>
      <c r="I89" s="220">
        <f t="shared" si="1"/>
        <v>2</v>
      </c>
      <c r="J89" s="99"/>
      <c r="K89" s="99"/>
      <c r="L89" s="99"/>
      <c r="M89" s="99"/>
      <c r="N89" s="99"/>
      <c r="O89" s="130"/>
    </row>
    <row r="90" spans="1:15" x14ac:dyDescent="0.25">
      <c r="A90" s="1497">
        <v>60</v>
      </c>
      <c r="B90" s="1631" t="s">
        <v>539</v>
      </c>
      <c r="C90" s="1497" t="s">
        <v>2694</v>
      </c>
      <c r="D90" s="1468">
        <v>0.25</v>
      </c>
      <c r="E90" s="1497" t="s">
        <v>64</v>
      </c>
      <c r="F90" s="1544">
        <v>1</v>
      </c>
      <c r="G90" s="1497"/>
      <c r="H90" s="1497"/>
      <c r="I90" s="1468">
        <f t="shared" si="1"/>
        <v>0.25</v>
      </c>
      <c r="J90" s="99"/>
      <c r="K90" s="99"/>
      <c r="L90" s="99"/>
      <c r="M90" s="99"/>
      <c r="N90" s="99"/>
      <c r="O90" s="130"/>
    </row>
    <row r="91" spans="1:15" x14ac:dyDescent="0.25">
      <c r="A91" s="98"/>
      <c r="B91" s="95"/>
      <c r="C91" s="95"/>
      <c r="D91" s="95"/>
      <c r="E91" s="95"/>
      <c r="F91" s="95"/>
      <c r="G91" s="95"/>
      <c r="H91" s="559" t="s">
        <v>58</v>
      </c>
      <c r="I91" s="558">
        <f>SUM(I85:I90)</f>
        <v>3.8050000000000002</v>
      </c>
      <c r="J91" s="94"/>
      <c r="K91" s="94"/>
      <c r="L91" s="94"/>
      <c r="M91" s="94"/>
      <c r="N91" s="94"/>
      <c r="O91" s="93"/>
    </row>
    <row r="92" spans="1:15" x14ac:dyDescent="0.25">
      <c r="A92" s="107"/>
      <c r="B92" s="94"/>
      <c r="C92" s="94"/>
      <c r="D92" s="94"/>
      <c r="E92" s="94"/>
      <c r="F92" s="94"/>
      <c r="G92" s="94"/>
      <c r="H92" s="549"/>
      <c r="I92" s="549"/>
      <c r="J92" s="94"/>
      <c r="K92" s="94"/>
      <c r="L92" s="94"/>
      <c r="M92" s="94"/>
      <c r="N92" s="94"/>
      <c r="O92" s="93"/>
    </row>
    <row r="93" spans="1:15" x14ac:dyDescent="0.25">
      <c r="A93" s="554" t="s">
        <v>67</v>
      </c>
      <c r="B93" s="554" t="s">
        <v>82</v>
      </c>
      <c r="C93" s="554" t="s">
        <v>66</v>
      </c>
      <c r="D93" s="554" t="s">
        <v>65</v>
      </c>
      <c r="E93" s="554" t="s">
        <v>81</v>
      </c>
      <c r="F93" s="554" t="s">
        <v>80</v>
      </c>
      <c r="G93" s="554" t="s">
        <v>79</v>
      </c>
      <c r="H93" s="554" t="s">
        <v>78</v>
      </c>
      <c r="I93" s="554" t="s">
        <v>40</v>
      </c>
      <c r="J93" s="554" t="s">
        <v>58</v>
      </c>
      <c r="K93" s="94"/>
      <c r="L93" s="94"/>
      <c r="M93" s="94"/>
      <c r="N93" s="94"/>
      <c r="O93" s="93"/>
    </row>
    <row r="94" spans="1:15" x14ac:dyDescent="0.25">
      <c r="A94" s="129">
        <v>10</v>
      </c>
      <c r="B94" s="129" t="s">
        <v>1101</v>
      </c>
      <c r="C94" s="129" t="s">
        <v>1100</v>
      </c>
      <c r="D94" s="553">
        <v>3.37</v>
      </c>
      <c r="E94" s="552">
        <v>12</v>
      </c>
      <c r="F94" s="552" t="s">
        <v>68</v>
      </c>
      <c r="G94" s="552">
        <v>150</v>
      </c>
      <c r="H94" s="552" t="s">
        <v>68</v>
      </c>
      <c r="I94" s="136">
        <v>4</v>
      </c>
      <c r="J94" s="100">
        <f>I94*D94</f>
        <v>13.48</v>
      </c>
      <c r="K94" s="94"/>
      <c r="L94" s="94"/>
      <c r="M94" s="94"/>
      <c r="N94" s="94"/>
      <c r="O94" s="93"/>
    </row>
    <row r="95" spans="1:15" x14ac:dyDescent="0.25">
      <c r="A95" s="98"/>
      <c r="B95" s="95"/>
      <c r="C95" s="95"/>
      <c r="D95" s="95"/>
      <c r="E95" s="95"/>
      <c r="F95" s="95"/>
      <c r="G95" s="95"/>
      <c r="H95" s="95"/>
      <c r="I95" s="551" t="s">
        <v>58</v>
      </c>
      <c r="J95" s="550">
        <f>SUM(J94:J94)</f>
        <v>13.48</v>
      </c>
      <c r="K95" s="94"/>
      <c r="L95" s="94"/>
      <c r="M95" s="94"/>
      <c r="N95" s="94"/>
      <c r="O95" s="93"/>
    </row>
    <row r="96" spans="1:15" x14ac:dyDescent="0.25">
      <c r="A96" s="107"/>
      <c r="B96" s="94"/>
      <c r="C96" s="94"/>
      <c r="D96" s="94"/>
      <c r="E96" s="94"/>
      <c r="F96" s="94"/>
      <c r="G96" s="94"/>
      <c r="H96" s="94"/>
      <c r="I96" s="549"/>
      <c r="J96" s="549"/>
      <c r="K96" s="94"/>
      <c r="L96" s="94"/>
      <c r="M96" s="94"/>
      <c r="N96" s="94"/>
      <c r="O96" s="93"/>
    </row>
    <row r="97" spans="1:15" ht="15.75" thickBot="1" x14ac:dyDescent="0.3">
      <c r="A97" s="92"/>
      <c r="B97" s="91"/>
      <c r="C97" s="91"/>
      <c r="D97" s="91"/>
      <c r="E97" s="91"/>
      <c r="F97" s="91"/>
      <c r="G97" s="91"/>
      <c r="H97" s="91"/>
      <c r="I97" s="91"/>
      <c r="J97" s="91"/>
      <c r="K97" s="91"/>
      <c r="L97" s="91"/>
      <c r="M97" s="91"/>
      <c r="N97" s="91"/>
      <c r="O97" s="90"/>
    </row>
  </sheetData>
  <hyperlinks>
    <hyperlink ref="B10" location="WT_01001" display="WT_01001"/>
    <hyperlink ref="B42" location="WT_02001" display="WT_02001"/>
    <hyperlink ref="B43" location="WT_02002" display="WT_02002"/>
    <hyperlink ref="B11" location="WT_01002" display="WT_01002"/>
    <hyperlink ref="B12" location="WT_01003" display="WT_01003"/>
    <hyperlink ref="B44" location="WT_02003" display="WT_02003"/>
    <hyperlink ref="B75" location="WT_03001" display="WT_03001"/>
    <hyperlink ref="B76" location="WT_03002" display="WT_03002"/>
    <hyperlink ref="B77" location="WT_03003" display="WT_03003"/>
  </hyperlinks>
  <pageMargins left="0.7" right="0.7" top="0.75" bottom="0.75" header="0.51180555555555496" footer="0.3"/>
  <pageSetup paperSize="9" scale="47" firstPageNumber="0" fitToHeight="0" orientation="portrait" r:id="rId1"/>
  <headerFooter>
    <oddFooter>&amp;C&amp;P</oddFooter>
  </headerFooter>
  <rowBreaks count="2" manualBreakCount="2">
    <brk id="31" max="16383" man="1"/>
    <brk id="64" max="16383" man="1"/>
  </rowBreaks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FFCC"/>
    <pageSetUpPr fitToPage="1"/>
  </sheetPr>
  <dimension ref="A1:O168"/>
  <sheetViews>
    <sheetView zoomScale="80" zoomScaleNormal="80" zoomScaleSheetLayoutView="80" workbookViewId="0"/>
  </sheetViews>
  <sheetFormatPr baseColWidth="10" defaultColWidth="9.140625" defaultRowHeight="15" x14ac:dyDescent="0.25"/>
  <cols>
    <col min="1" max="1" width="9.140625" style="89"/>
    <col min="2" max="2" width="23.5703125" style="89" customWidth="1"/>
    <col min="3" max="3" width="22.5703125" style="89" customWidth="1"/>
    <col min="4" max="4" width="12" style="89" customWidth="1"/>
    <col min="5" max="6" width="9.140625" style="89"/>
    <col min="7" max="7" width="15.5703125" style="89" customWidth="1"/>
    <col min="8" max="8" width="9.140625" style="89"/>
    <col min="9" max="9" width="15.7109375" style="89" customWidth="1"/>
    <col min="10" max="10" width="11.28515625" style="89" customWidth="1"/>
    <col min="11" max="13" width="9.140625" style="89"/>
    <col min="14" max="14" width="12.5703125" style="89" bestFit="1" customWidth="1"/>
    <col min="15" max="15" width="3.140625" style="89" customWidth="1"/>
    <col min="16" max="16384" width="9.140625" style="89"/>
  </cols>
  <sheetData>
    <row r="1" spans="1:15" x14ac:dyDescent="0.25">
      <c r="A1" s="600"/>
      <c r="B1" s="599"/>
      <c r="C1" s="599"/>
      <c r="D1" s="599"/>
      <c r="E1" s="599"/>
      <c r="F1" s="599"/>
      <c r="G1" s="599"/>
      <c r="H1" s="599"/>
      <c r="I1" s="599"/>
      <c r="J1" s="599"/>
      <c r="K1" s="599"/>
      <c r="L1" s="599"/>
      <c r="M1" s="599"/>
      <c r="N1" s="599"/>
      <c r="O1" s="598"/>
    </row>
    <row r="2" spans="1:15" x14ac:dyDescent="0.25">
      <c r="A2" s="597" t="s">
        <v>57</v>
      </c>
      <c r="B2" s="133" t="s">
        <v>523</v>
      </c>
      <c r="C2" s="94"/>
      <c r="D2" s="94"/>
      <c r="E2" s="94"/>
      <c r="F2" s="94"/>
      <c r="G2" s="94"/>
      <c r="H2" s="94"/>
      <c r="I2" s="94"/>
      <c r="J2" s="581" t="s">
        <v>51</v>
      </c>
      <c r="K2" s="138">
        <v>81</v>
      </c>
      <c r="L2" s="94"/>
      <c r="M2" s="579" t="s">
        <v>113</v>
      </c>
      <c r="N2" s="100">
        <f>WT_01001_m</f>
        <v>77.5</v>
      </c>
      <c r="O2" s="594"/>
    </row>
    <row r="3" spans="1:15" x14ac:dyDescent="0.25">
      <c r="A3" s="597" t="s">
        <v>125</v>
      </c>
      <c r="B3" s="133" t="s">
        <v>4</v>
      </c>
      <c r="C3" s="94"/>
      <c r="D3" s="579" t="s">
        <v>122</v>
      </c>
      <c r="E3" s="270" t="s">
        <v>522</v>
      </c>
      <c r="F3" s="94"/>
      <c r="G3" s="94"/>
      <c r="H3" s="94"/>
      <c r="I3" s="94"/>
      <c r="J3" s="94"/>
      <c r="K3" s="94"/>
      <c r="L3" s="94"/>
      <c r="M3" s="579" t="s">
        <v>124</v>
      </c>
      <c r="N3" s="136">
        <v>1</v>
      </c>
      <c r="O3" s="594"/>
    </row>
    <row r="4" spans="1:15" x14ac:dyDescent="0.25">
      <c r="A4" s="597" t="s">
        <v>123</v>
      </c>
      <c r="B4" s="270" t="str">
        <f>WT_A0001</f>
        <v>Wheel assembly</v>
      </c>
      <c r="C4" s="94"/>
      <c r="D4" s="579" t="s">
        <v>119</v>
      </c>
      <c r="E4" s="94"/>
      <c r="F4" s="94"/>
      <c r="G4" s="94"/>
      <c r="H4" s="94"/>
      <c r="I4" s="94"/>
      <c r="J4" s="580" t="s">
        <v>122</v>
      </c>
      <c r="K4" s="94"/>
      <c r="L4" s="94"/>
      <c r="M4" s="94"/>
      <c r="N4" s="94"/>
      <c r="O4" s="594"/>
    </row>
    <row r="5" spans="1:15" x14ac:dyDescent="0.25">
      <c r="A5" s="597" t="s">
        <v>114</v>
      </c>
      <c r="B5" s="135" t="s">
        <v>1155</v>
      </c>
      <c r="C5" s="94"/>
      <c r="D5" s="579" t="s">
        <v>116</v>
      </c>
      <c r="E5" s="94"/>
      <c r="F5" s="94"/>
      <c r="G5" s="94"/>
      <c r="H5" s="94"/>
      <c r="I5" s="94"/>
      <c r="J5" s="580" t="s">
        <v>119</v>
      </c>
      <c r="K5" s="94"/>
      <c r="L5" s="94"/>
      <c r="M5" s="579" t="s">
        <v>118</v>
      </c>
      <c r="N5" s="100">
        <f>N3*N2</f>
        <v>77.5</v>
      </c>
      <c r="O5" s="594"/>
    </row>
    <row r="6" spans="1:15" x14ac:dyDescent="0.25">
      <c r="A6" s="597" t="s">
        <v>121</v>
      </c>
      <c r="B6" s="269" t="s">
        <v>1154</v>
      </c>
      <c r="C6" s="94"/>
      <c r="D6" s="94"/>
      <c r="E6" s="94"/>
      <c r="F6" s="94"/>
      <c r="G6" s="94"/>
      <c r="H6" s="94"/>
      <c r="I6" s="94"/>
      <c r="J6" s="580" t="s">
        <v>116</v>
      </c>
      <c r="K6" s="94"/>
      <c r="L6" s="94"/>
      <c r="M6" s="94"/>
      <c r="N6" s="94"/>
      <c r="O6" s="594"/>
    </row>
    <row r="7" spans="1:15" x14ac:dyDescent="0.25">
      <c r="A7" s="597" t="s">
        <v>117</v>
      </c>
      <c r="B7" s="133" t="s">
        <v>23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594"/>
    </row>
    <row r="8" spans="1:15" x14ac:dyDescent="0.25">
      <c r="A8" s="597" t="s">
        <v>115</v>
      </c>
      <c r="B8" s="133" t="s">
        <v>1153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594"/>
    </row>
    <row r="9" spans="1:15" x14ac:dyDescent="0.25">
      <c r="A9" s="596"/>
      <c r="B9" s="265"/>
      <c r="C9" s="265"/>
      <c r="D9" s="265"/>
      <c r="E9" s="265"/>
      <c r="F9" s="94"/>
      <c r="G9" s="94"/>
      <c r="H9" s="94"/>
      <c r="I9" s="94"/>
      <c r="J9" s="94"/>
      <c r="K9" s="94"/>
      <c r="L9" s="94"/>
      <c r="M9" s="94"/>
      <c r="N9" s="94"/>
      <c r="O9" s="594"/>
    </row>
    <row r="10" spans="1:15" x14ac:dyDescent="0.25">
      <c r="A10" s="595" t="s">
        <v>67</v>
      </c>
      <c r="B10" s="577" t="s">
        <v>112</v>
      </c>
      <c r="C10" s="577" t="s">
        <v>66</v>
      </c>
      <c r="D10" s="577" t="s">
        <v>65</v>
      </c>
      <c r="E10" s="577" t="s">
        <v>81</v>
      </c>
      <c r="F10" s="566" t="s">
        <v>80</v>
      </c>
      <c r="G10" s="566" t="s">
        <v>79</v>
      </c>
      <c r="H10" s="566" t="s">
        <v>78</v>
      </c>
      <c r="I10" s="566" t="s">
        <v>111</v>
      </c>
      <c r="J10" s="566" t="s">
        <v>110</v>
      </c>
      <c r="K10" s="566" t="s">
        <v>109</v>
      </c>
      <c r="L10" s="566" t="s">
        <v>108</v>
      </c>
      <c r="M10" s="566" t="s">
        <v>40</v>
      </c>
      <c r="N10" s="566" t="s">
        <v>58</v>
      </c>
      <c r="O10" s="594"/>
    </row>
    <row r="11" spans="1:15" s="250" customFormat="1" x14ac:dyDescent="0.25">
      <c r="A11" s="593">
        <v>10</v>
      </c>
      <c r="B11" s="402" t="s">
        <v>1152</v>
      </c>
      <c r="C11" s="296" t="s">
        <v>1151</v>
      </c>
      <c r="D11" s="276">
        <v>77.5</v>
      </c>
      <c r="E11" s="296"/>
      <c r="F11" s="296"/>
      <c r="G11" s="296"/>
      <c r="H11" s="401"/>
      <c r="I11" s="400"/>
      <c r="J11" s="399"/>
      <c r="K11" s="398"/>
      <c r="L11" s="319"/>
      <c r="M11" s="397">
        <v>1</v>
      </c>
      <c r="N11" s="276">
        <f>IF(J11="",D11*M11,D11*J11*K11*L11*M11)</f>
        <v>77.5</v>
      </c>
      <c r="O11" s="592"/>
    </row>
    <row r="12" spans="1:15" ht="15.75" thickBot="1" x14ac:dyDescent="0.3">
      <c r="A12" s="591"/>
      <c r="B12" s="533"/>
      <c r="C12" s="533"/>
      <c r="D12" s="533"/>
      <c r="E12" s="533"/>
      <c r="F12" s="533"/>
      <c r="G12" s="533"/>
      <c r="H12" s="533"/>
      <c r="I12" s="533"/>
      <c r="J12" s="533"/>
      <c r="K12" s="533"/>
      <c r="L12" s="533"/>
      <c r="M12" s="590" t="s">
        <v>58</v>
      </c>
      <c r="N12" s="589">
        <f>SUM(N11:N11)</f>
        <v>77.5</v>
      </c>
      <c r="O12" s="588"/>
    </row>
    <row r="13" spans="1:15" ht="15.75" thickBot="1" x14ac:dyDescent="0.3"/>
    <row r="14" spans="1:15" x14ac:dyDescent="0.25">
      <c r="A14" s="141"/>
      <c r="B14" s="140"/>
      <c r="C14" s="140"/>
      <c r="D14" s="140"/>
      <c r="E14" s="140"/>
      <c r="F14" s="140"/>
      <c r="G14" s="140"/>
      <c r="H14" s="140"/>
      <c r="I14" s="140"/>
      <c r="J14" s="140"/>
      <c r="K14" s="140"/>
      <c r="L14" s="140"/>
      <c r="M14" s="140"/>
      <c r="N14" s="140"/>
      <c r="O14" s="139"/>
    </row>
    <row r="15" spans="1:15" s="245" customFormat="1" x14ac:dyDescent="0.25">
      <c r="A15" s="579" t="s">
        <v>57</v>
      </c>
      <c r="B15" s="133" t="s">
        <v>523</v>
      </c>
      <c r="C15" s="94"/>
      <c r="D15" s="94"/>
      <c r="E15" s="94"/>
      <c r="F15" s="94"/>
      <c r="G15" s="94"/>
      <c r="H15" s="94"/>
      <c r="I15" s="94"/>
      <c r="J15" s="581" t="s">
        <v>51</v>
      </c>
      <c r="K15" s="138">
        <v>81</v>
      </c>
      <c r="L15" s="94"/>
      <c r="M15" s="579" t="s">
        <v>113</v>
      </c>
      <c r="N15" s="100">
        <f>WT_01002_m</f>
        <v>85</v>
      </c>
      <c r="O15" s="93"/>
    </row>
    <row r="16" spans="1:15" x14ac:dyDescent="0.25">
      <c r="A16" s="579" t="s">
        <v>125</v>
      </c>
      <c r="B16" s="133" t="s">
        <v>4</v>
      </c>
      <c r="C16" s="94"/>
      <c r="D16" s="579" t="s">
        <v>122</v>
      </c>
      <c r="E16" s="94"/>
      <c r="F16" s="94"/>
      <c r="G16" s="94"/>
      <c r="H16" s="94"/>
      <c r="I16" s="94"/>
      <c r="J16" s="94"/>
      <c r="K16" s="94"/>
      <c r="L16" s="94"/>
      <c r="M16" s="579" t="s">
        <v>124</v>
      </c>
      <c r="N16" s="136">
        <v>1</v>
      </c>
      <c r="O16" s="93"/>
    </row>
    <row r="17" spans="1:15" s="254" customFormat="1" x14ac:dyDescent="0.25">
      <c r="A17" s="579" t="s">
        <v>123</v>
      </c>
      <c r="B17" s="270" t="str">
        <f>WT_A0001</f>
        <v>Wheel assembly</v>
      </c>
      <c r="C17" s="94"/>
      <c r="D17" s="579" t="s">
        <v>119</v>
      </c>
      <c r="E17" s="94"/>
      <c r="F17" s="94"/>
      <c r="G17" s="94"/>
      <c r="H17" s="94"/>
      <c r="I17" s="94"/>
      <c r="J17" s="580" t="s">
        <v>122</v>
      </c>
      <c r="K17" s="94"/>
      <c r="L17" s="94"/>
      <c r="M17" s="94"/>
      <c r="N17" s="94"/>
      <c r="O17" s="93"/>
    </row>
    <row r="18" spans="1:15" x14ac:dyDescent="0.25">
      <c r="A18" s="579" t="s">
        <v>114</v>
      </c>
      <c r="B18" s="135" t="s">
        <v>1147</v>
      </c>
      <c r="C18" s="94"/>
      <c r="D18" s="579" t="s">
        <v>116</v>
      </c>
      <c r="E18" s="94"/>
      <c r="F18" s="94"/>
      <c r="G18" s="94"/>
      <c r="H18" s="94"/>
      <c r="I18" s="94"/>
      <c r="J18" s="580" t="s">
        <v>119</v>
      </c>
      <c r="K18" s="94"/>
      <c r="L18" s="94"/>
      <c r="M18" s="579" t="s">
        <v>118</v>
      </c>
      <c r="N18" s="100">
        <f>N16*N15</f>
        <v>85</v>
      </c>
      <c r="O18" s="93"/>
    </row>
    <row r="19" spans="1:15" x14ac:dyDescent="0.25">
      <c r="A19" s="579" t="s">
        <v>121</v>
      </c>
      <c r="B19" s="269" t="s">
        <v>1150</v>
      </c>
      <c r="C19" s="94"/>
      <c r="D19" s="94"/>
      <c r="E19" s="94"/>
      <c r="F19" s="94"/>
      <c r="G19" s="94"/>
      <c r="H19" s="94"/>
      <c r="I19" s="94"/>
      <c r="J19" s="580" t="s">
        <v>116</v>
      </c>
      <c r="K19" s="94"/>
      <c r="L19" s="94"/>
      <c r="M19" s="94"/>
      <c r="N19" s="94"/>
      <c r="O19" s="93"/>
    </row>
    <row r="20" spans="1:15" x14ac:dyDescent="0.25">
      <c r="A20" s="579" t="s">
        <v>117</v>
      </c>
      <c r="B20" s="133" t="s">
        <v>23</v>
      </c>
      <c r="C20" s="94"/>
      <c r="D20" s="94"/>
      <c r="E20" s="94"/>
      <c r="F20" s="94"/>
      <c r="G20" s="94"/>
      <c r="H20" s="94"/>
      <c r="I20" s="94"/>
      <c r="J20" s="94"/>
      <c r="K20" s="94"/>
      <c r="L20" s="94"/>
      <c r="M20" s="94"/>
      <c r="N20" s="94"/>
      <c r="O20" s="93"/>
    </row>
    <row r="21" spans="1:15" x14ac:dyDescent="0.25">
      <c r="A21" s="579" t="s">
        <v>115</v>
      </c>
      <c r="B21" s="133" t="s">
        <v>1149</v>
      </c>
      <c r="C21" s="94"/>
      <c r="D21" s="94"/>
      <c r="E21" s="94"/>
      <c r="F21" s="94"/>
      <c r="G21" s="94"/>
      <c r="H21" s="94"/>
      <c r="I21" s="94"/>
      <c r="J21" s="94"/>
      <c r="K21" s="94"/>
      <c r="L21" s="94"/>
      <c r="M21" s="94"/>
      <c r="N21" s="94"/>
      <c r="O21" s="93"/>
    </row>
    <row r="22" spans="1:15" x14ac:dyDescent="0.25">
      <c r="A22" s="266"/>
      <c r="B22" s="265"/>
      <c r="C22" s="265"/>
      <c r="D22" s="265"/>
      <c r="E22" s="265"/>
      <c r="F22" s="94"/>
      <c r="G22" s="94"/>
      <c r="H22" s="94"/>
      <c r="I22" s="94"/>
      <c r="J22" s="94"/>
      <c r="K22" s="94"/>
      <c r="L22" s="94"/>
      <c r="M22" s="94"/>
      <c r="N22" s="94"/>
      <c r="O22" s="93"/>
    </row>
    <row r="23" spans="1:15" x14ac:dyDescent="0.25">
      <c r="A23" s="578" t="s">
        <v>67</v>
      </c>
      <c r="B23" s="577" t="s">
        <v>112</v>
      </c>
      <c r="C23" s="577" t="s">
        <v>66</v>
      </c>
      <c r="D23" s="577" t="s">
        <v>65</v>
      </c>
      <c r="E23" s="577" t="s">
        <v>81</v>
      </c>
      <c r="F23" s="566" t="s">
        <v>80</v>
      </c>
      <c r="G23" s="566" t="s">
        <v>79</v>
      </c>
      <c r="H23" s="566" t="s">
        <v>78</v>
      </c>
      <c r="I23" s="566" t="s">
        <v>111</v>
      </c>
      <c r="J23" s="566" t="s">
        <v>110</v>
      </c>
      <c r="K23" s="566" t="s">
        <v>109</v>
      </c>
      <c r="L23" s="566" t="s">
        <v>108</v>
      </c>
      <c r="M23" s="566" t="s">
        <v>40</v>
      </c>
      <c r="N23" s="566" t="s">
        <v>58</v>
      </c>
      <c r="O23" s="93"/>
    </row>
    <row r="24" spans="1:15" x14ac:dyDescent="0.25">
      <c r="A24" s="529">
        <v>10</v>
      </c>
      <c r="B24" s="402" t="s">
        <v>1148</v>
      </c>
      <c r="C24" s="296" t="s">
        <v>1147</v>
      </c>
      <c r="D24" s="276">
        <v>85</v>
      </c>
      <c r="E24" s="296"/>
      <c r="F24" s="296"/>
      <c r="G24" s="296"/>
      <c r="H24" s="401"/>
      <c r="I24" s="400"/>
      <c r="J24" s="399"/>
      <c r="K24" s="398"/>
      <c r="L24" s="319"/>
      <c r="M24" s="397">
        <v>1</v>
      </c>
      <c r="N24" s="276">
        <f>IF(J24="",D24*M24,D24*J24*K24*L24*M24)</f>
        <v>85</v>
      </c>
      <c r="O24" s="143"/>
    </row>
    <row r="25" spans="1:15" x14ac:dyDescent="0.25">
      <c r="A25" s="98"/>
      <c r="B25" s="95"/>
      <c r="C25" s="95"/>
      <c r="D25" s="95"/>
      <c r="E25" s="95"/>
      <c r="F25" s="95"/>
      <c r="G25" s="95"/>
      <c r="H25" s="95"/>
      <c r="I25" s="95"/>
      <c r="J25" s="95"/>
      <c r="K25" s="95"/>
      <c r="L25" s="95"/>
      <c r="M25" s="568" t="s">
        <v>58</v>
      </c>
      <c r="N25" s="562">
        <f>SUM(N24:N24)</f>
        <v>85</v>
      </c>
      <c r="O25" s="93"/>
    </row>
    <row r="26" spans="1:15" ht="15.75" thickBot="1" x14ac:dyDescent="0.3">
      <c r="A26" s="92"/>
      <c r="B26" s="91"/>
      <c r="C26" s="91"/>
      <c r="D26" s="91"/>
      <c r="E26" s="91"/>
      <c r="F26" s="91"/>
      <c r="G26" s="91"/>
      <c r="H26" s="91"/>
      <c r="I26" s="91"/>
      <c r="J26" s="91"/>
      <c r="K26" s="91"/>
      <c r="L26" s="91"/>
      <c r="M26" s="91"/>
      <c r="N26" s="91"/>
      <c r="O26" s="90"/>
    </row>
    <row r="27" spans="1:15" ht="15.75" thickBot="1" x14ac:dyDescent="0.3"/>
    <row r="28" spans="1:15" x14ac:dyDescent="0.25">
      <c r="A28" s="141"/>
      <c r="B28" s="140"/>
      <c r="C28" s="140"/>
      <c r="D28" s="140"/>
      <c r="E28" s="140"/>
      <c r="F28" s="140"/>
      <c r="G28" s="140"/>
      <c r="H28" s="140"/>
      <c r="I28" s="140"/>
      <c r="J28" s="272"/>
      <c r="K28" s="140"/>
      <c r="L28" s="140"/>
      <c r="M28" s="140"/>
      <c r="N28" s="140"/>
      <c r="O28" s="139"/>
    </row>
    <row r="29" spans="1:15" x14ac:dyDescent="0.25">
      <c r="A29" s="579" t="s">
        <v>57</v>
      </c>
      <c r="B29" s="133" t="s">
        <v>523</v>
      </c>
      <c r="C29" s="94"/>
      <c r="D29" s="94"/>
      <c r="E29" s="94"/>
      <c r="F29" s="94"/>
      <c r="G29" s="94"/>
      <c r="H29" s="94"/>
      <c r="I29" s="94"/>
      <c r="J29" s="581" t="s">
        <v>51</v>
      </c>
      <c r="K29" s="138">
        <v>81</v>
      </c>
      <c r="L29" s="94"/>
      <c r="M29" s="579" t="s">
        <v>113</v>
      </c>
      <c r="N29" s="100">
        <f>WT_01003_m</f>
        <v>1</v>
      </c>
      <c r="O29" s="93"/>
    </row>
    <row r="30" spans="1:15" s="254" customFormat="1" x14ac:dyDescent="0.25">
      <c r="A30" s="579" t="s">
        <v>125</v>
      </c>
      <c r="B30" s="133" t="s">
        <v>4</v>
      </c>
      <c r="C30" s="94"/>
      <c r="D30" s="579" t="s">
        <v>122</v>
      </c>
      <c r="E30" s="94"/>
      <c r="F30" s="94"/>
      <c r="G30" s="94"/>
      <c r="H30" s="94"/>
      <c r="I30" s="94"/>
      <c r="J30" s="94"/>
      <c r="K30" s="94"/>
      <c r="L30" s="94"/>
      <c r="M30" s="579" t="s">
        <v>124</v>
      </c>
      <c r="N30" s="136">
        <v>1</v>
      </c>
      <c r="O30" s="93"/>
    </row>
    <row r="31" spans="1:15" x14ac:dyDescent="0.25">
      <c r="A31" s="579" t="s">
        <v>123</v>
      </c>
      <c r="B31" s="270" t="str">
        <f>WT_A0001</f>
        <v>Wheel assembly</v>
      </c>
      <c r="C31" s="94"/>
      <c r="D31" s="579" t="s">
        <v>119</v>
      </c>
      <c r="E31" s="94"/>
      <c r="F31" s="94"/>
      <c r="G31" s="94"/>
      <c r="H31" s="94"/>
      <c r="I31" s="94"/>
      <c r="J31" s="580" t="s">
        <v>122</v>
      </c>
      <c r="K31" s="94"/>
      <c r="L31" s="94"/>
      <c r="M31" s="94"/>
      <c r="N31" s="94"/>
      <c r="O31" s="93"/>
    </row>
    <row r="32" spans="1:15" x14ac:dyDescent="0.25">
      <c r="A32" s="579" t="s">
        <v>114</v>
      </c>
      <c r="B32" s="135" t="s">
        <v>1146</v>
      </c>
      <c r="C32" s="94"/>
      <c r="D32" s="579" t="s">
        <v>116</v>
      </c>
      <c r="E32" s="94"/>
      <c r="F32" s="94"/>
      <c r="G32" s="94"/>
      <c r="H32" s="94"/>
      <c r="I32" s="94"/>
      <c r="J32" s="580" t="s">
        <v>119</v>
      </c>
      <c r="K32" s="94"/>
      <c r="L32" s="94"/>
      <c r="M32" s="579" t="s">
        <v>118</v>
      </c>
      <c r="N32" s="100">
        <f>N30*N29</f>
        <v>1</v>
      </c>
      <c r="O32" s="93"/>
    </row>
    <row r="33" spans="1:15" x14ac:dyDescent="0.25">
      <c r="A33" s="579" t="s">
        <v>121</v>
      </c>
      <c r="B33" s="269" t="s">
        <v>1145</v>
      </c>
      <c r="C33" s="94"/>
      <c r="D33" s="94"/>
      <c r="E33" s="94"/>
      <c r="F33" s="94"/>
      <c r="G33" s="94"/>
      <c r="H33" s="94"/>
      <c r="I33" s="94"/>
      <c r="J33" s="580" t="s">
        <v>116</v>
      </c>
      <c r="K33" s="94"/>
      <c r="L33" s="94"/>
      <c r="M33" s="94"/>
      <c r="N33" s="94"/>
      <c r="O33" s="93"/>
    </row>
    <row r="34" spans="1:15" x14ac:dyDescent="0.25">
      <c r="A34" s="579" t="s">
        <v>117</v>
      </c>
      <c r="B34" s="133" t="s">
        <v>23</v>
      </c>
      <c r="C34" s="94"/>
      <c r="D34" s="94"/>
      <c r="E34" s="94"/>
      <c r="F34" s="94"/>
      <c r="G34" s="94"/>
      <c r="H34" s="94"/>
      <c r="I34" s="94"/>
      <c r="J34" s="94"/>
      <c r="K34" s="94"/>
      <c r="L34" s="94"/>
      <c r="M34" s="94"/>
      <c r="N34" s="94"/>
      <c r="O34" s="93"/>
    </row>
    <row r="35" spans="1:15" x14ac:dyDescent="0.25">
      <c r="A35" s="579" t="s">
        <v>115</v>
      </c>
      <c r="B35" s="133" t="s">
        <v>1144</v>
      </c>
      <c r="C35" s="94"/>
      <c r="D35" s="94"/>
      <c r="E35" s="94"/>
      <c r="F35" s="94"/>
      <c r="G35" s="94"/>
      <c r="H35" s="94"/>
      <c r="I35" s="94"/>
      <c r="J35" s="94"/>
      <c r="K35" s="94"/>
      <c r="L35" s="94"/>
      <c r="M35" s="94"/>
      <c r="N35" s="94"/>
      <c r="O35" s="93"/>
    </row>
    <row r="36" spans="1:15" x14ac:dyDescent="0.25">
      <c r="A36" s="266"/>
      <c r="B36" s="265"/>
      <c r="C36" s="265"/>
      <c r="D36" s="265"/>
      <c r="E36" s="265"/>
      <c r="F36" s="94"/>
      <c r="G36" s="94"/>
      <c r="H36" s="94"/>
      <c r="I36" s="94"/>
      <c r="J36" s="94"/>
      <c r="K36" s="94"/>
      <c r="L36" s="94"/>
      <c r="M36" s="94"/>
      <c r="N36" s="94"/>
      <c r="O36" s="93"/>
    </row>
    <row r="37" spans="1:15" x14ac:dyDescent="0.25">
      <c r="A37" s="578" t="s">
        <v>67</v>
      </c>
      <c r="B37" s="577" t="s">
        <v>112</v>
      </c>
      <c r="C37" s="577" t="s">
        <v>66</v>
      </c>
      <c r="D37" s="577" t="s">
        <v>65</v>
      </c>
      <c r="E37" s="577" t="s">
        <v>81</v>
      </c>
      <c r="F37" s="566" t="s">
        <v>80</v>
      </c>
      <c r="G37" s="566" t="s">
        <v>79</v>
      </c>
      <c r="H37" s="566" t="s">
        <v>78</v>
      </c>
      <c r="I37" s="566" t="s">
        <v>111</v>
      </c>
      <c r="J37" s="566" t="s">
        <v>110</v>
      </c>
      <c r="K37" s="566" t="s">
        <v>109</v>
      </c>
      <c r="L37" s="566" t="s">
        <v>108</v>
      </c>
      <c r="M37" s="566" t="s">
        <v>40</v>
      </c>
      <c r="N37" s="566" t="s">
        <v>58</v>
      </c>
      <c r="O37" s="93"/>
    </row>
    <row r="38" spans="1:15" x14ac:dyDescent="0.25">
      <c r="A38" s="529">
        <v>10</v>
      </c>
      <c r="B38" s="402" t="s">
        <v>1143</v>
      </c>
      <c r="C38" s="296"/>
      <c r="D38" s="276">
        <v>1</v>
      </c>
      <c r="E38" s="296"/>
      <c r="F38" s="296" t="s">
        <v>64</v>
      </c>
      <c r="G38" s="296"/>
      <c r="H38" s="401"/>
      <c r="I38" s="400"/>
      <c r="J38" s="399"/>
      <c r="K38" s="398"/>
      <c r="L38" s="319"/>
      <c r="M38" s="397">
        <v>1</v>
      </c>
      <c r="N38" s="276">
        <f>IF(J38="",D38*M38,D38*J38*K38*L38*M38)</f>
        <v>1</v>
      </c>
      <c r="O38" s="143"/>
    </row>
    <row r="39" spans="1:15" x14ac:dyDescent="0.25">
      <c r="A39" s="98"/>
      <c r="B39" s="95"/>
      <c r="C39" s="95"/>
      <c r="D39" s="95"/>
      <c r="E39" s="95"/>
      <c r="F39" s="95"/>
      <c r="G39" s="95"/>
      <c r="H39" s="95"/>
      <c r="I39" s="95"/>
      <c r="J39" s="95"/>
      <c r="K39" s="95"/>
      <c r="L39" s="95"/>
      <c r="M39" s="568" t="s">
        <v>58</v>
      </c>
      <c r="N39" s="562">
        <f>SUM(N38:N38)</f>
        <v>1</v>
      </c>
      <c r="O39" s="93"/>
    </row>
    <row r="40" spans="1:15" x14ac:dyDescent="0.25">
      <c r="A40" s="107"/>
      <c r="B40" s="94"/>
      <c r="C40" s="94"/>
      <c r="D40" s="94"/>
      <c r="E40" s="94"/>
      <c r="F40" s="94"/>
      <c r="G40" s="94"/>
      <c r="H40" s="94"/>
      <c r="I40" s="94"/>
      <c r="J40" s="94"/>
      <c r="K40" s="94"/>
      <c r="L40" s="94"/>
      <c r="M40" s="94"/>
      <c r="N40" s="94"/>
      <c r="O40" s="93"/>
    </row>
    <row r="41" spans="1:15" ht="15.75" thickBot="1" x14ac:dyDescent="0.3">
      <c r="A41" s="92"/>
      <c r="B41" s="91"/>
      <c r="C41" s="91"/>
      <c r="D41" s="91"/>
      <c r="E41" s="91"/>
      <c r="F41" s="91"/>
      <c r="G41" s="91"/>
      <c r="H41" s="91"/>
      <c r="I41" s="91"/>
      <c r="J41" s="91"/>
      <c r="K41" s="91"/>
      <c r="L41" s="91"/>
      <c r="M41" s="91"/>
      <c r="N41" s="91"/>
      <c r="O41" s="90"/>
    </row>
    <row r="42" spans="1:15" ht="15.75" thickBot="1" x14ac:dyDescent="0.3"/>
    <row r="43" spans="1:15" x14ac:dyDescent="0.25">
      <c r="A43" s="141"/>
      <c r="B43" s="140"/>
      <c r="C43" s="140"/>
      <c r="D43" s="140"/>
      <c r="E43" s="140"/>
      <c r="F43" s="140"/>
      <c r="G43" s="140"/>
      <c r="H43" s="140"/>
      <c r="I43" s="140"/>
      <c r="J43" s="272"/>
      <c r="K43" s="140"/>
      <c r="L43" s="140"/>
      <c r="M43" s="140"/>
      <c r="N43" s="140"/>
      <c r="O43" s="139"/>
    </row>
    <row r="44" spans="1:15" x14ac:dyDescent="0.25">
      <c r="A44" s="579" t="s">
        <v>57</v>
      </c>
      <c r="B44" s="133" t="s">
        <v>523</v>
      </c>
      <c r="C44" s="94"/>
      <c r="D44" s="94"/>
      <c r="E44" s="94"/>
      <c r="F44" s="94"/>
      <c r="G44" s="94"/>
      <c r="H44" s="94"/>
      <c r="I44" s="94"/>
      <c r="J44" s="581" t="s">
        <v>51</v>
      </c>
      <c r="K44" s="138">
        <v>81</v>
      </c>
      <c r="L44" s="94"/>
      <c r="M44" s="579" t="s">
        <v>113</v>
      </c>
      <c r="N44" s="100">
        <f>WT_02001_m+WT_02001_p</f>
        <v>64.098478700906938</v>
      </c>
      <c r="O44" s="93"/>
    </row>
    <row r="45" spans="1:15" x14ac:dyDescent="0.25">
      <c r="A45" s="579" t="s">
        <v>125</v>
      </c>
      <c r="B45" s="133" t="s">
        <v>4</v>
      </c>
      <c r="C45" s="94"/>
      <c r="D45" s="579" t="s">
        <v>122</v>
      </c>
      <c r="E45" s="270" t="s">
        <v>522</v>
      </c>
      <c r="F45" s="94"/>
      <c r="G45" s="94"/>
      <c r="H45" s="94"/>
      <c r="I45" s="94"/>
      <c r="J45" s="94"/>
      <c r="K45" s="94"/>
      <c r="L45" s="94"/>
      <c r="M45" s="579" t="s">
        <v>124</v>
      </c>
      <c r="N45" s="136">
        <v>1</v>
      </c>
      <c r="O45" s="93"/>
    </row>
    <row r="46" spans="1:15" x14ac:dyDescent="0.25">
      <c r="A46" s="579" t="s">
        <v>123</v>
      </c>
      <c r="B46" s="270" t="str">
        <f>WT_A0002</f>
        <v>Front Hubs</v>
      </c>
      <c r="C46" s="94"/>
      <c r="D46" s="579" t="s">
        <v>119</v>
      </c>
      <c r="E46" s="94"/>
      <c r="F46" s="94"/>
      <c r="G46" s="94"/>
      <c r="H46" s="94"/>
      <c r="I46" s="94"/>
      <c r="J46" s="580" t="s">
        <v>122</v>
      </c>
      <c r="K46" s="94"/>
      <c r="L46" s="94"/>
      <c r="M46" s="94"/>
      <c r="N46" s="94"/>
      <c r="O46" s="93"/>
    </row>
    <row r="47" spans="1:15" x14ac:dyDescent="0.25">
      <c r="A47" s="579" t="s">
        <v>114</v>
      </c>
      <c r="B47" s="135" t="s">
        <v>1142</v>
      </c>
      <c r="C47" s="94"/>
      <c r="D47" s="579" t="s">
        <v>116</v>
      </c>
      <c r="E47" s="94"/>
      <c r="F47" s="94"/>
      <c r="G47" s="94"/>
      <c r="H47" s="94"/>
      <c r="I47" s="94"/>
      <c r="J47" s="580" t="s">
        <v>119</v>
      </c>
      <c r="K47" s="94"/>
      <c r="L47" s="94"/>
      <c r="M47" s="579" t="s">
        <v>118</v>
      </c>
      <c r="N47" s="100">
        <f>N45*N44</f>
        <v>64.098478700906938</v>
      </c>
      <c r="O47" s="93"/>
    </row>
    <row r="48" spans="1:15" x14ac:dyDescent="0.25">
      <c r="A48" s="579" t="s">
        <v>121</v>
      </c>
      <c r="B48" s="269" t="s">
        <v>1141</v>
      </c>
      <c r="C48" s="94"/>
      <c r="D48" s="94"/>
      <c r="E48" s="94"/>
      <c r="F48" s="94"/>
      <c r="G48" s="94"/>
      <c r="H48" s="94"/>
      <c r="I48" s="94"/>
      <c r="J48" s="580" t="s">
        <v>116</v>
      </c>
      <c r="K48" s="94"/>
      <c r="L48" s="94"/>
      <c r="M48" s="94"/>
      <c r="N48" s="94"/>
      <c r="O48" s="93"/>
    </row>
    <row r="49" spans="1:15" x14ac:dyDescent="0.25">
      <c r="A49" s="579" t="s">
        <v>117</v>
      </c>
      <c r="B49" s="133" t="s">
        <v>23</v>
      </c>
      <c r="C49" s="94"/>
      <c r="D49" s="94"/>
      <c r="E49" s="94"/>
      <c r="F49" s="94"/>
      <c r="G49" s="94"/>
      <c r="H49" s="94"/>
      <c r="I49" s="94"/>
      <c r="J49" s="94"/>
      <c r="K49" s="94"/>
      <c r="L49" s="94"/>
      <c r="M49" s="94"/>
      <c r="N49" s="94"/>
      <c r="O49" s="93"/>
    </row>
    <row r="50" spans="1:15" x14ac:dyDescent="0.25">
      <c r="A50" s="579" t="s">
        <v>115</v>
      </c>
      <c r="B50" s="133"/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3"/>
    </row>
    <row r="51" spans="1:15" x14ac:dyDescent="0.25">
      <c r="A51" s="266"/>
      <c r="B51" s="265"/>
      <c r="C51" s="265"/>
      <c r="D51" s="265"/>
      <c r="E51" s="265"/>
      <c r="F51" s="94"/>
      <c r="G51" s="94"/>
      <c r="H51" s="94"/>
      <c r="I51" s="94"/>
      <c r="J51" s="94"/>
      <c r="K51" s="94"/>
      <c r="L51" s="94"/>
      <c r="M51" s="94"/>
      <c r="N51" s="94"/>
      <c r="O51" s="93"/>
    </row>
    <row r="52" spans="1:15" x14ac:dyDescent="0.25">
      <c r="A52" s="578" t="s">
        <v>67</v>
      </c>
      <c r="B52" s="577" t="s">
        <v>112</v>
      </c>
      <c r="C52" s="577" t="s">
        <v>66</v>
      </c>
      <c r="D52" s="577" t="s">
        <v>65</v>
      </c>
      <c r="E52" s="577" t="s">
        <v>81</v>
      </c>
      <c r="F52" s="566" t="s">
        <v>80</v>
      </c>
      <c r="G52" s="566" t="s">
        <v>79</v>
      </c>
      <c r="H52" s="566" t="s">
        <v>78</v>
      </c>
      <c r="I52" s="566" t="s">
        <v>111</v>
      </c>
      <c r="J52" s="566" t="s">
        <v>110</v>
      </c>
      <c r="K52" s="566" t="s">
        <v>109</v>
      </c>
      <c r="L52" s="566" t="s">
        <v>108</v>
      </c>
      <c r="M52" s="566" t="s">
        <v>40</v>
      </c>
      <c r="N52" s="566" t="s">
        <v>58</v>
      </c>
      <c r="O52" s="93"/>
    </row>
    <row r="53" spans="1:15" ht="32.25" customHeight="1" x14ac:dyDescent="0.25">
      <c r="A53" s="529">
        <v>10</v>
      </c>
      <c r="B53" s="402" t="s">
        <v>1134</v>
      </c>
      <c r="C53" s="296" t="s">
        <v>841</v>
      </c>
      <c r="D53" s="276">
        <v>4.2</v>
      </c>
      <c r="E53" s="576">
        <v>121</v>
      </c>
      <c r="F53" s="576" t="s">
        <v>68</v>
      </c>
      <c r="G53" s="576"/>
      <c r="H53" s="575"/>
      <c r="I53" s="574" t="s">
        <v>1133</v>
      </c>
      <c r="J53" s="587">
        <f>PI()*(E53/2000)^2</f>
        <v>1.149901451030204E-2</v>
      </c>
      <c r="K53" s="572">
        <v>8.8999999999999996E-2</v>
      </c>
      <c r="L53" s="571">
        <v>2710</v>
      </c>
      <c r="M53" s="570">
        <v>1</v>
      </c>
      <c r="N53" s="569">
        <f>D53*J53*K53*L53*M53</f>
        <v>11.648478700906947</v>
      </c>
      <c r="O53" s="143"/>
    </row>
    <row r="54" spans="1:15" x14ac:dyDescent="0.25">
      <c r="A54" s="98"/>
      <c r="B54" s="95"/>
      <c r="C54" s="95"/>
      <c r="D54" s="95"/>
      <c r="E54" s="95"/>
      <c r="F54" s="95"/>
      <c r="G54" s="95"/>
      <c r="H54" s="95"/>
      <c r="I54" s="95"/>
      <c r="J54" s="95"/>
      <c r="K54" s="95"/>
      <c r="L54" s="95"/>
      <c r="M54" s="568" t="s">
        <v>58</v>
      </c>
      <c r="N54" s="562">
        <f>SUM(N53:N53)</f>
        <v>11.648478700906947</v>
      </c>
      <c r="O54" s="93"/>
    </row>
    <row r="55" spans="1:15" x14ac:dyDescent="0.25">
      <c r="A55" s="107"/>
      <c r="B55" s="94"/>
      <c r="C55" s="94"/>
      <c r="D55" s="94"/>
      <c r="E55" s="94"/>
      <c r="F55" s="94"/>
      <c r="G55" s="94"/>
      <c r="H55" s="94"/>
      <c r="I55" s="94"/>
      <c r="J55" s="94"/>
      <c r="K55" s="94"/>
      <c r="L55" s="94"/>
      <c r="M55" s="94"/>
      <c r="N55" s="94"/>
      <c r="O55" s="93"/>
    </row>
    <row r="56" spans="1:15" x14ac:dyDescent="0.25">
      <c r="A56" s="567" t="s">
        <v>67</v>
      </c>
      <c r="B56" s="566" t="s">
        <v>106</v>
      </c>
      <c r="C56" s="566" t="s">
        <v>66</v>
      </c>
      <c r="D56" s="566" t="s">
        <v>65</v>
      </c>
      <c r="E56" s="566" t="s">
        <v>64</v>
      </c>
      <c r="F56" s="566" t="s">
        <v>40</v>
      </c>
      <c r="G56" s="566" t="s">
        <v>105</v>
      </c>
      <c r="H56" s="566" t="s">
        <v>104</v>
      </c>
      <c r="I56" s="566" t="s">
        <v>58</v>
      </c>
      <c r="J56" s="95"/>
      <c r="K56" s="95"/>
      <c r="L56" s="95"/>
      <c r="M56" s="95"/>
      <c r="N56" s="95"/>
      <c r="O56" s="93"/>
    </row>
    <row r="57" spans="1:15" ht="30" x14ac:dyDescent="0.25">
      <c r="A57" s="527">
        <v>10</v>
      </c>
      <c r="B57" s="564" t="s">
        <v>516</v>
      </c>
      <c r="C57" s="367"/>
      <c r="D57" s="293">
        <v>1.3</v>
      </c>
      <c r="E57" s="564" t="s">
        <v>64</v>
      </c>
      <c r="F57" s="367">
        <v>1</v>
      </c>
      <c r="G57" s="367"/>
      <c r="H57" s="367"/>
      <c r="I57" s="293">
        <f>IF(H57="",D57*F57,D57*F57*H57)</f>
        <v>1.3</v>
      </c>
      <c r="J57" s="142"/>
      <c r="K57" s="142"/>
      <c r="L57" s="142"/>
      <c r="M57" s="142"/>
      <c r="N57" s="142"/>
      <c r="O57" s="120"/>
    </row>
    <row r="58" spans="1:15" ht="30" x14ac:dyDescent="0.25">
      <c r="A58" s="526">
        <v>20</v>
      </c>
      <c r="B58" s="564" t="s">
        <v>1029</v>
      </c>
      <c r="C58" s="325" t="s">
        <v>1132</v>
      </c>
      <c r="D58" s="276">
        <v>0.04</v>
      </c>
      <c r="E58" s="325" t="s">
        <v>512</v>
      </c>
      <c r="F58" s="565">
        <v>1119</v>
      </c>
      <c r="G58" s="564" t="s">
        <v>629</v>
      </c>
      <c r="H58" s="299">
        <v>1</v>
      </c>
      <c r="I58" s="276">
        <f>D58*F58</f>
        <v>44.76</v>
      </c>
      <c r="J58" s="94"/>
      <c r="K58" s="94"/>
      <c r="L58" s="94"/>
      <c r="M58" s="94"/>
      <c r="N58" s="94"/>
      <c r="O58" s="93"/>
    </row>
    <row r="59" spans="1:15" x14ac:dyDescent="0.25">
      <c r="A59" s="536">
        <v>30</v>
      </c>
      <c r="B59" s="564" t="s">
        <v>822</v>
      </c>
      <c r="C59" s="299"/>
      <c r="D59" s="276">
        <v>0.65</v>
      </c>
      <c r="E59" s="564" t="s">
        <v>64</v>
      </c>
      <c r="F59" s="299">
        <v>1</v>
      </c>
      <c r="G59" s="299"/>
      <c r="H59" s="299"/>
      <c r="I59" s="276">
        <f>IF(H59="",D59*F59,D59*F59*H59)</f>
        <v>0.65</v>
      </c>
      <c r="J59" s="99"/>
      <c r="K59" s="99"/>
      <c r="L59" s="99"/>
      <c r="M59" s="99"/>
      <c r="N59" s="99"/>
      <c r="O59" s="130"/>
    </row>
    <row r="60" spans="1:15" ht="30" x14ac:dyDescent="0.25">
      <c r="A60" s="526">
        <v>40</v>
      </c>
      <c r="B60" s="564" t="s">
        <v>514</v>
      </c>
      <c r="C60" s="325" t="s">
        <v>1131</v>
      </c>
      <c r="D60" s="276">
        <v>0.04</v>
      </c>
      <c r="E60" s="325" t="s">
        <v>512</v>
      </c>
      <c r="F60" s="565">
        <v>130</v>
      </c>
      <c r="G60" s="564" t="s">
        <v>629</v>
      </c>
      <c r="H60" s="299">
        <v>1</v>
      </c>
      <c r="I60" s="276">
        <f>IF(H60="",D60*F60,D60*F60*H60)</f>
        <v>5.2</v>
      </c>
      <c r="J60" s="94"/>
      <c r="K60" s="94"/>
      <c r="L60" s="94"/>
      <c r="M60" s="94"/>
      <c r="N60" s="94"/>
      <c r="O60" s="93"/>
    </row>
    <row r="61" spans="1:15" x14ac:dyDescent="0.25">
      <c r="A61" s="536">
        <v>50</v>
      </c>
      <c r="B61" s="308" t="s">
        <v>631</v>
      </c>
      <c r="C61" s="299"/>
      <c r="D61" s="276">
        <v>0.1</v>
      </c>
      <c r="E61" s="564" t="s">
        <v>101</v>
      </c>
      <c r="F61" s="299">
        <v>3</v>
      </c>
      <c r="G61" s="299"/>
      <c r="H61" s="299"/>
      <c r="I61" s="276">
        <f>IF(H61="",D61*F61,D61*F61*H61)</f>
        <v>0.30000000000000004</v>
      </c>
      <c r="J61" s="94"/>
      <c r="K61" s="94"/>
      <c r="L61" s="94"/>
      <c r="M61" s="94"/>
      <c r="N61" s="94"/>
      <c r="O61" s="93"/>
    </row>
    <row r="62" spans="1:15" ht="30" x14ac:dyDescent="0.25">
      <c r="A62" s="526">
        <v>60</v>
      </c>
      <c r="B62" s="564" t="s">
        <v>589</v>
      </c>
      <c r="C62" s="325"/>
      <c r="D62" s="276">
        <v>0.1</v>
      </c>
      <c r="E62" s="325" t="s">
        <v>101</v>
      </c>
      <c r="F62" s="565">
        <v>2.4</v>
      </c>
      <c r="G62" s="564"/>
      <c r="H62" s="299"/>
      <c r="I62" s="276">
        <f>IF(H62="",D62*F62,D62*F62*H62)</f>
        <v>0.24</v>
      </c>
      <c r="J62" s="94"/>
      <c r="K62" s="94"/>
      <c r="L62" s="94"/>
      <c r="M62" s="94"/>
      <c r="N62" s="94"/>
      <c r="O62" s="93"/>
    </row>
    <row r="63" spans="1:15" x14ac:dyDescent="0.25">
      <c r="A63" s="98"/>
      <c r="B63" s="95"/>
      <c r="C63" s="95"/>
      <c r="D63" s="95"/>
      <c r="E63" s="95"/>
      <c r="F63" s="95"/>
      <c r="G63" s="95"/>
      <c r="H63" s="563" t="s">
        <v>58</v>
      </c>
      <c r="I63" s="562">
        <f>SUM(I57:I62)</f>
        <v>52.449999999999996</v>
      </c>
      <c r="J63" s="95"/>
      <c r="K63" s="95"/>
      <c r="L63" s="95"/>
      <c r="M63" s="95"/>
      <c r="N63" s="95"/>
      <c r="O63" s="93"/>
    </row>
    <row r="64" spans="1:15" ht="15.75" thickBot="1" x14ac:dyDescent="0.3">
      <c r="A64" s="92"/>
      <c r="B64" s="91"/>
      <c r="C64" s="91"/>
      <c r="D64" s="91"/>
      <c r="E64" s="91"/>
      <c r="F64" s="91"/>
      <c r="G64" s="91"/>
      <c r="H64" s="91"/>
      <c r="I64" s="91"/>
      <c r="J64" s="91"/>
      <c r="K64" s="91"/>
      <c r="L64" s="91"/>
      <c r="M64" s="91"/>
      <c r="N64" s="91"/>
      <c r="O64" s="90"/>
    </row>
    <row r="65" spans="1:15" ht="15.75" thickBot="1" x14ac:dyDescent="0.3"/>
    <row r="66" spans="1:15" x14ac:dyDescent="0.25">
      <c r="A66" s="141"/>
      <c r="B66" s="140"/>
      <c r="C66" s="140"/>
      <c r="D66" s="140"/>
      <c r="E66" s="140"/>
      <c r="F66" s="140"/>
      <c r="G66" s="140"/>
      <c r="H66" s="140"/>
      <c r="I66" s="140"/>
      <c r="J66" s="272"/>
      <c r="K66" s="140"/>
      <c r="L66" s="140"/>
      <c r="M66" s="140"/>
      <c r="N66" s="140"/>
      <c r="O66" s="139"/>
    </row>
    <row r="67" spans="1:15" x14ac:dyDescent="0.25">
      <c r="A67" s="579" t="s">
        <v>57</v>
      </c>
      <c r="B67" s="133" t="s">
        <v>523</v>
      </c>
      <c r="C67" s="94"/>
      <c r="D67" s="94"/>
      <c r="E67" s="94"/>
      <c r="F67" s="94"/>
      <c r="G67" s="94"/>
      <c r="H67" s="94"/>
      <c r="I67" s="94"/>
      <c r="J67" s="581" t="s">
        <v>51</v>
      </c>
      <c r="K67" s="138">
        <v>81</v>
      </c>
      <c r="L67" s="94"/>
      <c r="M67" s="579" t="s">
        <v>113</v>
      </c>
      <c r="N67" s="100">
        <f>WT_02002_m</f>
        <v>122.59</v>
      </c>
      <c r="O67" s="93"/>
    </row>
    <row r="68" spans="1:15" x14ac:dyDescent="0.25">
      <c r="A68" s="579" t="s">
        <v>125</v>
      </c>
      <c r="B68" s="133" t="s">
        <v>4</v>
      </c>
      <c r="C68" s="94"/>
      <c r="D68" s="579" t="s">
        <v>122</v>
      </c>
      <c r="E68" s="94"/>
      <c r="F68" s="94"/>
      <c r="G68" s="94"/>
      <c r="H68" s="94"/>
      <c r="I68" s="94"/>
      <c r="J68" s="94"/>
      <c r="K68" s="94"/>
      <c r="L68" s="94"/>
      <c r="M68" s="579" t="s">
        <v>124</v>
      </c>
      <c r="N68" s="136">
        <v>2</v>
      </c>
      <c r="O68" s="93"/>
    </row>
    <row r="69" spans="1:15" x14ac:dyDescent="0.25">
      <c r="A69" s="579" t="s">
        <v>123</v>
      </c>
      <c r="B69" s="270" t="str">
        <f>WT_A0002</f>
        <v>Front Hubs</v>
      </c>
      <c r="C69" s="94"/>
      <c r="D69" s="579" t="s">
        <v>119</v>
      </c>
      <c r="E69" s="94"/>
      <c r="F69" s="94"/>
      <c r="G69" s="94"/>
      <c r="H69" s="94"/>
      <c r="I69" s="94"/>
      <c r="J69" s="580" t="s">
        <v>122</v>
      </c>
      <c r="K69" s="94"/>
      <c r="L69" s="94"/>
      <c r="M69" s="94"/>
      <c r="N69" s="94"/>
      <c r="O69" s="93"/>
    </row>
    <row r="70" spans="1:15" x14ac:dyDescent="0.25">
      <c r="A70" s="579" t="s">
        <v>114</v>
      </c>
      <c r="B70" s="135" t="s">
        <v>1130</v>
      </c>
      <c r="C70" s="94"/>
      <c r="D70" s="579" t="s">
        <v>116</v>
      </c>
      <c r="E70" s="94"/>
      <c r="F70" s="94"/>
      <c r="G70" s="94"/>
      <c r="H70" s="94"/>
      <c r="I70" s="94"/>
      <c r="J70" s="580" t="s">
        <v>119</v>
      </c>
      <c r="K70" s="94"/>
      <c r="L70" s="94"/>
      <c r="M70" s="579" t="s">
        <v>118</v>
      </c>
      <c r="N70" s="100">
        <f>N68*N67</f>
        <v>245.18</v>
      </c>
      <c r="O70" s="93"/>
    </row>
    <row r="71" spans="1:15" x14ac:dyDescent="0.25">
      <c r="A71" s="579" t="s">
        <v>121</v>
      </c>
      <c r="B71" s="269" t="s">
        <v>1140</v>
      </c>
      <c r="C71" s="94"/>
      <c r="D71" s="94"/>
      <c r="E71" s="94"/>
      <c r="F71" s="94"/>
      <c r="G71" s="94"/>
      <c r="H71" s="94"/>
      <c r="I71" s="94"/>
      <c r="J71" s="580" t="s">
        <v>116</v>
      </c>
      <c r="K71" s="94"/>
      <c r="L71" s="94"/>
      <c r="M71" s="94"/>
      <c r="N71" s="94"/>
      <c r="O71" s="93"/>
    </row>
    <row r="72" spans="1:15" x14ac:dyDescent="0.25">
      <c r="A72" s="579" t="s">
        <v>117</v>
      </c>
      <c r="B72" s="133" t="s">
        <v>23</v>
      </c>
      <c r="C72" s="94"/>
      <c r="D72" s="94"/>
      <c r="E72" s="94"/>
      <c r="F72" s="94"/>
      <c r="G72" s="94"/>
      <c r="H72" s="94"/>
      <c r="I72" s="94"/>
      <c r="J72" s="94"/>
      <c r="K72" s="94"/>
      <c r="L72" s="94"/>
      <c r="M72" s="94"/>
      <c r="N72" s="94"/>
      <c r="O72" s="93"/>
    </row>
    <row r="73" spans="1:15" x14ac:dyDescent="0.25">
      <c r="A73" s="579" t="s">
        <v>115</v>
      </c>
      <c r="B73" s="133"/>
      <c r="C73" s="94"/>
      <c r="D73" s="94"/>
      <c r="E73" s="94"/>
      <c r="F73" s="94"/>
      <c r="G73" s="94"/>
      <c r="H73" s="94"/>
      <c r="I73" s="94"/>
      <c r="J73" s="94"/>
      <c r="K73" s="94"/>
      <c r="L73" s="94"/>
      <c r="M73" s="94"/>
      <c r="N73" s="94"/>
      <c r="O73" s="93"/>
    </row>
    <row r="74" spans="1:15" x14ac:dyDescent="0.25">
      <c r="A74" s="266"/>
      <c r="B74" s="265"/>
      <c r="C74" s="265"/>
      <c r="D74" s="265"/>
      <c r="E74" s="265"/>
      <c r="F74" s="94"/>
      <c r="G74" s="94"/>
      <c r="H74" s="94"/>
      <c r="I74" s="94"/>
      <c r="J74" s="94"/>
      <c r="K74" s="94"/>
      <c r="L74" s="94"/>
      <c r="M74" s="94"/>
      <c r="N74" s="94"/>
      <c r="O74" s="93"/>
    </row>
    <row r="75" spans="1:15" x14ac:dyDescent="0.25">
      <c r="A75" s="578" t="s">
        <v>67</v>
      </c>
      <c r="B75" s="577" t="s">
        <v>112</v>
      </c>
      <c r="C75" s="577" t="s">
        <v>66</v>
      </c>
      <c r="D75" s="577" t="s">
        <v>65</v>
      </c>
      <c r="E75" s="577" t="s">
        <v>81</v>
      </c>
      <c r="F75" s="566" t="s">
        <v>80</v>
      </c>
      <c r="G75" s="566" t="s">
        <v>79</v>
      </c>
      <c r="H75" s="566" t="s">
        <v>78</v>
      </c>
      <c r="I75" s="566" t="s">
        <v>111</v>
      </c>
      <c r="J75" s="566" t="s">
        <v>110</v>
      </c>
      <c r="K75" s="566" t="s">
        <v>109</v>
      </c>
      <c r="L75" s="566" t="s">
        <v>108</v>
      </c>
      <c r="M75" s="566" t="s">
        <v>40</v>
      </c>
      <c r="N75" s="566" t="s">
        <v>58</v>
      </c>
      <c r="O75" s="93"/>
    </row>
    <row r="76" spans="1:15" x14ac:dyDescent="0.25">
      <c r="A76" s="529">
        <v>10</v>
      </c>
      <c r="B76" s="402" t="s">
        <v>1128</v>
      </c>
      <c r="C76" s="296"/>
      <c r="D76" s="276">
        <v>122.59</v>
      </c>
      <c r="E76" s="296">
        <v>62</v>
      </c>
      <c r="F76" s="296" t="s">
        <v>68</v>
      </c>
      <c r="G76" s="296">
        <v>12</v>
      </c>
      <c r="H76" s="401" t="s">
        <v>68</v>
      </c>
      <c r="I76" s="400"/>
      <c r="J76" s="399"/>
      <c r="K76" s="398"/>
      <c r="L76" s="319"/>
      <c r="M76" s="397">
        <v>1</v>
      </c>
      <c r="N76" s="276">
        <f>IF(J76="",D76*M76,D76*J76*K76*L76*M76)</f>
        <v>122.59</v>
      </c>
      <c r="O76" s="143"/>
    </row>
    <row r="77" spans="1:15" x14ac:dyDescent="0.25">
      <c r="A77" s="98"/>
      <c r="B77" s="95"/>
      <c r="C77" s="95"/>
      <c r="D77" s="95"/>
      <c r="E77" s="95"/>
      <c r="F77" s="95"/>
      <c r="G77" s="95"/>
      <c r="H77" s="95"/>
      <c r="I77" s="95"/>
      <c r="J77" s="95"/>
      <c r="K77" s="95"/>
      <c r="L77" s="95"/>
      <c r="M77" s="568" t="s">
        <v>58</v>
      </c>
      <c r="N77" s="562">
        <f>SUM(N76:N76)</f>
        <v>122.59</v>
      </c>
      <c r="O77" s="93"/>
    </row>
    <row r="78" spans="1:15" x14ac:dyDescent="0.25">
      <c r="A78" s="107"/>
      <c r="B78" s="94"/>
      <c r="C78" s="94"/>
      <c r="D78" s="94"/>
      <c r="E78" s="94"/>
      <c r="F78" s="94"/>
      <c r="G78" s="94"/>
      <c r="H78" s="94"/>
      <c r="I78" s="94"/>
      <c r="J78" s="94"/>
      <c r="K78" s="94"/>
      <c r="L78" s="94"/>
      <c r="M78" s="94"/>
      <c r="N78" s="94"/>
      <c r="O78" s="93"/>
    </row>
    <row r="79" spans="1:15" ht="15.75" thickBot="1" x14ac:dyDescent="0.3">
      <c r="A79" s="92"/>
      <c r="B79" s="91"/>
      <c r="C79" s="91"/>
      <c r="D79" s="91"/>
      <c r="E79" s="91"/>
      <c r="F79" s="91"/>
      <c r="G79" s="91"/>
      <c r="H79" s="91"/>
      <c r="I79" s="91"/>
      <c r="J79" s="91"/>
      <c r="K79" s="91"/>
      <c r="L79" s="91"/>
      <c r="M79" s="91"/>
      <c r="N79" s="91"/>
      <c r="O79" s="90"/>
    </row>
    <row r="80" spans="1:15" ht="15.75" thickBot="1" x14ac:dyDescent="0.3"/>
    <row r="81" spans="1:15" x14ac:dyDescent="0.25">
      <c r="A81" s="141"/>
      <c r="B81" s="140"/>
      <c r="C81" s="140"/>
      <c r="D81" s="140"/>
      <c r="E81" s="140"/>
      <c r="F81" s="140"/>
      <c r="G81" s="140"/>
      <c r="H81" s="140"/>
      <c r="I81" s="140"/>
      <c r="J81" s="272"/>
      <c r="K81" s="140"/>
      <c r="L81" s="140"/>
      <c r="M81" s="140"/>
      <c r="N81" s="140"/>
      <c r="O81" s="139"/>
    </row>
    <row r="82" spans="1:15" x14ac:dyDescent="0.25">
      <c r="A82" s="579" t="s">
        <v>57</v>
      </c>
      <c r="B82" s="133" t="s">
        <v>523</v>
      </c>
      <c r="C82" s="94"/>
      <c r="D82" s="94"/>
      <c r="E82" s="94"/>
      <c r="F82" s="94"/>
      <c r="G82" s="94"/>
      <c r="H82" s="94"/>
      <c r="I82" s="94"/>
      <c r="J82" s="581" t="s">
        <v>51</v>
      </c>
      <c r="K82" s="138">
        <v>81</v>
      </c>
      <c r="L82" s="94"/>
      <c r="M82" s="579" t="s">
        <v>113</v>
      </c>
      <c r="N82" s="100">
        <f>WT_02003_m+WT_02003_p</f>
        <v>28.157641977669254</v>
      </c>
      <c r="O82" s="93"/>
    </row>
    <row r="83" spans="1:15" x14ac:dyDescent="0.25">
      <c r="A83" s="579" t="s">
        <v>125</v>
      </c>
      <c r="B83" s="133" t="s">
        <v>4</v>
      </c>
      <c r="C83" s="94"/>
      <c r="D83" s="579" t="s">
        <v>122</v>
      </c>
      <c r="E83" s="270" t="s">
        <v>522</v>
      </c>
      <c r="F83" s="94"/>
      <c r="G83" s="94"/>
      <c r="H83" s="94"/>
      <c r="I83" s="94"/>
      <c r="J83" s="94"/>
      <c r="K83" s="94"/>
      <c r="L83" s="94"/>
      <c r="M83" s="579" t="s">
        <v>124</v>
      </c>
      <c r="N83" s="136">
        <v>1</v>
      </c>
      <c r="O83" s="93"/>
    </row>
    <row r="84" spans="1:15" x14ac:dyDescent="0.25">
      <c r="A84" s="579" t="s">
        <v>123</v>
      </c>
      <c r="B84" s="270" t="str">
        <f>WT_A0002</f>
        <v>Front Hubs</v>
      </c>
      <c r="C84" s="94"/>
      <c r="D84" s="579" t="s">
        <v>119</v>
      </c>
      <c r="E84" s="94"/>
      <c r="F84" s="94"/>
      <c r="G84" s="94"/>
      <c r="H84" s="94"/>
      <c r="I84" s="94"/>
      <c r="J84" s="580" t="s">
        <v>122</v>
      </c>
      <c r="K84" s="94"/>
      <c r="L84" s="94"/>
      <c r="M84" s="94"/>
      <c r="N84" s="94"/>
      <c r="O84" s="93"/>
    </row>
    <row r="85" spans="1:15" x14ac:dyDescent="0.25">
      <c r="A85" s="579" t="s">
        <v>114</v>
      </c>
      <c r="B85" s="135" t="s">
        <v>1139</v>
      </c>
      <c r="C85" s="94"/>
      <c r="D85" s="579" t="s">
        <v>116</v>
      </c>
      <c r="E85" s="94"/>
      <c r="F85" s="94"/>
      <c r="G85" s="94"/>
      <c r="H85" s="94"/>
      <c r="I85" s="94"/>
      <c r="J85" s="580" t="s">
        <v>119</v>
      </c>
      <c r="K85" s="94"/>
      <c r="L85" s="94"/>
      <c r="M85" s="579" t="s">
        <v>118</v>
      </c>
      <c r="N85" s="100">
        <f>N83*N82</f>
        <v>28.157641977669254</v>
      </c>
      <c r="O85" s="93"/>
    </row>
    <row r="86" spans="1:15" x14ac:dyDescent="0.25">
      <c r="A86" s="579" t="s">
        <v>121</v>
      </c>
      <c r="B86" s="269" t="s">
        <v>1138</v>
      </c>
      <c r="C86" s="94"/>
      <c r="D86" s="94"/>
      <c r="E86" s="94"/>
      <c r="F86" s="94"/>
      <c r="G86" s="94"/>
      <c r="H86" s="94"/>
      <c r="I86" s="94"/>
      <c r="J86" s="580" t="s">
        <v>116</v>
      </c>
      <c r="K86" s="94"/>
      <c r="L86" s="94"/>
      <c r="M86" s="94"/>
      <c r="N86" s="94"/>
      <c r="O86" s="93"/>
    </row>
    <row r="87" spans="1:15" x14ac:dyDescent="0.25">
      <c r="A87" s="579" t="s">
        <v>117</v>
      </c>
      <c r="B87" s="133" t="s">
        <v>23</v>
      </c>
      <c r="C87" s="94"/>
      <c r="D87" s="94"/>
      <c r="E87" s="94"/>
      <c r="F87" s="94"/>
      <c r="G87" s="94"/>
      <c r="H87" s="94"/>
      <c r="I87" s="94"/>
      <c r="J87" s="94"/>
      <c r="K87" s="94"/>
      <c r="L87" s="94"/>
      <c r="M87" s="94"/>
      <c r="N87" s="94"/>
      <c r="O87" s="93"/>
    </row>
    <row r="88" spans="1:15" x14ac:dyDescent="0.25">
      <c r="A88" s="579" t="s">
        <v>115</v>
      </c>
      <c r="B88" s="133"/>
      <c r="C88" s="94"/>
      <c r="D88" s="94"/>
      <c r="E88" s="94"/>
      <c r="F88" s="94"/>
      <c r="G88" s="94"/>
      <c r="H88" s="94"/>
      <c r="I88" s="94"/>
      <c r="J88" s="94"/>
      <c r="K88" s="94"/>
      <c r="L88" s="94"/>
      <c r="M88" s="94"/>
      <c r="N88" s="94"/>
      <c r="O88" s="93"/>
    </row>
    <row r="89" spans="1:15" x14ac:dyDescent="0.25">
      <c r="A89" s="266"/>
      <c r="B89" s="265"/>
      <c r="C89" s="265"/>
      <c r="D89" s="265"/>
      <c r="E89" s="265"/>
      <c r="F89" s="94"/>
      <c r="G89" s="94"/>
      <c r="H89" s="94"/>
      <c r="I89" s="94"/>
      <c r="J89" s="94"/>
      <c r="K89" s="94"/>
      <c r="L89" s="94"/>
      <c r="M89" s="94"/>
      <c r="N89" s="94"/>
      <c r="O89" s="93"/>
    </row>
    <row r="90" spans="1:15" x14ac:dyDescent="0.25">
      <c r="A90" s="578" t="s">
        <v>67</v>
      </c>
      <c r="B90" s="577" t="s">
        <v>112</v>
      </c>
      <c r="C90" s="577" t="s">
        <v>66</v>
      </c>
      <c r="D90" s="577" t="s">
        <v>65</v>
      </c>
      <c r="E90" s="577" t="s">
        <v>81</v>
      </c>
      <c r="F90" s="566" t="s">
        <v>80</v>
      </c>
      <c r="G90" s="566" t="s">
        <v>79</v>
      </c>
      <c r="H90" s="566" t="s">
        <v>78</v>
      </c>
      <c r="I90" s="566" t="s">
        <v>111</v>
      </c>
      <c r="J90" s="566" t="s">
        <v>110</v>
      </c>
      <c r="K90" s="566" t="s">
        <v>109</v>
      </c>
      <c r="L90" s="566" t="s">
        <v>108</v>
      </c>
      <c r="M90" s="566" t="s">
        <v>40</v>
      </c>
      <c r="N90" s="566" t="s">
        <v>58</v>
      </c>
      <c r="O90" s="93"/>
    </row>
    <row r="91" spans="1:15" ht="30" x14ac:dyDescent="0.25">
      <c r="A91" s="529">
        <v>10</v>
      </c>
      <c r="B91" s="402" t="s">
        <v>683</v>
      </c>
      <c r="C91" s="296" t="s">
        <v>841</v>
      </c>
      <c r="D91" s="276">
        <v>4.2</v>
      </c>
      <c r="E91" s="576">
        <v>120</v>
      </c>
      <c r="F91" s="576" t="s">
        <v>68</v>
      </c>
      <c r="G91" s="576"/>
      <c r="H91" s="575"/>
      <c r="I91" s="574" t="s">
        <v>1137</v>
      </c>
      <c r="J91" s="573">
        <f>PI()*(E91/2000)^2</f>
        <v>1.1309733552923255E-2</v>
      </c>
      <c r="K91" s="572">
        <v>4.9000000000000002E-2</v>
      </c>
      <c r="L91" s="571">
        <v>2710</v>
      </c>
      <c r="M91" s="570">
        <v>1</v>
      </c>
      <c r="N91" s="569">
        <f>D91*J91*K91*L91*M91</f>
        <v>6.3076419776692525</v>
      </c>
      <c r="O91" s="143"/>
    </row>
    <row r="92" spans="1:15" x14ac:dyDescent="0.25">
      <c r="A92" s="98"/>
      <c r="B92" s="95"/>
      <c r="C92" s="95"/>
      <c r="D92" s="95"/>
      <c r="E92" s="95"/>
      <c r="F92" s="95"/>
      <c r="G92" s="95"/>
      <c r="H92" s="95"/>
      <c r="I92" s="95"/>
      <c r="J92" s="95"/>
      <c r="K92" s="95"/>
      <c r="L92" s="95"/>
      <c r="M92" s="568" t="s">
        <v>58</v>
      </c>
      <c r="N92" s="562">
        <f>SUM(N91:N91)</f>
        <v>6.3076419776692525</v>
      </c>
      <c r="O92" s="93"/>
    </row>
    <row r="93" spans="1:15" x14ac:dyDescent="0.25">
      <c r="A93" s="107"/>
      <c r="B93" s="94"/>
      <c r="C93" s="94"/>
      <c r="D93" s="94"/>
      <c r="E93" s="94"/>
      <c r="F93" s="94"/>
      <c r="G93" s="94"/>
      <c r="H93" s="94"/>
      <c r="I93" s="94"/>
      <c r="J93" s="94"/>
      <c r="K93" s="94"/>
      <c r="L93" s="94"/>
      <c r="M93" s="94"/>
      <c r="N93" s="94"/>
      <c r="O93" s="93"/>
    </row>
    <row r="94" spans="1:15" x14ac:dyDescent="0.25">
      <c r="A94" s="567" t="s">
        <v>67</v>
      </c>
      <c r="B94" s="566" t="s">
        <v>106</v>
      </c>
      <c r="C94" s="566" t="s">
        <v>66</v>
      </c>
      <c r="D94" s="566" t="s">
        <v>65</v>
      </c>
      <c r="E94" s="566" t="s">
        <v>64</v>
      </c>
      <c r="F94" s="566" t="s">
        <v>40</v>
      </c>
      <c r="G94" s="566" t="s">
        <v>105</v>
      </c>
      <c r="H94" s="566" t="s">
        <v>104</v>
      </c>
      <c r="I94" s="566" t="s">
        <v>58</v>
      </c>
      <c r="J94" s="95"/>
      <c r="K94" s="95"/>
      <c r="L94" s="95"/>
      <c r="M94" s="95"/>
      <c r="N94" s="95"/>
      <c r="O94" s="93"/>
    </row>
    <row r="95" spans="1:15" ht="30" x14ac:dyDescent="0.25">
      <c r="A95" s="527">
        <v>10</v>
      </c>
      <c r="B95" s="564" t="s">
        <v>516</v>
      </c>
      <c r="C95" s="367"/>
      <c r="D95" s="293">
        <v>1.3</v>
      </c>
      <c r="E95" s="564" t="s">
        <v>64</v>
      </c>
      <c r="F95" s="367">
        <v>1</v>
      </c>
      <c r="G95" s="367"/>
      <c r="H95" s="367"/>
      <c r="I95" s="293">
        <f>IF(H95="",D95*F95,D95*F95*H95)</f>
        <v>1.3</v>
      </c>
      <c r="J95" s="142"/>
      <c r="K95" s="142"/>
      <c r="L95" s="142"/>
      <c r="M95" s="142"/>
      <c r="N95" s="142"/>
      <c r="O95" s="120"/>
    </row>
    <row r="96" spans="1:15" ht="30" x14ac:dyDescent="0.25">
      <c r="A96" s="526">
        <v>20</v>
      </c>
      <c r="B96" s="564" t="s">
        <v>1029</v>
      </c>
      <c r="C96" s="331" t="s">
        <v>1124</v>
      </c>
      <c r="D96" s="276">
        <v>0.04</v>
      </c>
      <c r="E96" s="325" t="s">
        <v>512</v>
      </c>
      <c r="F96" s="565">
        <v>135</v>
      </c>
      <c r="G96" s="564" t="s">
        <v>629</v>
      </c>
      <c r="H96" s="299">
        <v>1</v>
      </c>
      <c r="I96" s="276">
        <f>D96*F96</f>
        <v>5.4</v>
      </c>
      <c r="J96" s="94"/>
      <c r="K96" s="94"/>
      <c r="L96" s="94"/>
      <c r="M96" s="94"/>
      <c r="N96" s="94"/>
      <c r="O96" s="93"/>
    </row>
    <row r="97" spans="1:15" x14ac:dyDescent="0.25">
      <c r="A97" s="536">
        <v>30</v>
      </c>
      <c r="B97" s="564" t="s">
        <v>822</v>
      </c>
      <c r="C97" s="299"/>
      <c r="D97" s="276">
        <v>0.65</v>
      </c>
      <c r="E97" s="564" t="s">
        <v>64</v>
      </c>
      <c r="F97" s="299">
        <v>1</v>
      </c>
      <c r="G97" s="299"/>
      <c r="H97" s="299"/>
      <c r="I97" s="276">
        <f t="shared" ref="I97:I102" si="0">IF(H97="",D97*F97,D97*F97*H97)</f>
        <v>0.65</v>
      </c>
      <c r="J97" s="99"/>
      <c r="K97" s="99"/>
      <c r="L97" s="99"/>
      <c r="M97" s="99"/>
      <c r="N97" s="99"/>
      <c r="O97" s="130"/>
    </row>
    <row r="98" spans="1:15" ht="30" x14ac:dyDescent="0.25">
      <c r="A98" s="526">
        <v>40</v>
      </c>
      <c r="B98" s="564" t="s">
        <v>514</v>
      </c>
      <c r="C98" s="331" t="s">
        <v>1123</v>
      </c>
      <c r="D98" s="276">
        <v>0.04</v>
      </c>
      <c r="E98" s="325" t="s">
        <v>512</v>
      </c>
      <c r="F98" s="565">
        <v>135</v>
      </c>
      <c r="G98" s="564" t="s">
        <v>629</v>
      </c>
      <c r="H98" s="299">
        <v>1</v>
      </c>
      <c r="I98" s="276">
        <f t="shared" si="0"/>
        <v>5.4</v>
      </c>
      <c r="J98" s="94"/>
      <c r="K98" s="94"/>
      <c r="L98" s="94"/>
      <c r="M98" s="94"/>
      <c r="N98" s="94"/>
      <c r="O98" s="93"/>
    </row>
    <row r="99" spans="1:15" x14ac:dyDescent="0.25">
      <c r="A99" s="526">
        <v>50</v>
      </c>
      <c r="B99" s="564" t="s">
        <v>822</v>
      </c>
      <c r="C99" s="325"/>
      <c r="D99" s="276">
        <v>0.65</v>
      </c>
      <c r="E99" s="325" t="s">
        <v>64</v>
      </c>
      <c r="F99" s="565">
        <v>1</v>
      </c>
      <c r="G99" s="564"/>
      <c r="H99" s="299"/>
      <c r="I99" s="276">
        <f t="shared" si="0"/>
        <v>0.65</v>
      </c>
      <c r="J99" s="94"/>
      <c r="K99" s="94"/>
      <c r="L99" s="94"/>
      <c r="M99" s="94"/>
      <c r="N99" s="94"/>
      <c r="O99" s="93"/>
    </row>
    <row r="100" spans="1:15" ht="30" x14ac:dyDescent="0.25">
      <c r="A100" s="526">
        <v>60</v>
      </c>
      <c r="B100" s="564" t="s">
        <v>514</v>
      </c>
      <c r="C100" s="325" t="s">
        <v>1122</v>
      </c>
      <c r="D100" s="276">
        <v>0.04</v>
      </c>
      <c r="E100" s="325" t="s">
        <v>512</v>
      </c>
      <c r="F100" s="565">
        <v>122</v>
      </c>
      <c r="G100" s="564" t="s">
        <v>629</v>
      </c>
      <c r="H100" s="299">
        <v>1</v>
      </c>
      <c r="I100" s="276">
        <f t="shared" si="0"/>
        <v>4.88</v>
      </c>
      <c r="J100" s="94"/>
      <c r="K100" s="94"/>
      <c r="L100" s="94"/>
      <c r="M100" s="94"/>
      <c r="N100" s="94"/>
      <c r="O100" s="93"/>
    </row>
    <row r="101" spans="1:15" x14ac:dyDescent="0.25">
      <c r="A101" s="536">
        <v>70</v>
      </c>
      <c r="B101" s="308" t="s">
        <v>822</v>
      </c>
      <c r="C101" s="299"/>
      <c r="D101" s="276">
        <v>0.65</v>
      </c>
      <c r="E101" s="564" t="s">
        <v>64</v>
      </c>
      <c r="F101" s="299">
        <v>1</v>
      </c>
      <c r="G101" s="299"/>
      <c r="H101" s="299"/>
      <c r="I101" s="276">
        <f t="shared" si="0"/>
        <v>0.65</v>
      </c>
      <c r="J101" s="94"/>
      <c r="K101" s="94"/>
      <c r="L101" s="94"/>
      <c r="M101" s="94"/>
      <c r="N101" s="94"/>
      <c r="O101" s="93"/>
    </row>
    <row r="102" spans="1:15" ht="30" x14ac:dyDescent="0.25">
      <c r="A102" s="526">
        <v>80</v>
      </c>
      <c r="B102" s="564" t="s">
        <v>514</v>
      </c>
      <c r="C102" s="325" t="s">
        <v>1121</v>
      </c>
      <c r="D102" s="276">
        <v>0.04</v>
      </c>
      <c r="E102" s="325" t="s">
        <v>512</v>
      </c>
      <c r="F102" s="565">
        <v>73</v>
      </c>
      <c r="G102" s="564" t="s">
        <v>629</v>
      </c>
      <c r="H102" s="299">
        <v>1</v>
      </c>
      <c r="I102" s="276">
        <f t="shared" si="0"/>
        <v>2.92</v>
      </c>
      <c r="J102" s="94"/>
      <c r="K102" s="94"/>
      <c r="L102" s="94"/>
      <c r="M102" s="94"/>
      <c r="N102" s="94"/>
      <c r="O102" s="93"/>
    </row>
    <row r="103" spans="1:15" x14ac:dyDescent="0.25">
      <c r="A103" s="98"/>
      <c r="B103" s="95"/>
      <c r="C103" s="95"/>
      <c r="D103" s="95"/>
      <c r="E103" s="95"/>
      <c r="F103" s="95"/>
      <c r="G103" s="95"/>
      <c r="H103" s="563" t="s">
        <v>58</v>
      </c>
      <c r="I103" s="562">
        <f>SUM(I95:I102)</f>
        <v>21.85</v>
      </c>
      <c r="J103" s="95"/>
      <c r="K103" s="95"/>
      <c r="L103" s="95"/>
      <c r="M103" s="95"/>
      <c r="N103" s="95"/>
      <c r="O103" s="93"/>
    </row>
    <row r="104" spans="1:15" ht="15.75" thickBot="1" x14ac:dyDescent="0.3">
      <c r="A104" s="92"/>
      <c r="B104" s="91"/>
      <c r="C104" s="91"/>
      <c r="D104" s="91"/>
      <c r="E104" s="91"/>
      <c r="F104" s="91"/>
      <c r="G104" s="91"/>
      <c r="H104" s="91"/>
      <c r="I104" s="91"/>
      <c r="J104" s="91"/>
      <c r="K104" s="91"/>
      <c r="L104" s="91"/>
      <c r="M104" s="91"/>
      <c r="N104" s="91"/>
      <c r="O104" s="90"/>
    </row>
    <row r="105" spans="1:15" ht="15.75" thickBot="1" x14ac:dyDescent="0.3"/>
    <row r="106" spans="1:15" x14ac:dyDescent="0.25">
      <c r="A106" s="141"/>
      <c r="B106" s="140"/>
      <c r="C106" s="140"/>
      <c r="D106" s="140"/>
      <c r="E106" s="140"/>
      <c r="F106" s="140"/>
      <c r="G106" s="140"/>
      <c r="H106" s="140"/>
      <c r="I106" s="140"/>
      <c r="J106" s="272"/>
      <c r="K106" s="140"/>
      <c r="L106" s="140"/>
      <c r="M106" s="140"/>
      <c r="N106" s="140"/>
      <c r="O106" s="139"/>
    </row>
    <row r="107" spans="1:15" x14ac:dyDescent="0.25">
      <c r="A107" s="579" t="s">
        <v>57</v>
      </c>
      <c r="B107" s="133" t="s">
        <v>523</v>
      </c>
      <c r="C107" s="94"/>
      <c r="D107" s="94"/>
      <c r="E107" s="94"/>
      <c r="F107" s="94"/>
      <c r="G107" s="94"/>
      <c r="H107" s="94"/>
      <c r="I107" s="94"/>
      <c r="J107" s="581" t="s">
        <v>51</v>
      </c>
      <c r="K107" s="138">
        <v>81</v>
      </c>
      <c r="L107" s="94"/>
      <c r="M107" s="579" t="s">
        <v>113</v>
      </c>
      <c r="N107" s="100">
        <f>WT_03001_m+WT_03001_p</f>
        <v>77.234943819207018</v>
      </c>
      <c r="O107" s="93"/>
    </row>
    <row r="108" spans="1:15" x14ac:dyDescent="0.25">
      <c r="A108" s="579" t="s">
        <v>125</v>
      </c>
      <c r="B108" s="133" t="s">
        <v>4</v>
      </c>
      <c r="C108" s="94"/>
      <c r="D108" s="579" t="s">
        <v>122</v>
      </c>
      <c r="E108" s="270" t="s">
        <v>522</v>
      </c>
      <c r="F108" s="94"/>
      <c r="G108" s="94"/>
      <c r="H108" s="94"/>
      <c r="I108" s="94"/>
      <c r="J108" s="94"/>
      <c r="K108" s="94"/>
      <c r="L108" s="94"/>
      <c r="M108" s="579" t="s">
        <v>124</v>
      </c>
      <c r="N108" s="136">
        <v>1</v>
      </c>
      <c r="O108" s="93"/>
    </row>
    <row r="109" spans="1:15" x14ac:dyDescent="0.25">
      <c r="A109" s="579" t="s">
        <v>123</v>
      </c>
      <c r="B109" s="270" t="str">
        <f>WT_A0003</f>
        <v>Rear hubs</v>
      </c>
      <c r="C109" s="94"/>
      <c r="D109" s="579" t="s">
        <v>119</v>
      </c>
      <c r="E109" s="94"/>
      <c r="F109" s="94"/>
      <c r="G109" s="94"/>
      <c r="H109" s="94"/>
      <c r="I109" s="94"/>
      <c r="J109" s="580" t="s">
        <v>122</v>
      </c>
      <c r="K109" s="94"/>
      <c r="L109" s="94"/>
      <c r="M109" s="94"/>
      <c r="N109" s="94"/>
      <c r="O109" s="93"/>
    </row>
    <row r="110" spans="1:15" x14ac:dyDescent="0.25">
      <c r="A110" s="579" t="s">
        <v>114</v>
      </c>
      <c r="B110" s="135" t="s">
        <v>1136</v>
      </c>
      <c r="C110" s="94"/>
      <c r="D110" s="579" t="s">
        <v>116</v>
      </c>
      <c r="E110" s="94"/>
      <c r="F110" s="94"/>
      <c r="G110" s="94"/>
      <c r="H110" s="94"/>
      <c r="I110" s="94"/>
      <c r="J110" s="580" t="s">
        <v>119</v>
      </c>
      <c r="K110" s="94"/>
      <c r="L110" s="94"/>
      <c r="M110" s="579" t="s">
        <v>118</v>
      </c>
      <c r="N110" s="100">
        <f>N108*N107</f>
        <v>77.234943819207018</v>
      </c>
      <c r="O110" s="93"/>
    </row>
    <row r="111" spans="1:15" x14ac:dyDescent="0.25">
      <c r="A111" s="579" t="s">
        <v>121</v>
      </c>
      <c r="B111" s="269" t="s">
        <v>1135</v>
      </c>
      <c r="C111" s="94"/>
      <c r="D111" s="94"/>
      <c r="E111" s="94"/>
      <c r="F111" s="94"/>
      <c r="G111" s="94"/>
      <c r="H111" s="94"/>
      <c r="I111" s="94"/>
      <c r="J111" s="580" t="s">
        <v>116</v>
      </c>
      <c r="K111" s="94"/>
      <c r="L111" s="94"/>
      <c r="M111" s="94"/>
      <c r="N111" s="94"/>
      <c r="O111" s="93"/>
    </row>
    <row r="112" spans="1:15" x14ac:dyDescent="0.25">
      <c r="A112" s="579" t="s">
        <v>117</v>
      </c>
      <c r="B112" s="133" t="s">
        <v>23</v>
      </c>
      <c r="C112" s="94"/>
      <c r="D112" s="94"/>
      <c r="E112" s="94"/>
      <c r="F112" s="94"/>
      <c r="G112" s="94"/>
      <c r="H112" s="94"/>
      <c r="I112" s="94"/>
      <c r="J112" s="94"/>
      <c r="K112" s="94"/>
      <c r="L112" s="94"/>
      <c r="M112" s="94"/>
      <c r="N112" s="94"/>
      <c r="O112" s="93"/>
    </row>
    <row r="113" spans="1:15" x14ac:dyDescent="0.25">
      <c r="A113" s="579" t="s">
        <v>115</v>
      </c>
      <c r="B113" s="133"/>
      <c r="C113" s="94"/>
      <c r="D113" s="94"/>
      <c r="E113" s="94"/>
      <c r="F113" s="94"/>
      <c r="G113" s="94"/>
      <c r="H113" s="94"/>
      <c r="I113" s="94"/>
      <c r="J113" s="94"/>
      <c r="K113" s="94"/>
      <c r="L113" s="94"/>
      <c r="M113" s="94"/>
      <c r="N113" s="94"/>
      <c r="O113" s="93"/>
    </row>
    <row r="114" spans="1:15" x14ac:dyDescent="0.25">
      <c r="A114" s="266"/>
      <c r="B114" s="265"/>
      <c r="C114" s="265"/>
      <c r="D114" s="265"/>
      <c r="E114" s="265"/>
      <c r="F114" s="94"/>
      <c r="G114" s="94"/>
      <c r="H114" s="94"/>
      <c r="I114" s="94"/>
      <c r="J114" s="94"/>
      <c r="K114" s="94"/>
      <c r="L114" s="94"/>
      <c r="M114" s="94"/>
      <c r="N114" s="94"/>
      <c r="O114" s="93"/>
    </row>
    <row r="115" spans="1:15" x14ac:dyDescent="0.25">
      <c r="A115" s="578" t="s">
        <v>67</v>
      </c>
      <c r="B115" s="577" t="s">
        <v>112</v>
      </c>
      <c r="C115" s="577" t="s">
        <v>66</v>
      </c>
      <c r="D115" s="577" t="s">
        <v>65</v>
      </c>
      <c r="E115" s="577" t="s">
        <v>81</v>
      </c>
      <c r="F115" s="566" t="s">
        <v>80</v>
      </c>
      <c r="G115" s="566" t="s">
        <v>79</v>
      </c>
      <c r="H115" s="566" t="s">
        <v>78</v>
      </c>
      <c r="I115" s="566" t="s">
        <v>111</v>
      </c>
      <c r="J115" s="566" t="s">
        <v>110</v>
      </c>
      <c r="K115" s="566" t="s">
        <v>109</v>
      </c>
      <c r="L115" s="566" t="s">
        <v>108</v>
      </c>
      <c r="M115" s="566" t="s">
        <v>40</v>
      </c>
      <c r="N115" s="566" t="s">
        <v>58</v>
      </c>
      <c r="O115" s="93"/>
    </row>
    <row r="116" spans="1:15" ht="30" x14ac:dyDescent="0.25">
      <c r="A116" s="529">
        <v>10</v>
      </c>
      <c r="B116" s="402" t="s">
        <v>1134</v>
      </c>
      <c r="C116" s="296" t="s">
        <v>841</v>
      </c>
      <c r="D116" s="276">
        <v>4.2</v>
      </c>
      <c r="E116" s="576">
        <v>121</v>
      </c>
      <c r="F116" s="576" t="s">
        <v>68</v>
      </c>
      <c r="G116" s="576"/>
      <c r="H116" s="575"/>
      <c r="I116" s="574" t="s">
        <v>1133</v>
      </c>
      <c r="J116" s="573">
        <f>PI()*(E116/2000)^2</f>
        <v>1.149901451030204E-2</v>
      </c>
      <c r="K116" s="586">
        <v>9.8599999999999993E-2</v>
      </c>
      <c r="L116" s="571">
        <v>2710</v>
      </c>
      <c r="M116" s="570">
        <v>1</v>
      </c>
      <c r="N116" s="569">
        <f>D116*J116*K116*L116*M116</f>
        <v>12.90494381920702</v>
      </c>
      <c r="O116" s="143"/>
    </row>
    <row r="117" spans="1:15" x14ac:dyDescent="0.25">
      <c r="A117" s="98"/>
      <c r="B117" s="95"/>
      <c r="C117" s="95"/>
      <c r="D117" s="95"/>
      <c r="E117" s="95"/>
      <c r="F117" s="95"/>
      <c r="G117" s="95"/>
      <c r="H117" s="95"/>
      <c r="I117" s="95"/>
      <c r="J117" s="95"/>
      <c r="K117" s="95"/>
      <c r="L117" s="95"/>
      <c r="M117" s="568" t="s">
        <v>58</v>
      </c>
      <c r="N117" s="562">
        <f>SUM(N116:N116)</f>
        <v>12.90494381920702</v>
      </c>
      <c r="O117" s="93"/>
    </row>
    <row r="118" spans="1:15" x14ac:dyDescent="0.25">
      <c r="A118" s="107"/>
      <c r="B118" s="94"/>
      <c r="C118" s="94"/>
      <c r="D118" s="94"/>
      <c r="E118" s="94"/>
      <c r="F118" s="94"/>
      <c r="G118" s="94"/>
      <c r="H118" s="94"/>
      <c r="I118" s="94"/>
      <c r="J118" s="94"/>
      <c r="K118" s="94"/>
      <c r="L118" s="94"/>
      <c r="M118" s="94"/>
      <c r="N118" s="94"/>
      <c r="O118" s="93"/>
    </row>
    <row r="119" spans="1:15" x14ac:dyDescent="0.25">
      <c r="A119" s="567" t="s">
        <v>67</v>
      </c>
      <c r="B119" s="566" t="s">
        <v>106</v>
      </c>
      <c r="C119" s="566" t="s">
        <v>66</v>
      </c>
      <c r="D119" s="566" t="s">
        <v>65</v>
      </c>
      <c r="E119" s="566" t="s">
        <v>64</v>
      </c>
      <c r="F119" s="566" t="s">
        <v>40</v>
      </c>
      <c r="G119" s="566" t="s">
        <v>105</v>
      </c>
      <c r="H119" s="566" t="s">
        <v>104</v>
      </c>
      <c r="I119" s="566" t="s">
        <v>58</v>
      </c>
      <c r="J119" s="95"/>
      <c r="K119" s="95"/>
      <c r="L119" s="95"/>
      <c r="M119" s="95"/>
      <c r="N119" s="95"/>
      <c r="O119" s="93"/>
    </row>
    <row r="120" spans="1:15" ht="30" x14ac:dyDescent="0.25">
      <c r="A120" s="527">
        <v>10</v>
      </c>
      <c r="B120" s="564" t="s">
        <v>516</v>
      </c>
      <c r="C120" s="367"/>
      <c r="D120" s="293">
        <v>1.3</v>
      </c>
      <c r="E120" s="564" t="s">
        <v>64</v>
      </c>
      <c r="F120" s="585">
        <v>1</v>
      </c>
      <c r="G120" s="367"/>
      <c r="H120" s="367"/>
      <c r="I120" s="293">
        <f>IF(H120="",D120*F120,D120*F120*H120)</f>
        <v>1.3</v>
      </c>
      <c r="J120" s="142"/>
      <c r="K120" s="142"/>
      <c r="L120" s="142"/>
      <c r="M120" s="142"/>
      <c r="N120" s="142"/>
      <c r="O120" s="120"/>
    </row>
    <row r="121" spans="1:15" ht="30" x14ac:dyDescent="0.25">
      <c r="A121" s="526">
        <v>20</v>
      </c>
      <c r="B121" s="564" t="s">
        <v>1029</v>
      </c>
      <c r="C121" s="325" t="s">
        <v>1132</v>
      </c>
      <c r="D121" s="276">
        <v>0.04</v>
      </c>
      <c r="E121" s="325" t="s">
        <v>512</v>
      </c>
      <c r="F121" s="565">
        <v>1361</v>
      </c>
      <c r="G121" s="564" t="s">
        <v>629</v>
      </c>
      <c r="H121" s="299">
        <v>1</v>
      </c>
      <c r="I121" s="276">
        <f>D121*F121</f>
        <v>54.44</v>
      </c>
      <c r="J121" s="94"/>
      <c r="K121" s="94"/>
      <c r="L121" s="94"/>
      <c r="M121" s="94"/>
      <c r="N121" s="94"/>
      <c r="O121" s="93"/>
    </row>
    <row r="122" spans="1:15" x14ac:dyDescent="0.25">
      <c r="A122" s="536">
        <v>30</v>
      </c>
      <c r="B122" s="564" t="s">
        <v>822</v>
      </c>
      <c r="C122" s="299"/>
      <c r="D122" s="276">
        <v>0.65</v>
      </c>
      <c r="E122" s="564" t="s">
        <v>64</v>
      </c>
      <c r="F122" s="584">
        <v>1</v>
      </c>
      <c r="G122" s="299"/>
      <c r="H122" s="299"/>
      <c r="I122" s="276">
        <f>IF(H122="",D122*F122,D122*F122*H122)</f>
        <v>0.65</v>
      </c>
      <c r="J122" s="99"/>
      <c r="K122" s="99"/>
      <c r="L122" s="99"/>
      <c r="M122" s="99"/>
      <c r="N122" s="99"/>
      <c r="O122" s="130"/>
    </row>
    <row r="123" spans="1:15" ht="30" x14ac:dyDescent="0.25">
      <c r="A123" s="526">
        <v>40</v>
      </c>
      <c r="B123" s="564" t="s">
        <v>514</v>
      </c>
      <c r="C123" s="325" t="s">
        <v>1131</v>
      </c>
      <c r="D123" s="276">
        <v>0.04</v>
      </c>
      <c r="E123" s="325" t="s">
        <v>512</v>
      </c>
      <c r="F123" s="565">
        <v>140</v>
      </c>
      <c r="G123" s="564" t="s">
        <v>629</v>
      </c>
      <c r="H123" s="299">
        <v>1</v>
      </c>
      <c r="I123" s="276">
        <f>IF(H123="",D123*F123,D123*F123*H123)</f>
        <v>5.6000000000000005</v>
      </c>
      <c r="J123" s="94"/>
      <c r="K123" s="94"/>
      <c r="L123" s="94"/>
      <c r="M123" s="94"/>
      <c r="N123" s="94"/>
      <c r="O123" s="93"/>
    </row>
    <row r="124" spans="1:15" x14ac:dyDescent="0.25">
      <c r="A124" s="536">
        <v>50</v>
      </c>
      <c r="B124" s="308" t="s">
        <v>631</v>
      </c>
      <c r="C124" s="299"/>
      <c r="D124" s="276">
        <v>0.1</v>
      </c>
      <c r="E124" s="564" t="s">
        <v>101</v>
      </c>
      <c r="F124" s="583">
        <v>3</v>
      </c>
      <c r="G124" s="299"/>
      <c r="H124" s="299"/>
      <c r="I124" s="276">
        <f>IF(H124="",D124*F124,D124*F124*H124)</f>
        <v>0.30000000000000004</v>
      </c>
      <c r="J124" s="94"/>
      <c r="K124" s="94"/>
      <c r="L124" s="94"/>
      <c r="M124" s="94"/>
      <c r="N124" s="94"/>
      <c r="O124" s="93"/>
    </row>
    <row r="125" spans="1:15" ht="30" x14ac:dyDescent="0.25">
      <c r="A125" s="526">
        <v>60</v>
      </c>
      <c r="B125" s="564" t="s">
        <v>589</v>
      </c>
      <c r="C125" s="325"/>
      <c r="D125" s="276">
        <v>0.1</v>
      </c>
      <c r="E125" s="325" t="s">
        <v>101</v>
      </c>
      <c r="F125" s="582">
        <v>2.4</v>
      </c>
      <c r="G125" s="564"/>
      <c r="H125" s="299"/>
      <c r="I125" s="276">
        <f>IF(H125="",D125*F125,D125*F125*H125)</f>
        <v>0.24</v>
      </c>
      <c r="J125" s="94"/>
      <c r="K125" s="94"/>
      <c r="L125" s="94"/>
      <c r="M125" s="94"/>
      <c r="N125" s="94"/>
      <c r="O125" s="93"/>
    </row>
    <row r="126" spans="1:15" x14ac:dyDescent="0.25">
      <c r="A126" s="325">
        <v>70</v>
      </c>
      <c r="B126" s="564" t="s">
        <v>549</v>
      </c>
      <c r="C126" s="325"/>
      <c r="D126" s="276">
        <v>0.5</v>
      </c>
      <c r="E126" s="325" t="s">
        <v>101</v>
      </c>
      <c r="F126" s="582">
        <v>3.6</v>
      </c>
      <c r="G126" s="564"/>
      <c r="H126" s="299"/>
      <c r="I126" s="276">
        <f>IF(H126="",D126*F126,D126*F126*H126)</f>
        <v>1.8</v>
      </c>
      <c r="J126" s="94"/>
      <c r="K126" s="94"/>
      <c r="L126" s="94"/>
      <c r="M126" s="94"/>
      <c r="N126" s="94"/>
      <c r="O126" s="93"/>
    </row>
    <row r="127" spans="1:15" x14ac:dyDescent="0.25">
      <c r="A127" s="98"/>
      <c r="B127" s="95"/>
      <c r="C127" s="95"/>
      <c r="D127" s="95"/>
      <c r="E127" s="95"/>
      <c r="F127" s="95"/>
      <c r="G127" s="95"/>
      <c r="H127" s="563" t="s">
        <v>58</v>
      </c>
      <c r="I127" s="562">
        <f>SUM(I120:I126)</f>
        <v>64.33</v>
      </c>
      <c r="J127" s="95"/>
      <c r="K127" s="95"/>
      <c r="L127" s="95"/>
      <c r="M127" s="95"/>
      <c r="N127" s="95"/>
      <c r="O127" s="93"/>
    </row>
    <row r="128" spans="1:15" ht="15.75" thickBot="1" x14ac:dyDescent="0.3">
      <c r="A128" s="92"/>
      <c r="B128" s="91"/>
      <c r="C128" s="91"/>
      <c r="D128" s="91"/>
      <c r="E128" s="91"/>
      <c r="F128" s="91"/>
      <c r="G128" s="91"/>
      <c r="H128" s="91"/>
      <c r="I128" s="91"/>
      <c r="J128" s="91"/>
      <c r="K128" s="91"/>
      <c r="L128" s="91"/>
      <c r="M128" s="91"/>
      <c r="N128" s="91"/>
      <c r="O128" s="90"/>
    </row>
    <row r="129" spans="1:15" ht="15.75" thickBot="1" x14ac:dyDescent="0.3"/>
    <row r="130" spans="1:15" x14ac:dyDescent="0.25">
      <c r="A130" s="141"/>
      <c r="B130" s="140"/>
      <c r="C130" s="140"/>
      <c r="D130" s="140"/>
      <c r="E130" s="140"/>
      <c r="F130" s="140"/>
      <c r="G130" s="140"/>
      <c r="H130" s="140"/>
      <c r="I130" s="140"/>
      <c r="J130" s="272"/>
      <c r="K130" s="140"/>
      <c r="L130" s="140"/>
      <c r="M130" s="140"/>
      <c r="N130" s="140"/>
      <c r="O130" s="139"/>
    </row>
    <row r="131" spans="1:15" x14ac:dyDescent="0.25">
      <c r="A131" s="579" t="s">
        <v>57</v>
      </c>
      <c r="B131" s="133" t="s">
        <v>523</v>
      </c>
      <c r="C131" s="94"/>
      <c r="D131" s="94"/>
      <c r="E131" s="94"/>
      <c r="F131" s="94"/>
      <c r="G131" s="94"/>
      <c r="H131" s="94"/>
      <c r="I131" s="94"/>
      <c r="J131" s="581" t="s">
        <v>51</v>
      </c>
      <c r="K131" s="138">
        <v>81</v>
      </c>
      <c r="L131" s="94"/>
      <c r="M131" s="579" t="s">
        <v>113</v>
      </c>
      <c r="N131" s="100">
        <f>WT_03002_m</f>
        <v>122.59</v>
      </c>
      <c r="O131" s="93"/>
    </row>
    <row r="132" spans="1:15" x14ac:dyDescent="0.25">
      <c r="A132" s="579" t="s">
        <v>125</v>
      </c>
      <c r="B132" s="133" t="s">
        <v>4</v>
      </c>
      <c r="C132" s="94"/>
      <c r="D132" s="579" t="s">
        <v>122</v>
      </c>
      <c r="E132" s="94"/>
      <c r="F132" s="94"/>
      <c r="G132" s="94"/>
      <c r="H132" s="94"/>
      <c r="I132" s="94"/>
      <c r="J132" s="94"/>
      <c r="K132" s="94"/>
      <c r="L132" s="94"/>
      <c r="M132" s="579" t="s">
        <v>124</v>
      </c>
      <c r="N132" s="136">
        <v>2</v>
      </c>
      <c r="O132" s="93"/>
    </row>
    <row r="133" spans="1:15" x14ac:dyDescent="0.25">
      <c r="A133" s="579" t="s">
        <v>123</v>
      </c>
      <c r="B133" s="270" t="str">
        <f>WT_A0003</f>
        <v>Rear hubs</v>
      </c>
      <c r="C133" s="94"/>
      <c r="D133" s="579" t="s">
        <v>119</v>
      </c>
      <c r="E133" s="94"/>
      <c r="F133" s="94"/>
      <c r="G133" s="94"/>
      <c r="H133" s="94"/>
      <c r="I133" s="94"/>
      <c r="J133" s="580" t="s">
        <v>122</v>
      </c>
      <c r="K133" s="94"/>
      <c r="L133" s="94"/>
      <c r="M133" s="94"/>
      <c r="N133" s="94"/>
      <c r="O133" s="93"/>
    </row>
    <row r="134" spans="1:15" x14ac:dyDescent="0.25">
      <c r="A134" s="579" t="s">
        <v>114</v>
      </c>
      <c r="B134" s="135" t="s">
        <v>1130</v>
      </c>
      <c r="C134" s="94"/>
      <c r="D134" s="579" t="s">
        <v>116</v>
      </c>
      <c r="E134" s="94"/>
      <c r="F134" s="94"/>
      <c r="G134" s="94"/>
      <c r="H134" s="94"/>
      <c r="I134" s="94"/>
      <c r="J134" s="580" t="s">
        <v>119</v>
      </c>
      <c r="K134" s="94"/>
      <c r="L134" s="94"/>
      <c r="M134" s="579" t="s">
        <v>118</v>
      </c>
      <c r="N134" s="100">
        <f>N132*N131</f>
        <v>245.18</v>
      </c>
      <c r="O134" s="93"/>
    </row>
    <row r="135" spans="1:15" x14ac:dyDescent="0.25">
      <c r="A135" s="579" t="s">
        <v>121</v>
      </c>
      <c r="B135" s="269" t="s">
        <v>1129</v>
      </c>
      <c r="C135" s="94"/>
      <c r="D135" s="94"/>
      <c r="E135" s="94"/>
      <c r="F135" s="94"/>
      <c r="G135" s="94"/>
      <c r="H135" s="94"/>
      <c r="I135" s="94"/>
      <c r="J135" s="580" t="s">
        <v>116</v>
      </c>
      <c r="K135" s="94"/>
      <c r="L135" s="94"/>
      <c r="M135" s="94"/>
      <c r="N135" s="94"/>
      <c r="O135" s="93"/>
    </row>
    <row r="136" spans="1:15" x14ac:dyDescent="0.25">
      <c r="A136" s="579" t="s">
        <v>117</v>
      </c>
      <c r="B136" s="133" t="s">
        <v>23</v>
      </c>
      <c r="C136" s="94"/>
      <c r="D136" s="94"/>
      <c r="E136" s="94"/>
      <c r="F136" s="94"/>
      <c r="G136" s="94"/>
      <c r="H136" s="94"/>
      <c r="I136" s="94"/>
      <c r="J136" s="94"/>
      <c r="K136" s="94"/>
      <c r="L136" s="94"/>
      <c r="M136" s="94"/>
      <c r="N136" s="94"/>
      <c r="O136" s="93"/>
    </row>
    <row r="137" spans="1:15" x14ac:dyDescent="0.25">
      <c r="A137" s="579" t="s">
        <v>115</v>
      </c>
      <c r="B137" s="133"/>
      <c r="C137" s="94"/>
      <c r="D137" s="94"/>
      <c r="E137" s="94"/>
      <c r="F137" s="94"/>
      <c r="G137" s="94"/>
      <c r="H137" s="94"/>
      <c r="I137" s="94"/>
      <c r="J137" s="94"/>
      <c r="K137" s="94"/>
      <c r="L137" s="94"/>
      <c r="M137" s="94"/>
      <c r="N137" s="94"/>
      <c r="O137" s="93"/>
    </row>
    <row r="138" spans="1:15" x14ac:dyDescent="0.25">
      <c r="A138" s="266"/>
      <c r="B138" s="265"/>
      <c r="C138" s="265"/>
      <c r="D138" s="265"/>
      <c r="E138" s="265"/>
      <c r="F138" s="94"/>
      <c r="G138" s="94"/>
      <c r="H138" s="94"/>
      <c r="I138" s="94"/>
      <c r="J138" s="94"/>
      <c r="K138" s="94"/>
      <c r="L138" s="94"/>
      <c r="M138" s="94"/>
      <c r="N138" s="94"/>
      <c r="O138" s="93"/>
    </row>
    <row r="139" spans="1:15" x14ac:dyDescent="0.25">
      <c r="A139" s="578" t="s">
        <v>67</v>
      </c>
      <c r="B139" s="577" t="s">
        <v>112</v>
      </c>
      <c r="C139" s="577" t="s">
        <v>66</v>
      </c>
      <c r="D139" s="577" t="s">
        <v>65</v>
      </c>
      <c r="E139" s="577" t="s">
        <v>81</v>
      </c>
      <c r="F139" s="566" t="s">
        <v>80</v>
      </c>
      <c r="G139" s="566" t="s">
        <v>79</v>
      </c>
      <c r="H139" s="566" t="s">
        <v>78</v>
      </c>
      <c r="I139" s="566" t="s">
        <v>111</v>
      </c>
      <c r="J139" s="566" t="s">
        <v>110</v>
      </c>
      <c r="K139" s="566" t="s">
        <v>109</v>
      </c>
      <c r="L139" s="566" t="s">
        <v>108</v>
      </c>
      <c r="M139" s="566" t="s">
        <v>40</v>
      </c>
      <c r="N139" s="566" t="s">
        <v>58</v>
      </c>
      <c r="O139" s="93"/>
    </row>
    <row r="140" spans="1:15" x14ac:dyDescent="0.25">
      <c r="A140" s="529">
        <v>10</v>
      </c>
      <c r="B140" s="402" t="s">
        <v>1128</v>
      </c>
      <c r="C140" s="296"/>
      <c r="D140" s="276">
        <v>122.59</v>
      </c>
      <c r="E140" s="296">
        <v>85</v>
      </c>
      <c r="F140" s="296" t="s">
        <v>68</v>
      </c>
      <c r="G140" s="296">
        <v>13</v>
      </c>
      <c r="H140" s="401" t="s">
        <v>68</v>
      </c>
      <c r="I140" s="400"/>
      <c r="J140" s="399"/>
      <c r="K140" s="398"/>
      <c r="L140" s="319"/>
      <c r="M140" s="397">
        <v>1</v>
      </c>
      <c r="N140" s="276">
        <f>IF(J140="",D140*M140,D140*J140*K140*L140*M140)</f>
        <v>122.59</v>
      </c>
      <c r="O140" s="143"/>
    </row>
    <row r="141" spans="1:15" x14ac:dyDescent="0.25">
      <c r="A141" s="98"/>
      <c r="B141" s="95"/>
      <c r="C141" s="95"/>
      <c r="D141" s="95"/>
      <c r="E141" s="95"/>
      <c r="F141" s="95"/>
      <c r="G141" s="95"/>
      <c r="H141" s="95"/>
      <c r="I141" s="95"/>
      <c r="J141" s="95"/>
      <c r="K141" s="95"/>
      <c r="L141" s="95"/>
      <c r="M141" s="568" t="s">
        <v>58</v>
      </c>
      <c r="N141" s="562">
        <f>SUM(N140:N140)</f>
        <v>122.59</v>
      </c>
      <c r="O141" s="93"/>
    </row>
    <row r="142" spans="1:15" x14ac:dyDescent="0.25">
      <c r="A142" s="107"/>
      <c r="B142" s="94"/>
      <c r="C142" s="94"/>
      <c r="D142" s="94"/>
      <c r="E142" s="94"/>
      <c r="F142" s="94"/>
      <c r="G142" s="94"/>
      <c r="H142" s="94"/>
      <c r="I142" s="94"/>
      <c r="J142" s="94"/>
      <c r="K142" s="94"/>
      <c r="L142" s="94"/>
      <c r="M142" s="94"/>
      <c r="N142" s="94"/>
      <c r="O142" s="93"/>
    </row>
    <row r="143" spans="1:15" ht="15.75" thickBot="1" x14ac:dyDescent="0.3">
      <c r="A143" s="92"/>
      <c r="B143" s="91"/>
      <c r="C143" s="91"/>
      <c r="D143" s="91"/>
      <c r="E143" s="91"/>
      <c r="F143" s="91"/>
      <c r="G143" s="91"/>
      <c r="H143" s="91"/>
      <c r="I143" s="91"/>
      <c r="J143" s="91"/>
      <c r="K143" s="91"/>
      <c r="L143" s="91"/>
      <c r="M143" s="91"/>
      <c r="N143" s="91"/>
      <c r="O143" s="90"/>
    </row>
    <row r="144" spans="1:15" ht="15.75" thickBot="1" x14ac:dyDescent="0.3"/>
    <row r="145" spans="1:15" x14ac:dyDescent="0.25">
      <c r="A145" s="141"/>
      <c r="B145" s="140"/>
      <c r="C145" s="140"/>
      <c r="D145" s="140"/>
      <c r="E145" s="140"/>
      <c r="F145" s="140"/>
      <c r="G145" s="140"/>
      <c r="H145" s="140"/>
      <c r="I145" s="140"/>
      <c r="J145" s="272"/>
      <c r="K145" s="140"/>
      <c r="L145" s="140"/>
      <c r="M145" s="140"/>
      <c r="N145" s="140"/>
      <c r="O145" s="139"/>
    </row>
    <row r="146" spans="1:15" x14ac:dyDescent="0.25">
      <c r="A146" s="579" t="s">
        <v>57</v>
      </c>
      <c r="B146" s="133" t="s">
        <v>523</v>
      </c>
      <c r="C146" s="94"/>
      <c r="D146" s="94"/>
      <c r="E146" s="94"/>
      <c r="F146" s="94"/>
      <c r="G146" s="94"/>
      <c r="H146" s="94"/>
      <c r="I146" s="94"/>
      <c r="J146" s="581" t="s">
        <v>51</v>
      </c>
      <c r="K146" s="138">
        <v>81</v>
      </c>
      <c r="L146" s="94"/>
      <c r="M146" s="579" t="s">
        <v>113</v>
      </c>
      <c r="N146" s="100">
        <f>WT_03003_m+WT_03003_p</f>
        <v>33.825134192882096</v>
      </c>
      <c r="O146" s="93"/>
    </row>
    <row r="147" spans="1:15" x14ac:dyDescent="0.25">
      <c r="A147" s="579" t="s">
        <v>125</v>
      </c>
      <c r="B147" s="133" t="s">
        <v>4</v>
      </c>
      <c r="C147" s="94"/>
      <c r="D147" s="579" t="s">
        <v>122</v>
      </c>
      <c r="E147" s="270" t="s">
        <v>522</v>
      </c>
      <c r="F147" s="94"/>
      <c r="G147" s="94"/>
      <c r="H147" s="94"/>
      <c r="I147" s="94"/>
      <c r="J147" s="94"/>
      <c r="K147" s="94"/>
      <c r="L147" s="94"/>
      <c r="M147" s="579" t="s">
        <v>124</v>
      </c>
      <c r="N147" s="136">
        <v>1</v>
      </c>
      <c r="O147" s="93"/>
    </row>
    <row r="148" spans="1:15" x14ac:dyDescent="0.25">
      <c r="A148" s="579" t="s">
        <v>123</v>
      </c>
      <c r="B148" s="270" t="str">
        <f>WT_A0003</f>
        <v>Rear hubs</v>
      </c>
      <c r="C148" s="94"/>
      <c r="D148" s="579" t="s">
        <v>119</v>
      </c>
      <c r="E148" s="94"/>
      <c r="F148" s="94"/>
      <c r="G148" s="94"/>
      <c r="H148" s="94"/>
      <c r="I148" s="94"/>
      <c r="J148" s="580" t="s">
        <v>122</v>
      </c>
      <c r="K148" s="94"/>
      <c r="L148" s="94"/>
      <c r="M148" s="94"/>
      <c r="N148" s="94"/>
      <c r="O148" s="93"/>
    </row>
    <row r="149" spans="1:15" x14ac:dyDescent="0.25">
      <c r="A149" s="579" t="s">
        <v>114</v>
      </c>
      <c r="B149" s="135" t="s">
        <v>1127</v>
      </c>
      <c r="C149" s="94"/>
      <c r="D149" s="579" t="s">
        <v>116</v>
      </c>
      <c r="E149" s="94"/>
      <c r="F149" s="94"/>
      <c r="G149" s="94"/>
      <c r="H149" s="94"/>
      <c r="I149" s="94"/>
      <c r="J149" s="580" t="s">
        <v>119</v>
      </c>
      <c r="K149" s="94"/>
      <c r="L149" s="94"/>
      <c r="M149" s="579" t="s">
        <v>118</v>
      </c>
      <c r="N149" s="100">
        <f>N147*N146</f>
        <v>33.825134192882096</v>
      </c>
      <c r="O149" s="93"/>
    </row>
    <row r="150" spans="1:15" x14ac:dyDescent="0.25">
      <c r="A150" s="579" t="s">
        <v>121</v>
      </c>
      <c r="B150" s="269" t="s">
        <v>1126</v>
      </c>
      <c r="C150" s="94"/>
      <c r="D150" s="94"/>
      <c r="E150" s="94"/>
      <c r="F150" s="94"/>
      <c r="G150" s="94"/>
      <c r="H150" s="94"/>
      <c r="I150" s="94"/>
      <c r="J150" s="580" t="s">
        <v>116</v>
      </c>
      <c r="K150" s="94"/>
      <c r="L150" s="94"/>
      <c r="M150" s="94"/>
      <c r="N150" s="94"/>
      <c r="O150" s="93"/>
    </row>
    <row r="151" spans="1:15" x14ac:dyDescent="0.25">
      <c r="A151" s="579" t="s">
        <v>117</v>
      </c>
      <c r="B151" s="133" t="s">
        <v>23</v>
      </c>
      <c r="C151" s="94"/>
      <c r="D151" s="94"/>
      <c r="E151" s="94"/>
      <c r="F151" s="94"/>
      <c r="G151" s="94"/>
      <c r="H151" s="94"/>
      <c r="I151" s="94"/>
      <c r="J151" s="94"/>
      <c r="K151" s="94"/>
      <c r="L151" s="94"/>
      <c r="M151" s="94"/>
      <c r="N151" s="94"/>
      <c r="O151" s="93"/>
    </row>
    <row r="152" spans="1:15" x14ac:dyDescent="0.25">
      <c r="A152" s="579" t="s">
        <v>115</v>
      </c>
      <c r="B152" s="133"/>
      <c r="C152" s="94"/>
      <c r="D152" s="94"/>
      <c r="E152" s="94"/>
      <c r="F152" s="94"/>
      <c r="G152" s="94"/>
      <c r="H152" s="94"/>
      <c r="I152" s="94"/>
      <c r="J152" s="94"/>
      <c r="K152" s="94"/>
      <c r="L152" s="94"/>
      <c r="M152" s="94"/>
      <c r="N152" s="94"/>
      <c r="O152" s="93"/>
    </row>
    <row r="153" spans="1:15" x14ac:dyDescent="0.25">
      <c r="A153" s="266"/>
      <c r="B153" s="265"/>
      <c r="C153" s="265"/>
      <c r="D153" s="265"/>
      <c r="E153" s="265"/>
      <c r="F153" s="94"/>
      <c r="G153" s="94"/>
      <c r="H153" s="94"/>
      <c r="I153" s="94"/>
      <c r="J153" s="94"/>
      <c r="K153" s="94"/>
      <c r="L153" s="94"/>
      <c r="M153" s="94"/>
      <c r="N153" s="94"/>
      <c r="O153" s="93"/>
    </row>
    <row r="154" spans="1:15" x14ac:dyDescent="0.25">
      <c r="A154" s="578" t="s">
        <v>67</v>
      </c>
      <c r="B154" s="577" t="s">
        <v>112</v>
      </c>
      <c r="C154" s="577" t="s">
        <v>66</v>
      </c>
      <c r="D154" s="577" t="s">
        <v>65</v>
      </c>
      <c r="E154" s="577" t="s">
        <v>81</v>
      </c>
      <c r="F154" s="566" t="s">
        <v>80</v>
      </c>
      <c r="G154" s="566" t="s">
        <v>79</v>
      </c>
      <c r="H154" s="566" t="s">
        <v>78</v>
      </c>
      <c r="I154" s="566" t="s">
        <v>111</v>
      </c>
      <c r="J154" s="566" t="s">
        <v>110</v>
      </c>
      <c r="K154" s="566" t="s">
        <v>109</v>
      </c>
      <c r="L154" s="566" t="s">
        <v>108</v>
      </c>
      <c r="M154" s="566" t="s">
        <v>40</v>
      </c>
      <c r="N154" s="566" t="s">
        <v>58</v>
      </c>
      <c r="O154" s="93"/>
    </row>
    <row r="155" spans="1:15" ht="30" x14ac:dyDescent="0.25">
      <c r="A155" s="529">
        <v>10</v>
      </c>
      <c r="B155" s="402" t="s">
        <v>683</v>
      </c>
      <c r="C155" s="296" t="s">
        <v>841</v>
      </c>
      <c r="D155" s="276">
        <v>4.2</v>
      </c>
      <c r="E155" s="576">
        <v>120</v>
      </c>
      <c r="F155" s="576" t="s">
        <v>68</v>
      </c>
      <c r="G155" s="576"/>
      <c r="H155" s="575"/>
      <c r="I155" s="574" t="s">
        <v>1125</v>
      </c>
      <c r="J155" s="573">
        <f>PI()*(E155/2000)^2</f>
        <v>1.1309733552923255E-2</v>
      </c>
      <c r="K155" s="572">
        <v>6.0400000000000002E-2</v>
      </c>
      <c r="L155" s="571">
        <v>2710</v>
      </c>
      <c r="M155" s="570">
        <v>1</v>
      </c>
      <c r="N155" s="569">
        <f>D155*J155*K155*L155*M155</f>
        <v>7.7751341928820983</v>
      </c>
      <c r="O155" s="143"/>
    </row>
    <row r="156" spans="1:15" x14ac:dyDescent="0.25">
      <c r="A156" s="98"/>
      <c r="B156" s="95"/>
      <c r="C156" s="95"/>
      <c r="D156" s="95"/>
      <c r="E156" s="95"/>
      <c r="F156" s="95"/>
      <c r="G156" s="95"/>
      <c r="H156" s="95"/>
      <c r="I156" s="95"/>
      <c r="J156" s="95"/>
      <c r="K156" s="95"/>
      <c r="L156" s="95"/>
      <c r="M156" s="568" t="s">
        <v>58</v>
      </c>
      <c r="N156" s="562">
        <f>SUM(N155:N155)</f>
        <v>7.7751341928820983</v>
      </c>
      <c r="O156" s="93"/>
    </row>
    <row r="157" spans="1:15" x14ac:dyDescent="0.25">
      <c r="A157" s="107"/>
      <c r="B157" s="94"/>
      <c r="C157" s="94"/>
      <c r="D157" s="94"/>
      <c r="E157" s="94"/>
      <c r="F157" s="94"/>
      <c r="G157" s="94"/>
      <c r="H157" s="94"/>
      <c r="I157" s="94"/>
      <c r="J157" s="94"/>
      <c r="K157" s="94"/>
      <c r="L157" s="94"/>
      <c r="M157" s="94"/>
      <c r="N157" s="94"/>
      <c r="O157" s="93"/>
    </row>
    <row r="158" spans="1:15" x14ac:dyDescent="0.25">
      <c r="A158" s="567" t="s">
        <v>67</v>
      </c>
      <c r="B158" s="566" t="s">
        <v>106</v>
      </c>
      <c r="C158" s="566" t="s">
        <v>66</v>
      </c>
      <c r="D158" s="566" t="s">
        <v>65</v>
      </c>
      <c r="E158" s="566" t="s">
        <v>64</v>
      </c>
      <c r="F158" s="566" t="s">
        <v>40</v>
      </c>
      <c r="G158" s="566" t="s">
        <v>105</v>
      </c>
      <c r="H158" s="566" t="s">
        <v>104</v>
      </c>
      <c r="I158" s="566" t="s">
        <v>58</v>
      </c>
      <c r="J158" s="95"/>
      <c r="K158" s="95"/>
      <c r="L158" s="95"/>
      <c r="M158" s="95"/>
      <c r="N158" s="95"/>
      <c r="O158" s="93"/>
    </row>
    <row r="159" spans="1:15" ht="30" x14ac:dyDescent="0.25">
      <c r="A159" s="527">
        <v>10</v>
      </c>
      <c r="B159" s="564" t="s">
        <v>516</v>
      </c>
      <c r="C159" s="367"/>
      <c r="D159" s="293">
        <v>1.3</v>
      </c>
      <c r="E159" s="564" t="s">
        <v>64</v>
      </c>
      <c r="F159" s="367">
        <v>1</v>
      </c>
      <c r="G159" s="367"/>
      <c r="H159" s="367"/>
      <c r="I159" s="293">
        <f>IF(H159="",D159*F159,D159*F159*H159)</f>
        <v>1.3</v>
      </c>
      <c r="J159" s="142"/>
      <c r="K159" s="142"/>
      <c r="L159" s="142"/>
      <c r="M159" s="142"/>
      <c r="N159" s="142"/>
      <c r="O159" s="120"/>
    </row>
    <row r="160" spans="1:15" ht="30" x14ac:dyDescent="0.25">
      <c r="A160" s="526">
        <v>20</v>
      </c>
      <c r="B160" s="564" t="s">
        <v>1029</v>
      </c>
      <c r="C160" s="331" t="s">
        <v>1124</v>
      </c>
      <c r="D160" s="276">
        <v>0.04</v>
      </c>
      <c r="E160" s="325" t="s">
        <v>512</v>
      </c>
      <c r="F160" s="565">
        <v>151</v>
      </c>
      <c r="G160" s="564" t="s">
        <v>629</v>
      </c>
      <c r="H160" s="299">
        <v>1</v>
      </c>
      <c r="I160" s="276">
        <f>D160*F160</f>
        <v>6.04</v>
      </c>
      <c r="J160" s="94"/>
      <c r="K160" s="94"/>
      <c r="L160" s="94"/>
      <c r="M160" s="94"/>
      <c r="N160" s="94"/>
      <c r="O160" s="93"/>
    </row>
    <row r="161" spans="1:15" x14ac:dyDescent="0.25">
      <c r="A161" s="536">
        <v>30</v>
      </c>
      <c r="B161" s="564" t="s">
        <v>822</v>
      </c>
      <c r="C161" s="299"/>
      <c r="D161" s="276">
        <v>0.65</v>
      </c>
      <c r="E161" s="564" t="s">
        <v>64</v>
      </c>
      <c r="F161" s="299">
        <v>1</v>
      </c>
      <c r="G161" s="299"/>
      <c r="H161" s="299"/>
      <c r="I161" s="276">
        <f t="shared" ref="I161:I166" si="1">IF(H161="",D161*F161,D161*F161*H161)</f>
        <v>0.65</v>
      </c>
      <c r="J161" s="99"/>
      <c r="K161" s="99"/>
      <c r="L161" s="99"/>
      <c r="M161" s="99"/>
      <c r="N161" s="99"/>
      <c r="O161" s="130"/>
    </row>
    <row r="162" spans="1:15" ht="30" x14ac:dyDescent="0.25">
      <c r="A162" s="526">
        <v>40</v>
      </c>
      <c r="B162" s="564" t="s">
        <v>514</v>
      </c>
      <c r="C162" s="331" t="s">
        <v>1123</v>
      </c>
      <c r="D162" s="276">
        <v>0.04</v>
      </c>
      <c r="E162" s="325" t="s">
        <v>512</v>
      </c>
      <c r="F162" s="565">
        <v>151</v>
      </c>
      <c r="G162" s="564" t="s">
        <v>629</v>
      </c>
      <c r="H162" s="299">
        <v>1</v>
      </c>
      <c r="I162" s="276">
        <f t="shared" si="1"/>
        <v>6.04</v>
      </c>
      <c r="J162" s="94"/>
      <c r="K162" s="94"/>
      <c r="L162" s="94"/>
      <c r="M162" s="94"/>
      <c r="N162" s="94"/>
      <c r="O162" s="93"/>
    </row>
    <row r="163" spans="1:15" x14ac:dyDescent="0.25">
      <c r="A163" s="526">
        <v>50</v>
      </c>
      <c r="B163" s="564" t="s">
        <v>822</v>
      </c>
      <c r="C163" s="325"/>
      <c r="D163" s="276">
        <v>0.65</v>
      </c>
      <c r="E163" s="325" t="s">
        <v>64</v>
      </c>
      <c r="F163" s="565">
        <v>1</v>
      </c>
      <c r="G163" s="564"/>
      <c r="H163" s="299"/>
      <c r="I163" s="276">
        <f t="shared" si="1"/>
        <v>0.65</v>
      </c>
      <c r="J163" s="94"/>
      <c r="K163" s="94"/>
      <c r="L163" s="94"/>
      <c r="M163" s="94"/>
      <c r="N163" s="94"/>
      <c r="O163" s="93"/>
    </row>
    <row r="164" spans="1:15" ht="30" x14ac:dyDescent="0.25">
      <c r="A164" s="526">
        <v>60</v>
      </c>
      <c r="B164" s="564" t="s">
        <v>514</v>
      </c>
      <c r="C164" s="325" t="s">
        <v>1122</v>
      </c>
      <c r="D164" s="276">
        <v>0.04</v>
      </c>
      <c r="E164" s="325" t="s">
        <v>512</v>
      </c>
      <c r="F164" s="565">
        <v>182</v>
      </c>
      <c r="G164" s="564" t="s">
        <v>629</v>
      </c>
      <c r="H164" s="299">
        <v>1</v>
      </c>
      <c r="I164" s="276">
        <f t="shared" si="1"/>
        <v>7.28</v>
      </c>
      <c r="J164" s="94"/>
      <c r="K164" s="94"/>
      <c r="L164" s="94"/>
      <c r="M164" s="94"/>
      <c r="N164" s="94"/>
      <c r="O164" s="93"/>
    </row>
    <row r="165" spans="1:15" x14ac:dyDescent="0.25">
      <c r="A165" s="536">
        <v>70</v>
      </c>
      <c r="B165" s="308" t="s">
        <v>822</v>
      </c>
      <c r="C165" s="299"/>
      <c r="D165" s="276">
        <v>0.65</v>
      </c>
      <c r="E165" s="564" t="s">
        <v>64</v>
      </c>
      <c r="F165" s="299">
        <v>1</v>
      </c>
      <c r="G165" s="299"/>
      <c r="H165" s="299"/>
      <c r="I165" s="276">
        <f t="shared" si="1"/>
        <v>0.65</v>
      </c>
      <c r="J165" s="94"/>
      <c r="K165" s="94"/>
      <c r="L165" s="94"/>
      <c r="M165" s="94"/>
      <c r="N165" s="94"/>
      <c r="O165" s="93"/>
    </row>
    <row r="166" spans="1:15" ht="30" x14ac:dyDescent="0.25">
      <c r="A166" s="526">
        <v>80</v>
      </c>
      <c r="B166" s="564" t="s">
        <v>514</v>
      </c>
      <c r="C166" s="325" t="s">
        <v>1121</v>
      </c>
      <c r="D166" s="276">
        <v>0.04</v>
      </c>
      <c r="E166" s="325" t="s">
        <v>512</v>
      </c>
      <c r="F166" s="565">
        <v>86</v>
      </c>
      <c r="G166" s="564" t="s">
        <v>629</v>
      </c>
      <c r="H166" s="299">
        <v>1</v>
      </c>
      <c r="I166" s="276">
        <f t="shared" si="1"/>
        <v>3.44</v>
      </c>
      <c r="J166" s="94"/>
      <c r="K166" s="94"/>
      <c r="L166" s="94"/>
      <c r="M166" s="94"/>
      <c r="N166" s="94"/>
      <c r="O166" s="93"/>
    </row>
    <row r="167" spans="1:15" x14ac:dyDescent="0.25">
      <c r="A167" s="98"/>
      <c r="B167" s="95"/>
      <c r="C167" s="95"/>
      <c r="D167" s="95"/>
      <c r="E167" s="95"/>
      <c r="F167" s="95"/>
      <c r="G167" s="95"/>
      <c r="H167" s="563" t="s">
        <v>58</v>
      </c>
      <c r="I167" s="562">
        <f>SUM(I159:I166)</f>
        <v>26.05</v>
      </c>
      <c r="J167" s="95"/>
      <c r="K167" s="95"/>
      <c r="L167" s="95"/>
      <c r="M167" s="95"/>
      <c r="N167" s="95"/>
      <c r="O167" s="93"/>
    </row>
    <row r="168" spans="1:15" ht="15.75" thickBot="1" x14ac:dyDescent="0.3">
      <c r="A168" s="92"/>
      <c r="B168" s="91"/>
      <c r="C168" s="91"/>
      <c r="D168" s="91"/>
      <c r="E168" s="91"/>
      <c r="F168" s="91"/>
      <c r="G168" s="91"/>
      <c r="H168" s="91"/>
      <c r="I168" s="91"/>
      <c r="J168" s="91"/>
      <c r="K168" s="91"/>
      <c r="L168" s="91"/>
      <c r="M168" s="91"/>
      <c r="N168" s="91"/>
      <c r="O168" s="90"/>
    </row>
  </sheetData>
  <hyperlinks>
    <hyperlink ref="B4" location="WT_A0001" display="WT_A0001"/>
    <hyperlink ref="E3" location="dEL_01001" display="Drawing"/>
    <hyperlink ref="B31" location="WT_A0001" display="WT_A0001"/>
    <hyperlink ref="B17" location="WT_A0001" display="WT_A0001"/>
    <hyperlink ref="B46" location="WT_A0002" display="WT_A0002"/>
    <hyperlink ref="B69" location="WT_A0002" display="WT_A0002"/>
    <hyperlink ref="B84" location="WT_A0002" display="WT_A0002"/>
    <hyperlink ref="B109" location="WT_A0003" display="WT_A0003"/>
    <hyperlink ref="B133" location="WT_A0003" display="WT_A0003"/>
    <hyperlink ref="B148" location="WT_A0003" display="WT_A0003"/>
    <hyperlink ref="E45" location="dWT_02001" display="Drawing"/>
    <hyperlink ref="E83" location="dWT_02003" display="Drawing"/>
    <hyperlink ref="E108" location="dWT_03001" display="Drawing"/>
    <hyperlink ref="E147" location="dWT_03003" display="Drawing"/>
  </hyperlinks>
  <pageMargins left="0.78749999999999998" right="0.78749999999999998" top="1.05277777777778" bottom="1.05277777777778" header="0.78749999999999998" footer="0.78749999999999998"/>
  <pageSetup paperSize="9" scale="47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8" manualBreakCount="8">
    <brk id="12" max="16383" man="1"/>
    <brk id="26" max="16383" man="1"/>
    <brk id="41" max="16383" man="1"/>
    <brk id="64" max="16383" man="1"/>
    <brk id="79" max="16383" man="1"/>
    <brk id="104" max="16383" man="1"/>
    <brk id="128" max="16383" man="1"/>
    <brk id="143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FFCC"/>
    <pageSetUpPr fitToPage="1"/>
  </sheetPr>
  <dimension ref="A1:Q46"/>
  <sheetViews>
    <sheetView topLeftCell="A3" zoomScale="80" zoomScaleNormal="80" zoomScaleSheetLayoutView="50" workbookViewId="0">
      <selection activeCell="T3" sqref="T3"/>
    </sheetView>
  </sheetViews>
  <sheetFormatPr baseColWidth="10" defaultRowHeight="15" x14ac:dyDescent="0.25"/>
  <cols>
    <col min="1" max="1" width="14" style="89" customWidth="1"/>
    <col min="2" max="15" width="11.42578125" style="89"/>
    <col min="16" max="16" width="13.7109375" style="89" customWidth="1"/>
    <col min="17" max="16384" width="11.42578125" style="89"/>
  </cols>
  <sheetData>
    <row r="1" spans="1:17" x14ac:dyDescent="0.25">
      <c r="A1" s="547" t="s">
        <v>1087</v>
      </c>
      <c r="B1" s="547" t="str">
        <f>WT_02001</f>
        <v>Front Hub</v>
      </c>
      <c r="P1" s="547" t="s">
        <v>1089</v>
      </c>
      <c r="Q1" s="547" t="str">
        <f>WT_02003</f>
        <v>Front Spacer</v>
      </c>
    </row>
    <row r="46" spans="1:17" x14ac:dyDescent="0.25">
      <c r="A46" s="547" t="s">
        <v>1157</v>
      </c>
      <c r="B46" s="547" t="str">
        <f>WT_03001</f>
        <v>Rear hub</v>
      </c>
      <c r="P46" s="547" t="s">
        <v>1156</v>
      </c>
      <c r="Q46" s="547" t="str">
        <f>WT_03003</f>
        <v>Rear spacer</v>
      </c>
    </row>
  </sheetData>
  <hyperlinks>
    <hyperlink ref="B1" location="WT_02001" display="WT_02001"/>
    <hyperlink ref="A1" location="WT_02001" display="Drawing part :"/>
    <hyperlink ref="P1" location="WT_02003" display="Drawing part : "/>
    <hyperlink ref="Q1" location="WT_02003" display="WT_02003"/>
    <hyperlink ref="A46:B46" location="WT_03001" display="Drawing Part :"/>
    <hyperlink ref="P46:Q46" location="WT_03003" display="Drawing Part : "/>
  </hyperlinks>
  <pageMargins left="0.7" right="0.7" top="0.75" bottom="0.75" header="0.3" footer="0.3"/>
  <pageSetup paperSize="9" scale="25" fitToHeight="0" orientation="portrait" r:id="rId1"/>
  <rowBreaks count="1" manualBreakCount="1">
    <brk id="44" max="16383" man="1"/>
  </row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"/>
  <sheetViews>
    <sheetView workbookViewId="0">
      <selection activeCell="C10" sqref="C10"/>
    </sheetView>
  </sheetViews>
  <sheetFormatPr baseColWidth="10" defaultRowHeight="15" x14ac:dyDescent="0.25"/>
  <cols>
    <col min="1" max="1" width="13.42578125" bestFit="1" customWidth="1"/>
    <col min="2" max="2" width="10.7109375" bestFit="1" customWidth="1"/>
    <col min="3" max="3" width="106.5703125" bestFit="1" customWidth="1"/>
    <col min="4" max="4" width="25.85546875" customWidth="1"/>
    <col min="5" max="256" width="9.140625" customWidth="1"/>
  </cols>
  <sheetData>
    <row r="1" spans="1:4" x14ac:dyDescent="0.25">
      <c r="A1" t="s">
        <v>1097</v>
      </c>
      <c r="B1" t="s">
        <v>1096</v>
      </c>
      <c r="C1" t="s">
        <v>1095</v>
      </c>
      <c r="D1" t="s">
        <v>1094</v>
      </c>
    </row>
    <row r="2" spans="1:4" x14ac:dyDescent="0.25">
      <c r="A2">
        <v>2016.1</v>
      </c>
      <c r="B2" s="548">
        <v>42517</v>
      </c>
      <c r="C2" t="s">
        <v>1098</v>
      </c>
      <c r="D2" t="s">
        <v>1099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O157"/>
  <sheetViews>
    <sheetView zoomScale="80" zoomScaleNormal="80" zoomScaleSheetLayoutView="80" workbookViewId="0"/>
  </sheetViews>
  <sheetFormatPr baseColWidth="10" defaultColWidth="9.140625" defaultRowHeight="15" x14ac:dyDescent="0.25"/>
  <cols>
    <col min="1" max="1" width="12.5703125" style="89" customWidth="1"/>
    <col min="2" max="2" width="29.7109375" style="89" customWidth="1"/>
    <col min="3" max="3" width="47.85546875" style="89" customWidth="1"/>
    <col min="4" max="4" width="9.140625" style="89"/>
    <col min="5" max="5" width="11.7109375" style="89" customWidth="1"/>
    <col min="6" max="6" width="9.140625" style="89"/>
    <col min="7" max="7" width="11.85546875" style="89" customWidth="1"/>
    <col min="8" max="9" width="9.140625" style="89"/>
    <col min="10" max="10" width="10.7109375" style="89" customWidth="1"/>
    <col min="11" max="11" width="9.140625" style="89"/>
    <col min="12" max="12" width="10.7109375" style="89" customWidth="1"/>
    <col min="13" max="13" width="9.140625" style="89"/>
    <col min="14" max="14" width="14.140625" style="89" customWidth="1"/>
    <col min="15" max="15" width="5.28515625" style="89" customWidth="1"/>
    <col min="16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1109" t="s">
        <v>57</v>
      </c>
      <c r="B2" s="133" t="s">
        <v>127</v>
      </c>
      <c r="C2" s="94"/>
      <c r="D2" s="94"/>
      <c r="E2" s="94"/>
      <c r="F2" s="94"/>
      <c r="G2" s="94"/>
      <c r="H2" s="94"/>
      <c r="I2" s="94"/>
      <c r="J2" s="1109" t="s">
        <v>51</v>
      </c>
      <c r="K2" s="138">
        <v>81</v>
      </c>
      <c r="L2" s="94"/>
      <c r="M2" s="1109" t="s">
        <v>126</v>
      </c>
      <c r="N2" s="137">
        <f>E16+BR_A0001_p+BR_A0001_f</f>
        <v>121.505327005</v>
      </c>
      <c r="O2" s="93"/>
    </row>
    <row r="3" spans="1:15" x14ac:dyDescent="0.25">
      <c r="A3" s="1109" t="s">
        <v>125</v>
      </c>
      <c r="B3" s="133" t="s">
        <v>11</v>
      </c>
      <c r="C3" s="94"/>
      <c r="D3" s="94"/>
      <c r="E3" s="94"/>
      <c r="F3" s="94"/>
      <c r="G3" s="94"/>
      <c r="H3" s="94"/>
      <c r="I3" s="94"/>
      <c r="J3" s="94"/>
      <c r="K3" s="94"/>
      <c r="L3" s="94"/>
      <c r="M3" s="1109" t="s">
        <v>124</v>
      </c>
      <c r="N3" s="136">
        <v>2</v>
      </c>
      <c r="O3" s="93"/>
    </row>
    <row r="4" spans="1:15" x14ac:dyDescent="0.25">
      <c r="A4" s="1109" t="s">
        <v>123</v>
      </c>
      <c r="B4" s="99" t="s">
        <v>1826</v>
      </c>
      <c r="C4" s="94"/>
      <c r="D4" s="94"/>
      <c r="E4" s="94"/>
      <c r="F4" s="94"/>
      <c r="G4" s="94"/>
      <c r="H4" s="94"/>
      <c r="I4" s="94"/>
      <c r="J4" s="1128" t="s">
        <v>122</v>
      </c>
      <c r="K4" s="94"/>
      <c r="L4" s="94"/>
      <c r="M4" s="94"/>
      <c r="N4" s="94"/>
      <c r="O4" s="93"/>
    </row>
    <row r="5" spans="1:15" x14ac:dyDescent="0.25">
      <c r="A5" s="1109" t="s">
        <v>121</v>
      </c>
      <c r="B5" s="135" t="s">
        <v>1825</v>
      </c>
      <c r="C5" s="94"/>
      <c r="D5" s="94"/>
      <c r="E5" s="94"/>
      <c r="F5" s="94"/>
      <c r="G5" s="94"/>
      <c r="H5" s="94"/>
      <c r="I5" s="94"/>
      <c r="J5" s="1128" t="s">
        <v>119</v>
      </c>
      <c r="K5" s="94"/>
      <c r="L5" s="94"/>
      <c r="M5" s="1109" t="s">
        <v>118</v>
      </c>
      <c r="N5" s="100">
        <f>N2*N3</f>
        <v>243.01065401</v>
      </c>
      <c r="O5" s="93"/>
    </row>
    <row r="6" spans="1:15" x14ac:dyDescent="0.25">
      <c r="A6" s="1109" t="s">
        <v>117</v>
      </c>
      <c r="B6" s="133" t="s">
        <v>23</v>
      </c>
      <c r="C6" s="94"/>
      <c r="D6" s="94"/>
      <c r="E6" s="94"/>
      <c r="F6" s="94"/>
      <c r="G6" s="94"/>
      <c r="H6" s="94"/>
      <c r="I6" s="94"/>
      <c r="J6" s="1128" t="s">
        <v>116</v>
      </c>
      <c r="K6" s="94"/>
      <c r="L6" s="94"/>
      <c r="M6" s="94"/>
      <c r="N6" s="94"/>
      <c r="O6" s="93"/>
    </row>
    <row r="7" spans="1:15" x14ac:dyDescent="0.25">
      <c r="A7" s="1109" t="s">
        <v>115</v>
      </c>
      <c r="B7" s="133"/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107"/>
      <c r="B8" s="94"/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1109" t="s">
        <v>67</v>
      </c>
      <c r="B9" s="1109" t="s">
        <v>114</v>
      </c>
      <c r="C9" s="1109" t="s">
        <v>113</v>
      </c>
      <c r="D9" s="1109" t="s">
        <v>40</v>
      </c>
      <c r="E9" s="1109" t="s">
        <v>58</v>
      </c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129">
        <v>10</v>
      </c>
      <c r="B10" s="132" t="str">
        <f>'BR Parts'!B5</f>
        <v>Front brake disc</v>
      </c>
      <c r="C10" s="100">
        <f>'BR Parts'!N2</f>
        <v>8.1488905000000003</v>
      </c>
      <c r="D10" s="127">
        <f>BR_01001_q</f>
        <v>1</v>
      </c>
      <c r="E10" s="100">
        <f t="shared" ref="E10:E15" si="0">C10*D10</f>
        <v>8.1488905000000003</v>
      </c>
      <c r="F10" s="94"/>
      <c r="G10" s="94"/>
      <c r="H10" s="94"/>
      <c r="I10" s="94"/>
      <c r="J10" s="94"/>
      <c r="K10" s="94"/>
      <c r="L10" s="94"/>
      <c r="M10" s="94"/>
      <c r="N10" s="94"/>
      <c r="O10" s="93"/>
    </row>
    <row r="11" spans="1:15" x14ac:dyDescent="0.25">
      <c r="A11" s="129">
        <v>20</v>
      </c>
      <c r="B11" s="132" t="str">
        <f>'BR Parts'!B25</f>
        <v>Brake shrink disc</v>
      </c>
      <c r="C11" s="100">
        <f>'BR Parts'!N22</f>
        <v>5.1644563450000005</v>
      </c>
      <c r="D11" s="127">
        <f>BR_01002_q</f>
        <v>1</v>
      </c>
      <c r="E11" s="100">
        <f t="shared" si="0"/>
        <v>5.1644563450000005</v>
      </c>
      <c r="F11" s="99"/>
      <c r="G11" s="99"/>
      <c r="H11" s="99"/>
      <c r="I11" s="99"/>
      <c r="J11" s="99"/>
      <c r="K11" s="99"/>
      <c r="L11" s="99"/>
      <c r="M11" s="99"/>
      <c r="N11" s="99"/>
      <c r="O11" s="93"/>
    </row>
    <row r="12" spans="1:15" x14ac:dyDescent="0.25">
      <c r="A12" s="129">
        <v>30</v>
      </c>
      <c r="B12" s="132" t="str">
        <f>'BR Parts'!B45</f>
        <v>Front caliper</v>
      </c>
      <c r="C12" s="100">
        <f>'BR Parts'!N42</f>
        <v>83</v>
      </c>
      <c r="D12" s="127">
        <f>BR_01003_q</f>
        <v>1</v>
      </c>
      <c r="E12" s="100">
        <f t="shared" si="0"/>
        <v>83</v>
      </c>
      <c r="F12" s="99"/>
      <c r="G12" s="99"/>
      <c r="H12" s="99"/>
      <c r="I12" s="99"/>
      <c r="J12" s="99"/>
      <c r="K12" s="99"/>
      <c r="L12" s="99"/>
      <c r="M12" s="99"/>
      <c r="N12" s="99"/>
      <c r="O12" s="131"/>
    </row>
    <row r="13" spans="1:15" s="254" customFormat="1" x14ac:dyDescent="0.25">
      <c r="A13" s="129">
        <v>40</v>
      </c>
      <c r="B13" s="132" t="str">
        <f>'BR Parts'!B66</f>
        <v>Front brake pad</v>
      </c>
      <c r="C13" s="100">
        <f>'BR Parts'!N63</f>
        <v>2.6496</v>
      </c>
      <c r="D13" s="127">
        <f>BR_01004_q</f>
        <v>2</v>
      </c>
      <c r="E13" s="100">
        <f t="shared" si="0"/>
        <v>5.2991999999999999</v>
      </c>
      <c r="F13" s="99"/>
      <c r="G13" s="99"/>
      <c r="H13" s="99"/>
      <c r="I13" s="99"/>
      <c r="J13" s="99"/>
      <c r="K13" s="99"/>
      <c r="L13" s="99"/>
      <c r="M13" s="99"/>
      <c r="N13" s="99"/>
      <c r="O13" s="131"/>
    </row>
    <row r="14" spans="1:15" s="254" customFormat="1" x14ac:dyDescent="0.25">
      <c r="A14" s="129">
        <v>50</v>
      </c>
      <c r="B14" s="132" t="str">
        <f>'BR Parts'!B87</f>
        <v>Front fastening disc L</v>
      </c>
      <c r="C14" s="100">
        <f>'BR Parts'!N84</f>
        <v>1.904507272</v>
      </c>
      <c r="D14" s="127">
        <f>BR_01005_q</f>
        <v>4</v>
      </c>
      <c r="E14" s="100">
        <f t="shared" si="0"/>
        <v>7.6180290880000001</v>
      </c>
      <c r="F14" s="99"/>
      <c r="G14" s="99"/>
      <c r="H14" s="99"/>
      <c r="I14" s="99"/>
      <c r="J14" s="99"/>
      <c r="K14" s="99"/>
      <c r="L14" s="99"/>
      <c r="M14" s="99"/>
      <c r="N14" s="99"/>
      <c r="O14" s="130"/>
    </row>
    <row r="15" spans="1:15" s="254" customFormat="1" x14ac:dyDescent="0.25">
      <c r="A15" s="129">
        <v>60</v>
      </c>
      <c r="B15" s="132" t="str">
        <f>'BR Parts'!B108</f>
        <v>Front fastening disc thin</v>
      </c>
      <c r="C15" s="100">
        <f>'BR Parts'!N105</f>
        <v>1.6336877680000002</v>
      </c>
      <c r="D15" s="127">
        <f>BR_01006_q</f>
        <v>4</v>
      </c>
      <c r="E15" s="100">
        <f t="shared" si="0"/>
        <v>6.5347510720000006</v>
      </c>
      <c r="F15" s="99"/>
      <c r="G15" s="99"/>
      <c r="H15" s="99"/>
      <c r="I15" s="99"/>
      <c r="J15" s="99"/>
      <c r="K15" s="99"/>
      <c r="L15" s="99"/>
      <c r="M15" s="99"/>
      <c r="N15" s="99"/>
      <c r="O15" s="130"/>
    </row>
    <row r="16" spans="1:15" x14ac:dyDescent="0.25">
      <c r="A16" s="107"/>
      <c r="B16" s="94"/>
      <c r="C16" s="94"/>
      <c r="D16" s="1113" t="s">
        <v>58</v>
      </c>
      <c r="E16" s="1112">
        <f>SUM(E10:E15)</f>
        <v>115.765327005</v>
      </c>
      <c r="F16" s="99"/>
      <c r="G16" s="99"/>
      <c r="H16" s="99"/>
      <c r="I16" s="99"/>
      <c r="J16" s="99"/>
      <c r="K16" s="99"/>
      <c r="L16" s="99"/>
      <c r="M16" s="99"/>
      <c r="N16" s="99"/>
      <c r="O16" s="93"/>
    </row>
    <row r="17" spans="1:15" x14ac:dyDescent="0.25">
      <c r="A17" s="107"/>
      <c r="B17" s="94"/>
      <c r="C17" s="94"/>
      <c r="D17" s="94"/>
      <c r="E17" s="94"/>
      <c r="F17" s="94"/>
      <c r="G17" s="94"/>
      <c r="H17" s="94"/>
      <c r="I17" s="94"/>
      <c r="J17" s="94"/>
      <c r="K17" s="94"/>
      <c r="L17" s="94"/>
      <c r="M17" s="94"/>
      <c r="N17" s="94"/>
      <c r="O17" s="93"/>
    </row>
    <row r="18" spans="1:15" s="245" customFormat="1" x14ac:dyDescent="0.25">
      <c r="A18" s="1109" t="s">
        <v>67</v>
      </c>
      <c r="B18" s="1109" t="s">
        <v>106</v>
      </c>
      <c r="C18" s="1109" t="s">
        <v>66</v>
      </c>
      <c r="D18" s="1109" t="s">
        <v>65</v>
      </c>
      <c r="E18" s="1109" t="s">
        <v>64</v>
      </c>
      <c r="F18" s="1109" t="s">
        <v>40</v>
      </c>
      <c r="G18" s="1109" t="s">
        <v>105</v>
      </c>
      <c r="H18" s="1109" t="s">
        <v>104</v>
      </c>
      <c r="I18" s="1109" t="s">
        <v>58</v>
      </c>
      <c r="J18" s="95"/>
      <c r="K18" s="95"/>
      <c r="L18" s="95"/>
      <c r="M18" s="95"/>
      <c r="N18" s="95"/>
      <c r="O18" s="120"/>
    </row>
    <row r="19" spans="1:15" x14ac:dyDescent="0.25">
      <c r="A19" s="282">
        <v>10</v>
      </c>
      <c r="B19" s="282" t="s">
        <v>1814</v>
      </c>
      <c r="C19" s="282" t="s">
        <v>1822</v>
      </c>
      <c r="D19" s="337">
        <v>0.13</v>
      </c>
      <c r="E19" s="282" t="s">
        <v>64</v>
      </c>
      <c r="F19" s="299">
        <v>2</v>
      </c>
      <c r="G19" s="299"/>
      <c r="H19" s="299"/>
      <c r="I19" s="100">
        <f t="shared" ref="I19:I27" si="1">IF(H19="",D19*F19,D19*F19*H19)</f>
        <v>0.26</v>
      </c>
      <c r="J19" s="94"/>
      <c r="K19" s="94"/>
      <c r="L19" s="94"/>
      <c r="M19" s="94"/>
      <c r="N19" s="94"/>
      <c r="O19" s="93"/>
    </row>
    <row r="20" spans="1:15" ht="16.5" customHeight="1" x14ac:dyDescent="0.25">
      <c r="A20" s="282">
        <v>20</v>
      </c>
      <c r="B20" s="309" t="s">
        <v>87</v>
      </c>
      <c r="C20" s="285" t="s">
        <v>1821</v>
      </c>
      <c r="D20" s="1135">
        <v>0.06</v>
      </c>
      <c r="E20" s="309" t="s">
        <v>64</v>
      </c>
      <c r="F20" s="282">
        <v>1</v>
      </c>
      <c r="G20" s="282"/>
      <c r="H20" s="282"/>
      <c r="I20" s="100">
        <f t="shared" si="1"/>
        <v>0.06</v>
      </c>
      <c r="J20" s="94"/>
      <c r="K20" s="94"/>
      <c r="L20" s="94"/>
      <c r="M20" s="94"/>
      <c r="N20" s="94"/>
      <c r="O20" s="93"/>
    </row>
    <row r="21" spans="1:15" ht="15" customHeight="1" x14ac:dyDescent="0.25">
      <c r="A21" s="282">
        <v>30</v>
      </c>
      <c r="B21" s="309" t="s">
        <v>85</v>
      </c>
      <c r="C21" s="282" t="s">
        <v>1820</v>
      </c>
      <c r="D21" s="1134">
        <v>0.75</v>
      </c>
      <c r="E21" s="282" t="s">
        <v>64</v>
      </c>
      <c r="F21" s="282">
        <v>2</v>
      </c>
      <c r="G21" s="282"/>
      <c r="H21" s="282"/>
      <c r="I21" s="100">
        <f t="shared" si="1"/>
        <v>1.5</v>
      </c>
      <c r="J21" s="94"/>
      <c r="K21" s="94"/>
      <c r="L21" s="94"/>
      <c r="M21" s="94"/>
      <c r="N21" s="94"/>
      <c r="O21" s="93"/>
    </row>
    <row r="22" spans="1:15" s="254" customFormat="1" x14ac:dyDescent="0.25">
      <c r="A22" s="282">
        <v>40</v>
      </c>
      <c r="B22" s="315" t="s">
        <v>1814</v>
      </c>
      <c r="C22" s="292" t="s">
        <v>1810</v>
      </c>
      <c r="D22" s="324">
        <v>0.13</v>
      </c>
      <c r="E22" s="315" t="s">
        <v>64</v>
      </c>
      <c r="F22" s="315">
        <v>1</v>
      </c>
      <c r="G22" s="315"/>
      <c r="H22" s="315"/>
      <c r="I22" s="100">
        <f t="shared" si="1"/>
        <v>0.13</v>
      </c>
      <c r="J22" s="99"/>
      <c r="K22" s="99"/>
      <c r="L22" s="99"/>
      <c r="M22" s="99"/>
      <c r="N22" s="99"/>
      <c r="O22" s="130"/>
    </row>
    <row r="23" spans="1:15" s="245" customFormat="1" x14ac:dyDescent="0.25">
      <c r="A23" s="282">
        <v>50</v>
      </c>
      <c r="B23" s="315" t="s">
        <v>1818</v>
      </c>
      <c r="C23" s="292" t="s">
        <v>1819</v>
      </c>
      <c r="D23" s="324">
        <v>0.06</v>
      </c>
      <c r="E23" s="315" t="s">
        <v>64</v>
      </c>
      <c r="F23" s="315">
        <v>4</v>
      </c>
      <c r="G23" s="315"/>
      <c r="H23" s="315"/>
      <c r="I23" s="100">
        <f t="shared" si="1"/>
        <v>0.24</v>
      </c>
      <c r="J23" s="99"/>
      <c r="K23" s="99"/>
      <c r="L23" s="99"/>
      <c r="M23" s="99"/>
      <c r="N23" s="99"/>
      <c r="O23" s="120"/>
    </row>
    <row r="24" spans="1:15" s="254" customFormat="1" x14ac:dyDescent="0.25">
      <c r="A24" s="282">
        <v>60</v>
      </c>
      <c r="B24" s="315" t="s">
        <v>1818</v>
      </c>
      <c r="C24" s="292" t="s">
        <v>1817</v>
      </c>
      <c r="D24" s="324">
        <v>0.06</v>
      </c>
      <c r="E24" s="315" t="s">
        <v>64</v>
      </c>
      <c r="F24" s="315">
        <v>4</v>
      </c>
      <c r="G24" s="315"/>
      <c r="H24" s="315"/>
      <c r="I24" s="100">
        <f t="shared" si="1"/>
        <v>0.24</v>
      </c>
      <c r="J24" s="99"/>
      <c r="K24" s="99"/>
      <c r="L24" s="99"/>
      <c r="M24" s="99"/>
      <c r="N24" s="99"/>
      <c r="O24" s="130"/>
    </row>
    <row r="25" spans="1:15" ht="15.75" customHeight="1" x14ac:dyDescent="0.25">
      <c r="A25" s="282">
        <v>70</v>
      </c>
      <c r="B25" s="309" t="s">
        <v>1816</v>
      </c>
      <c r="C25" s="282" t="s">
        <v>1815</v>
      </c>
      <c r="D25" s="1134">
        <v>0.5</v>
      </c>
      <c r="E25" s="282" t="s">
        <v>64</v>
      </c>
      <c r="F25" s="282">
        <v>4</v>
      </c>
      <c r="G25" s="282"/>
      <c r="H25" s="282"/>
      <c r="I25" s="100">
        <f t="shared" si="1"/>
        <v>2</v>
      </c>
      <c r="J25" s="94"/>
      <c r="K25" s="94"/>
      <c r="L25" s="94"/>
      <c r="M25" s="94"/>
      <c r="N25" s="94"/>
      <c r="O25" s="93"/>
    </row>
    <row r="26" spans="1:15" s="245" customFormat="1" x14ac:dyDescent="0.25">
      <c r="A26" s="228">
        <v>80</v>
      </c>
      <c r="B26" s="1641" t="s">
        <v>1814</v>
      </c>
      <c r="C26" s="228" t="s">
        <v>1813</v>
      </c>
      <c r="D26" s="1642">
        <v>0.13</v>
      </c>
      <c r="E26" s="228" t="s">
        <v>64</v>
      </c>
      <c r="F26" s="228">
        <v>1</v>
      </c>
      <c r="G26" s="228"/>
      <c r="H26" s="228"/>
      <c r="I26" s="220">
        <f t="shared" si="1"/>
        <v>0.13</v>
      </c>
      <c r="J26" s="99"/>
      <c r="K26" s="99"/>
      <c r="L26" s="99"/>
      <c r="M26" s="99"/>
      <c r="N26" s="99"/>
      <c r="O26" s="120"/>
    </row>
    <row r="27" spans="1:15" s="245" customFormat="1" x14ac:dyDescent="0.25">
      <c r="A27" s="1458">
        <v>90</v>
      </c>
      <c r="B27" s="1557" t="s">
        <v>2692</v>
      </c>
      <c r="C27" s="1458" t="s">
        <v>2693</v>
      </c>
      <c r="D27" s="1533">
        <v>0.6</v>
      </c>
      <c r="E27" s="1458" t="s">
        <v>64</v>
      </c>
      <c r="F27" s="1458">
        <v>1</v>
      </c>
      <c r="G27" s="1458"/>
      <c r="H27" s="1458"/>
      <c r="I27" s="1468">
        <f t="shared" si="1"/>
        <v>0.6</v>
      </c>
      <c r="J27" s="99"/>
      <c r="K27" s="99"/>
      <c r="L27" s="99"/>
      <c r="M27" s="99"/>
      <c r="N27" s="99"/>
      <c r="O27" s="120"/>
    </row>
    <row r="28" spans="1:15" x14ac:dyDescent="0.25">
      <c r="A28" s="98"/>
      <c r="B28" s="95"/>
      <c r="C28" s="95"/>
      <c r="D28" s="95"/>
      <c r="E28" s="95"/>
      <c r="F28" s="95"/>
      <c r="G28" s="95"/>
      <c r="H28" s="1105" t="s">
        <v>58</v>
      </c>
      <c r="I28" s="1104">
        <f>SUM(I19:I27)</f>
        <v>5.16</v>
      </c>
      <c r="J28" s="94"/>
      <c r="K28" s="94"/>
      <c r="L28" s="94"/>
      <c r="M28" s="94"/>
      <c r="N28" s="94"/>
      <c r="O28" s="93"/>
    </row>
    <row r="29" spans="1:15" x14ac:dyDescent="0.25">
      <c r="A29" s="107"/>
      <c r="B29" s="94"/>
      <c r="C29" s="94"/>
      <c r="D29" s="94"/>
      <c r="E29" s="94"/>
      <c r="F29" s="94"/>
      <c r="G29" s="94"/>
      <c r="H29" s="94"/>
      <c r="I29" s="94"/>
      <c r="J29" s="94"/>
      <c r="K29" s="94"/>
      <c r="L29" s="94"/>
      <c r="M29" s="94"/>
      <c r="N29" s="94"/>
      <c r="O29" s="93"/>
    </row>
    <row r="30" spans="1:15" x14ac:dyDescent="0.25">
      <c r="A30" s="1109" t="s">
        <v>67</v>
      </c>
      <c r="B30" s="1109" t="s">
        <v>82</v>
      </c>
      <c r="C30" s="1109" t="s">
        <v>66</v>
      </c>
      <c r="D30" s="1109" t="s">
        <v>65</v>
      </c>
      <c r="E30" s="1109" t="s">
        <v>81</v>
      </c>
      <c r="F30" s="1109" t="s">
        <v>80</v>
      </c>
      <c r="G30" s="1109" t="s">
        <v>79</v>
      </c>
      <c r="H30" s="1109" t="s">
        <v>78</v>
      </c>
      <c r="I30" s="1109" t="s">
        <v>40</v>
      </c>
      <c r="J30" s="1109" t="s">
        <v>58</v>
      </c>
      <c r="K30" s="94"/>
      <c r="L30" s="94"/>
      <c r="M30" s="94"/>
      <c r="N30" s="94"/>
      <c r="O30" s="93"/>
    </row>
    <row r="31" spans="1:15" x14ac:dyDescent="0.25">
      <c r="A31" s="129">
        <v>10</v>
      </c>
      <c r="B31" s="129" t="s">
        <v>1812</v>
      </c>
      <c r="C31" s="129" t="s">
        <v>1811</v>
      </c>
      <c r="D31" s="553">
        <v>0.22</v>
      </c>
      <c r="E31" s="552">
        <v>8</v>
      </c>
      <c r="F31" s="552" t="s">
        <v>68</v>
      </c>
      <c r="G31" s="552">
        <v>35</v>
      </c>
      <c r="H31" s="552" t="s">
        <v>68</v>
      </c>
      <c r="I31" s="136">
        <v>2</v>
      </c>
      <c r="J31" s="100">
        <f>I31*D31</f>
        <v>0.44</v>
      </c>
      <c r="K31" s="94"/>
      <c r="L31" s="94"/>
      <c r="M31" s="94"/>
      <c r="N31" s="94"/>
      <c r="O31" s="93"/>
    </row>
    <row r="32" spans="1:15" x14ac:dyDescent="0.25">
      <c r="A32" s="129">
        <v>20</v>
      </c>
      <c r="B32" s="129" t="s">
        <v>74</v>
      </c>
      <c r="C32" s="129" t="s">
        <v>1811</v>
      </c>
      <c r="D32" s="553">
        <v>0.01</v>
      </c>
      <c r="E32" s="129">
        <v>8</v>
      </c>
      <c r="F32" s="1132" t="s">
        <v>68</v>
      </c>
      <c r="G32" s="129"/>
      <c r="H32" s="129"/>
      <c r="I32" s="136">
        <v>2</v>
      </c>
      <c r="J32" s="100">
        <f>I32*D32</f>
        <v>0.02</v>
      </c>
      <c r="K32" s="94"/>
      <c r="L32" s="94"/>
      <c r="M32" s="94"/>
      <c r="N32" s="94"/>
      <c r="O32" s="93"/>
    </row>
    <row r="33" spans="1:15" x14ac:dyDescent="0.25">
      <c r="A33" s="129">
        <v>40</v>
      </c>
      <c r="B33" s="129" t="s">
        <v>184</v>
      </c>
      <c r="C33" s="601" t="s">
        <v>1810</v>
      </c>
      <c r="D33" s="1131">
        <v>0.01</v>
      </c>
      <c r="E33" s="601">
        <v>3</v>
      </c>
      <c r="F33" s="1130" t="s">
        <v>68</v>
      </c>
      <c r="G33" s="601">
        <v>11</v>
      </c>
      <c r="H33" s="601" t="s">
        <v>68</v>
      </c>
      <c r="I33" s="1129">
        <v>4</v>
      </c>
      <c r="J33" s="100">
        <f>I33*D33</f>
        <v>0.04</v>
      </c>
      <c r="K33" s="142"/>
      <c r="L33" s="142"/>
      <c r="M33" s="142"/>
      <c r="N33" s="142"/>
      <c r="O33" s="93"/>
    </row>
    <row r="34" spans="1:15" x14ac:dyDescent="0.25">
      <c r="A34" s="129">
        <v>50</v>
      </c>
      <c r="B34" s="1157" t="s">
        <v>75</v>
      </c>
      <c r="C34" s="601" t="s">
        <v>1810</v>
      </c>
      <c r="D34" s="1131">
        <v>0.02</v>
      </c>
      <c r="E34" s="601">
        <v>3</v>
      </c>
      <c r="F34" s="1130" t="s">
        <v>68</v>
      </c>
      <c r="G34" s="601"/>
      <c r="H34" s="601"/>
      <c r="I34" s="1129">
        <v>4</v>
      </c>
      <c r="J34" s="100">
        <f>I34*D34</f>
        <v>0.08</v>
      </c>
      <c r="K34" s="142"/>
      <c r="L34" s="142"/>
      <c r="M34" s="142"/>
      <c r="N34" s="142"/>
      <c r="O34" s="93"/>
    </row>
    <row r="35" spans="1:15" x14ac:dyDescent="0.25">
      <c r="A35" s="98"/>
      <c r="B35" s="95"/>
      <c r="C35" s="95"/>
      <c r="D35" s="95"/>
      <c r="E35" s="95"/>
      <c r="F35" s="95"/>
      <c r="G35" s="95"/>
      <c r="H35" s="95"/>
      <c r="I35" s="1113" t="s">
        <v>58</v>
      </c>
      <c r="J35" s="1112">
        <f>SUM(J31:J34)</f>
        <v>0.57999999999999996</v>
      </c>
      <c r="K35" s="94"/>
      <c r="L35" s="94"/>
      <c r="M35" s="94"/>
      <c r="N35" s="94"/>
      <c r="O35" s="93"/>
    </row>
    <row r="36" spans="1:15" x14ac:dyDescent="0.25">
      <c r="A36" s="107"/>
      <c r="B36" s="94"/>
      <c r="C36" s="94"/>
      <c r="D36" s="94"/>
      <c r="E36" s="94"/>
      <c r="F36" s="94"/>
      <c r="G36" s="94"/>
      <c r="H36" s="94"/>
      <c r="I36" s="94"/>
      <c r="J36" s="94"/>
      <c r="K36" s="94"/>
      <c r="L36" s="94"/>
      <c r="M36" s="94"/>
      <c r="N36" s="94"/>
      <c r="O36" s="93"/>
    </row>
    <row r="37" spans="1:15" ht="15.75" thickBot="1" x14ac:dyDescent="0.3">
      <c r="A37" s="92"/>
      <c r="B37" s="91"/>
      <c r="C37" s="91"/>
      <c r="D37" s="91"/>
      <c r="E37" s="91"/>
      <c r="F37" s="91"/>
      <c r="G37" s="91"/>
      <c r="H37" s="91"/>
      <c r="I37" s="91"/>
      <c r="J37" s="91"/>
      <c r="K37" s="91"/>
      <c r="L37" s="91"/>
      <c r="M37" s="91"/>
      <c r="N37" s="91"/>
      <c r="O37" s="90"/>
    </row>
    <row r="38" spans="1:15" ht="15.75" thickBot="1" x14ac:dyDescent="0.3">
      <c r="A38" s="94"/>
      <c r="B38" s="94"/>
      <c r="C38" s="94"/>
      <c r="D38" s="94"/>
      <c r="E38" s="94"/>
      <c r="F38" s="94"/>
      <c r="G38" s="94"/>
      <c r="H38" s="94"/>
      <c r="I38" s="94"/>
      <c r="J38" s="94"/>
      <c r="K38" s="94"/>
      <c r="L38" s="94"/>
      <c r="M38" s="94"/>
      <c r="N38" s="94"/>
    </row>
    <row r="39" spans="1:15" x14ac:dyDescent="0.25">
      <c r="A39" s="141"/>
      <c r="B39" s="140"/>
      <c r="C39" s="140"/>
      <c r="D39" s="140"/>
      <c r="E39" s="140"/>
      <c r="F39" s="140"/>
      <c r="G39" s="140"/>
      <c r="H39" s="140"/>
      <c r="I39" s="140"/>
      <c r="J39" s="140"/>
      <c r="K39" s="140"/>
      <c r="L39" s="140"/>
      <c r="M39" s="140"/>
      <c r="N39" s="140"/>
      <c r="O39" s="139"/>
    </row>
    <row r="40" spans="1:15" x14ac:dyDescent="0.25">
      <c r="A40" s="1109" t="s">
        <v>57</v>
      </c>
      <c r="B40" s="133" t="s">
        <v>127</v>
      </c>
      <c r="C40" s="94"/>
      <c r="D40" s="94"/>
      <c r="E40" s="94"/>
      <c r="F40" s="94"/>
      <c r="G40" s="94"/>
      <c r="H40" s="94"/>
      <c r="I40" s="94"/>
      <c r="J40" s="1109" t="s">
        <v>51</v>
      </c>
      <c r="K40" s="138">
        <v>81</v>
      </c>
      <c r="L40" s="94"/>
      <c r="M40" s="1109" t="s">
        <v>126</v>
      </c>
      <c r="N40" s="137">
        <f>E54+BR_A0002_p+BR_A0002_f</f>
        <v>163.37012700500003</v>
      </c>
      <c r="O40" s="93"/>
    </row>
    <row r="41" spans="1:15" x14ac:dyDescent="0.25">
      <c r="A41" s="1109" t="s">
        <v>125</v>
      </c>
      <c r="B41" s="133" t="s">
        <v>11</v>
      </c>
      <c r="C41" s="94"/>
      <c r="D41" s="94"/>
      <c r="E41" s="94"/>
      <c r="F41" s="94"/>
      <c r="G41" s="94"/>
      <c r="H41" s="94"/>
      <c r="I41" s="94"/>
      <c r="J41" s="94"/>
      <c r="K41" s="94"/>
      <c r="L41" s="94"/>
      <c r="M41" s="1109" t="s">
        <v>124</v>
      </c>
      <c r="N41" s="136">
        <v>2</v>
      </c>
      <c r="O41" s="93"/>
    </row>
    <row r="42" spans="1:15" x14ac:dyDescent="0.25">
      <c r="A42" s="1109" t="s">
        <v>123</v>
      </c>
      <c r="B42" s="99" t="s">
        <v>1824</v>
      </c>
      <c r="C42" s="94"/>
      <c r="D42" s="94"/>
      <c r="E42" s="94"/>
      <c r="F42" s="94"/>
      <c r="G42" s="94"/>
      <c r="H42" s="94"/>
      <c r="I42" s="94"/>
      <c r="J42" s="1128" t="s">
        <v>122</v>
      </c>
      <c r="K42" s="94"/>
      <c r="L42" s="94"/>
      <c r="M42" s="94"/>
      <c r="N42" s="94"/>
      <c r="O42" s="93"/>
    </row>
    <row r="43" spans="1:15" x14ac:dyDescent="0.25">
      <c r="A43" s="1109" t="s">
        <v>121</v>
      </c>
      <c r="B43" s="135" t="s">
        <v>1823</v>
      </c>
      <c r="C43" s="94"/>
      <c r="D43" s="94"/>
      <c r="E43" s="94"/>
      <c r="F43" s="94"/>
      <c r="G43" s="94"/>
      <c r="H43" s="94"/>
      <c r="I43" s="94"/>
      <c r="J43" s="1128" t="s">
        <v>119</v>
      </c>
      <c r="K43" s="94"/>
      <c r="L43" s="94"/>
      <c r="M43" s="1109" t="s">
        <v>118</v>
      </c>
      <c r="N43" s="100">
        <f>N40*N41</f>
        <v>326.74025401000006</v>
      </c>
      <c r="O43" s="93"/>
    </row>
    <row r="44" spans="1:15" x14ac:dyDescent="0.25">
      <c r="A44" s="1109" t="s">
        <v>117</v>
      </c>
      <c r="B44" s="133" t="s">
        <v>23</v>
      </c>
      <c r="C44" s="94"/>
      <c r="D44" s="94"/>
      <c r="E44" s="94"/>
      <c r="F44" s="94"/>
      <c r="G44" s="94"/>
      <c r="H44" s="94"/>
      <c r="I44" s="94"/>
      <c r="J44" s="1128" t="s">
        <v>116</v>
      </c>
      <c r="K44" s="94"/>
      <c r="L44" s="94"/>
      <c r="M44" s="94"/>
      <c r="N44" s="94"/>
      <c r="O44" s="93"/>
    </row>
    <row r="45" spans="1:15" x14ac:dyDescent="0.25">
      <c r="A45" s="1109" t="s">
        <v>115</v>
      </c>
      <c r="B45" s="133"/>
      <c r="C45" s="94"/>
      <c r="D45" s="94"/>
      <c r="E45" s="94"/>
      <c r="F45" s="94"/>
      <c r="G45" s="94"/>
      <c r="H45" s="94"/>
      <c r="I45" s="94"/>
      <c r="J45" s="94"/>
      <c r="K45" s="94"/>
      <c r="L45" s="94"/>
      <c r="M45" s="94"/>
      <c r="N45" s="94"/>
      <c r="O45" s="93"/>
    </row>
    <row r="46" spans="1:15" x14ac:dyDescent="0.25">
      <c r="A46" s="107"/>
      <c r="B46" s="94"/>
      <c r="C46" s="94"/>
      <c r="D46" s="94"/>
      <c r="E46" s="94"/>
      <c r="F46" s="94"/>
      <c r="G46" s="94"/>
      <c r="H46" s="94"/>
      <c r="I46" s="94"/>
      <c r="J46" s="94"/>
      <c r="K46" s="94"/>
      <c r="L46" s="94"/>
      <c r="M46" s="94"/>
      <c r="N46" s="94"/>
      <c r="O46" s="93"/>
    </row>
    <row r="47" spans="1:15" x14ac:dyDescent="0.25">
      <c r="A47" s="1109" t="s">
        <v>67</v>
      </c>
      <c r="B47" s="1109" t="s">
        <v>114</v>
      </c>
      <c r="C47" s="1109" t="s">
        <v>113</v>
      </c>
      <c r="D47" s="1109" t="s">
        <v>40</v>
      </c>
      <c r="E47" s="1109" t="s">
        <v>58</v>
      </c>
      <c r="F47" s="94"/>
      <c r="G47" s="94"/>
      <c r="H47" s="94"/>
      <c r="I47" s="94"/>
      <c r="J47" s="94"/>
      <c r="K47" s="94"/>
      <c r="L47" s="94"/>
      <c r="M47" s="94"/>
      <c r="N47" s="94"/>
      <c r="O47" s="93"/>
    </row>
    <row r="48" spans="1:15" x14ac:dyDescent="0.25">
      <c r="A48" s="129">
        <v>10</v>
      </c>
      <c r="B48" s="132" t="str">
        <f>'BR Parts'!B129</f>
        <v>Rear Brake disc</v>
      </c>
      <c r="C48" s="100">
        <f>'BR Parts'!N126</f>
        <v>8.1488905000000003</v>
      </c>
      <c r="D48" s="127">
        <f>BR_02001_q</f>
        <v>1</v>
      </c>
      <c r="E48" s="100">
        <f t="shared" ref="E48:E53" si="2">C48*D48</f>
        <v>8.1488905000000003</v>
      </c>
      <c r="F48" s="94"/>
      <c r="G48" s="94"/>
      <c r="H48" s="94"/>
      <c r="I48" s="94"/>
      <c r="J48" s="94"/>
      <c r="K48" s="94"/>
      <c r="L48" s="94"/>
      <c r="M48" s="94"/>
      <c r="N48" s="94"/>
      <c r="O48" s="93"/>
    </row>
    <row r="49" spans="1:15" x14ac:dyDescent="0.25">
      <c r="A49" s="129">
        <v>20</v>
      </c>
      <c r="B49" s="132" t="str">
        <f>'BR Parts'!B149</f>
        <v>Brake shrink disc rear</v>
      </c>
      <c r="C49" s="100">
        <f>'BR Parts'!N146</f>
        <v>5.1644563450000005</v>
      </c>
      <c r="D49" s="127">
        <f>BR_02002_q</f>
        <v>1</v>
      </c>
      <c r="E49" s="100">
        <f t="shared" si="2"/>
        <v>5.1644563450000005</v>
      </c>
      <c r="F49" s="99"/>
      <c r="G49" s="99"/>
      <c r="H49" s="99"/>
      <c r="I49" s="99"/>
      <c r="J49" s="99"/>
      <c r="K49" s="99"/>
      <c r="L49" s="99"/>
      <c r="M49" s="99"/>
      <c r="N49" s="99"/>
      <c r="O49" s="93"/>
    </row>
    <row r="50" spans="1:15" x14ac:dyDescent="0.25">
      <c r="A50" s="129">
        <v>30</v>
      </c>
      <c r="B50" s="132" t="str">
        <f>'BR Parts'!B169</f>
        <v>Rear caliper</v>
      </c>
      <c r="C50" s="100">
        <f>'BR Parts'!N166</f>
        <v>112.5</v>
      </c>
      <c r="D50" s="127">
        <f>BR_02003_q</f>
        <v>1</v>
      </c>
      <c r="E50" s="100">
        <f t="shared" si="2"/>
        <v>112.5</v>
      </c>
      <c r="F50" s="99"/>
      <c r="G50" s="99"/>
      <c r="H50" s="99"/>
      <c r="I50" s="99"/>
      <c r="J50" s="99"/>
      <c r="K50" s="99"/>
      <c r="L50" s="99"/>
      <c r="M50" s="99"/>
      <c r="N50" s="99"/>
      <c r="O50" s="131"/>
    </row>
    <row r="51" spans="1:15" x14ac:dyDescent="0.25">
      <c r="A51" s="129">
        <v>40</v>
      </c>
      <c r="B51" s="132" t="str">
        <f>'BR Parts'!B190</f>
        <v>Rear brake pad</v>
      </c>
      <c r="C51" s="100">
        <f>'BR Parts'!N187</f>
        <v>8.831999999999999</v>
      </c>
      <c r="D51" s="127">
        <f>BR_02004_q</f>
        <v>2</v>
      </c>
      <c r="E51" s="100">
        <f t="shared" si="2"/>
        <v>17.663999999999998</v>
      </c>
      <c r="F51" s="99"/>
      <c r="G51" s="99"/>
      <c r="H51" s="99"/>
      <c r="I51" s="99"/>
      <c r="J51" s="99"/>
      <c r="K51" s="99"/>
      <c r="L51" s="99"/>
      <c r="M51" s="99"/>
      <c r="N51" s="99"/>
      <c r="O51" s="131"/>
    </row>
    <row r="52" spans="1:15" x14ac:dyDescent="0.25">
      <c r="A52" s="129">
        <v>50</v>
      </c>
      <c r="B52" s="132" t="str">
        <f>'BR Parts'!B211</f>
        <v>Rear fastening disc L</v>
      </c>
      <c r="C52" s="100">
        <f>'BR Parts'!N208</f>
        <v>1.904507272</v>
      </c>
      <c r="D52" s="127">
        <f>BR_02005_q</f>
        <v>4</v>
      </c>
      <c r="E52" s="100">
        <f t="shared" si="2"/>
        <v>7.6180290880000001</v>
      </c>
      <c r="F52" s="99"/>
      <c r="G52" s="99"/>
      <c r="H52" s="99"/>
      <c r="I52" s="99"/>
      <c r="J52" s="99"/>
      <c r="K52" s="99"/>
      <c r="L52" s="99"/>
      <c r="M52" s="99"/>
      <c r="N52" s="99"/>
      <c r="O52" s="130"/>
    </row>
    <row r="53" spans="1:15" x14ac:dyDescent="0.25">
      <c r="A53" s="129">
        <v>60</v>
      </c>
      <c r="B53" s="132" t="str">
        <f>'BR Parts'!B232</f>
        <v>Rear fastening disc thin</v>
      </c>
      <c r="C53" s="100">
        <f>'BR Parts'!N229</f>
        <v>1.6336877680000002</v>
      </c>
      <c r="D53" s="127">
        <f>BR_02006_q</f>
        <v>4</v>
      </c>
      <c r="E53" s="100">
        <f t="shared" si="2"/>
        <v>6.5347510720000006</v>
      </c>
      <c r="F53" s="99"/>
      <c r="G53" s="99"/>
      <c r="H53" s="99"/>
      <c r="I53" s="99"/>
      <c r="J53" s="99"/>
      <c r="K53" s="99"/>
      <c r="L53" s="99"/>
      <c r="M53" s="99"/>
      <c r="N53" s="99"/>
      <c r="O53" s="130"/>
    </row>
    <row r="54" spans="1:15" x14ac:dyDescent="0.25">
      <c r="A54" s="107"/>
      <c r="B54" s="94"/>
      <c r="C54" s="94"/>
      <c r="D54" s="1113" t="s">
        <v>58</v>
      </c>
      <c r="E54" s="1112">
        <f>SUM(E48:E53)</f>
        <v>157.63012700500002</v>
      </c>
      <c r="F54" s="99"/>
      <c r="G54" s="99"/>
      <c r="H54" s="99"/>
      <c r="I54" s="99"/>
      <c r="J54" s="99"/>
      <c r="K54" s="99"/>
      <c r="L54" s="99"/>
      <c r="M54" s="99"/>
      <c r="N54" s="99"/>
      <c r="O54" s="93"/>
    </row>
    <row r="55" spans="1:15" x14ac:dyDescent="0.25">
      <c r="A55" s="107"/>
      <c r="B55" s="94"/>
      <c r="C55" s="94"/>
      <c r="D55" s="94"/>
      <c r="E55" s="94"/>
      <c r="F55" s="94"/>
      <c r="G55" s="94"/>
      <c r="H55" s="94"/>
      <c r="I55" s="94"/>
      <c r="J55" s="94"/>
      <c r="K55" s="94"/>
      <c r="L55" s="94"/>
      <c r="M55" s="94"/>
      <c r="N55" s="94"/>
      <c r="O55" s="93"/>
    </row>
    <row r="56" spans="1:15" x14ac:dyDescent="0.25">
      <c r="A56" s="1109" t="s">
        <v>67</v>
      </c>
      <c r="B56" s="1109" t="s">
        <v>106</v>
      </c>
      <c r="C56" s="1109" t="s">
        <v>66</v>
      </c>
      <c r="D56" s="1109" t="s">
        <v>65</v>
      </c>
      <c r="E56" s="1109" t="s">
        <v>64</v>
      </c>
      <c r="F56" s="1109" t="s">
        <v>40</v>
      </c>
      <c r="G56" s="1109" t="s">
        <v>105</v>
      </c>
      <c r="H56" s="1109" t="s">
        <v>104</v>
      </c>
      <c r="I56" s="1109" t="s">
        <v>58</v>
      </c>
      <c r="J56" s="95"/>
      <c r="K56" s="95"/>
      <c r="L56" s="95"/>
      <c r="M56" s="95"/>
      <c r="N56" s="95"/>
      <c r="O56" s="120"/>
    </row>
    <row r="57" spans="1:15" x14ac:dyDescent="0.25">
      <c r="A57" s="282">
        <v>10</v>
      </c>
      <c r="B57" s="282" t="s">
        <v>1814</v>
      </c>
      <c r="C57" s="282" t="s">
        <v>1822</v>
      </c>
      <c r="D57" s="337">
        <v>0.13</v>
      </c>
      <c r="E57" s="315" t="s">
        <v>64</v>
      </c>
      <c r="F57" s="299">
        <v>2</v>
      </c>
      <c r="G57" s="299"/>
      <c r="H57" s="299"/>
      <c r="I57" s="100">
        <f t="shared" ref="I57:I65" si="3">IF(H57="",D57*F57,D57*F57*H57)</f>
        <v>0.26</v>
      </c>
      <c r="J57" s="94"/>
      <c r="K57" s="94"/>
      <c r="L57" s="94"/>
      <c r="M57" s="94"/>
      <c r="N57" s="94"/>
      <c r="O57" s="93"/>
    </row>
    <row r="58" spans="1:15" x14ac:dyDescent="0.25">
      <c r="A58" s="282">
        <v>20</v>
      </c>
      <c r="B58" s="309" t="s">
        <v>87</v>
      </c>
      <c r="C58" s="285" t="s">
        <v>1821</v>
      </c>
      <c r="D58" s="1135">
        <v>0.06</v>
      </c>
      <c r="E58" s="315" t="s">
        <v>64</v>
      </c>
      <c r="F58" s="282">
        <v>1</v>
      </c>
      <c r="G58" s="282"/>
      <c r="H58" s="282"/>
      <c r="I58" s="100">
        <f t="shared" si="3"/>
        <v>0.06</v>
      </c>
      <c r="J58" s="94"/>
      <c r="K58" s="94"/>
      <c r="L58" s="94"/>
      <c r="M58" s="94"/>
      <c r="N58" s="94"/>
      <c r="O58" s="93"/>
    </row>
    <row r="59" spans="1:15" x14ac:dyDescent="0.25">
      <c r="A59" s="282">
        <v>30</v>
      </c>
      <c r="B59" s="309" t="s">
        <v>85</v>
      </c>
      <c r="C59" s="282" t="s">
        <v>1820</v>
      </c>
      <c r="D59" s="1134">
        <v>0.75</v>
      </c>
      <c r="E59" s="315" t="s">
        <v>64</v>
      </c>
      <c r="F59" s="282">
        <v>2</v>
      </c>
      <c r="G59" s="282"/>
      <c r="H59" s="282"/>
      <c r="I59" s="100">
        <f t="shared" si="3"/>
        <v>1.5</v>
      </c>
      <c r="J59" s="94"/>
      <c r="K59" s="94"/>
      <c r="L59" s="94"/>
      <c r="M59" s="94"/>
      <c r="N59" s="94"/>
      <c r="O59" s="93"/>
    </row>
    <row r="60" spans="1:15" s="254" customFormat="1" x14ac:dyDescent="0.25">
      <c r="A60" s="282">
        <v>40</v>
      </c>
      <c r="B60" s="315" t="s">
        <v>1814</v>
      </c>
      <c r="C60" s="292" t="s">
        <v>1810</v>
      </c>
      <c r="D60" s="324">
        <v>0.13</v>
      </c>
      <c r="E60" s="315" t="s">
        <v>64</v>
      </c>
      <c r="F60" s="315">
        <v>1</v>
      </c>
      <c r="G60" s="315"/>
      <c r="H60" s="315"/>
      <c r="I60" s="100">
        <f t="shared" si="3"/>
        <v>0.13</v>
      </c>
      <c r="J60" s="99"/>
      <c r="K60" s="99"/>
      <c r="L60" s="99"/>
      <c r="M60" s="99"/>
      <c r="N60" s="99"/>
      <c r="O60" s="130"/>
    </row>
    <row r="61" spans="1:15" s="245" customFormat="1" x14ac:dyDescent="0.25">
      <c r="A61" s="282">
        <v>50</v>
      </c>
      <c r="B61" s="315" t="s">
        <v>1818</v>
      </c>
      <c r="C61" s="292" t="s">
        <v>1819</v>
      </c>
      <c r="D61" s="324">
        <v>0.06</v>
      </c>
      <c r="E61" s="315" t="s">
        <v>64</v>
      </c>
      <c r="F61" s="315">
        <v>4</v>
      </c>
      <c r="G61" s="315"/>
      <c r="H61" s="315"/>
      <c r="I61" s="100">
        <f t="shared" si="3"/>
        <v>0.24</v>
      </c>
      <c r="J61" s="99"/>
      <c r="K61" s="99"/>
      <c r="L61" s="99"/>
      <c r="M61" s="99"/>
      <c r="N61" s="99"/>
      <c r="O61" s="120"/>
    </row>
    <row r="62" spans="1:15" s="254" customFormat="1" x14ac:dyDescent="0.25">
      <c r="A62" s="282">
        <v>60</v>
      </c>
      <c r="B62" s="315" t="s">
        <v>1818</v>
      </c>
      <c r="C62" s="292" t="s">
        <v>1817</v>
      </c>
      <c r="D62" s="324">
        <v>0.06</v>
      </c>
      <c r="E62" s="315" t="s">
        <v>64</v>
      </c>
      <c r="F62" s="315">
        <v>4</v>
      </c>
      <c r="G62" s="315"/>
      <c r="H62" s="315"/>
      <c r="I62" s="100">
        <f t="shared" si="3"/>
        <v>0.24</v>
      </c>
      <c r="J62" s="99"/>
      <c r="K62" s="99"/>
      <c r="L62" s="99"/>
      <c r="M62" s="99"/>
      <c r="N62" s="99"/>
      <c r="O62" s="130"/>
    </row>
    <row r="63" spans="1:15" x14ac:dyDescent="0.25">
      <c r="A63" s="282">
        <v>70</v>
      </c>
      <c r="B63" s="309" t="s">
        <v>1816</v>
      </c>
      <c r="C63" s="282" t="s">
        <v>1815</v>
      </c>
      <c r="D63" s="1134">
        <v>0.5</v>
      </c>
      <c r="E63" s="315" t="s">
        <v>64</v>
      </c>
      <c r="F63" s="1133">
        <v>4</v>
      </c>
      <c r="G63" s="1133"/>
      <c r="H63" s="1133"/>
      <c r="I63" s="100">
        <f t="shared" si="3"/>
        <v>2</v>
      </c>
      <c r="J63" s="94"/>
      <c r="K63" s="94"/>
      <c r="L63" s="94"/>
      <c r="M63" s="94"/>
      <c r="N63" s="94"/>
      <c r="O63" s="93"/>
    </row>
    <row r="64" spans="1:15" s="245" customFormat="1" x14ac:dyDescent="0.25">
      <c r="A64" s="228">
        <v>80</v>
      </c>
      <c r="B64" s="1641" t="s">
        <v>1814</v>
      </c>
      <c r="C64" s="228" t="s">
        <v>1813</v>
      </c>
      <c r="D64" s="1642">
        <v>0.13</v>
      </c>
      <c r="E64" s="228" t="s">
        <v>64</v>
      </c>
      <c r="F64" s="228">
        <v>1</v>
      </c>
      <c r="G64" s="228"/>
      <c r="H64" s="228"/>
      <c r="I64" s="220">
        <f t="shared" si="3"/>
        <v>0.13</v>
      </c>
      <c r="J64" s="99"/>
      <c r="K64" s="99"/>
      <c r="L64" s="99"/>
      <c r="M64" s="99"/>
      <c r="N64" s="99"/>
      <c r="O64" s="120"/>
    </row>
    <row r="65" spans="1:15" s="245" customFormat="1" x14ac:dyDescent="0.25">
      <c r="A65" s="1458">
        <v>90</v>
      </c>
      <c r="B65" s="1557" t="s">
        <v>2692</v>
      </c>
      <c r="C65" s="1458" t="s">
        <v>2693</v>
      </c>
      <c r="D65" s="1533">
        <v>0.6</v>
      </c>
      <c r="E65" s="1458" t="s">
        <v>64</v>
      </c>
      <c r="F65" s="1458">
        <v>1</v>
      </c>
      <c r="G65" s="1458"/>
      <c r="H65" s="1458"/>
      <c r="I65" s="1468">
        <f t="shared" si="3"/>
        <v>0.6</v>
      </c>
      <c r="J65" s="99"/>
      <c r="K65" s="99"/>
      <c r="L65" s="99"/>
      <c r="M65" s="99"/>
      <c r="N65" s="99"/>
      <c r="O65" s="120"/>
    </row>
    <row r="66" spans="1:15" x14ac:dyDescent="0.25">
      <c r="A66" s="98"/>
      <c r="B66" s="95"/>
      <c r="C66" s="95"/>
      <c r="D66" s="95"/>
      <c r="E66" s="95"/>
      <c r="F66" s="95"/>
      <c r="G66" s="95"/>
      <c r="H66" s="1105" t="s">
        <v>58</v>
      </c>
      <c r="I66" s="1104">
        <f>SUM(I57:I65)</f>
        <v>5.16</v>
      </c>
      <c r="J66" s="94"/>
      <c r="K66" s="94"/>
      <c r="L66" s="94"/>
      <c r="M66" s="94"/>
      <c r="N66" s="94"/>
      <c r="O66" s="93"/>
    </row>
    <row r="67" spans="1:15" x14ac:dyDescent="0.25">
      <c r="A67" s="107"/>
      <c r="B67" s="94"/>
      <c r="C67" s="94"/>
      <c r="D67" s="94"/>
      <c r="E67" s="94"/>
      <c r="F67" s="94"/>
      <c r="G67" s="94"/>
      <c r="H67" s="94"/>
      <c r="I67" s="94"/>
      <c r="J67" s="94"/>
      <c r="K67" s="94"/>
      <c r="L67" s="94"/>
      <c r="M67" s="94"/>
      <c r="N67" s="94"/>
      <c r="O67" s="93"/>
    </row>
    <row r="68" spans="1:15" x14ac:dyDescent="0.25">
      <c r="A68" s="1109" t="s">
        <v>67</v>
      </c>
      <c r="B68" s="1109" t="s">
        <v>82</v>
      </c>
      <c r="C68" s="1109" t="s">
        <v>66</v>
      </c>
      <c r="D68" s="1109" t="s">
        <v>65</v>
      </c>
      <c r="E68" s="1109" t="s">
        <v>81</v>
      </c>
      <c r="F68" s="1109" t="s">
        <v>80</v>
      </c>
      <c r="G68" s="1109" t="s">
        <v>79</v>
      </c>
      <c r="H68" s="1109" t="s">
        <v>78</v>
      </c>
      <c r="I68" s="1109" t="s">
        <v>40</v>
      </c>
      <c r="J68" s="1109" t="s">
        <v>58</v>
      </c>
      <c r="K68" s="94"/>
      <c r="L68" s="94"/>
      <c r="M68" s="94"/>
      <c r="N68" s="94"/>
      <c r="O68" s="93"/>
    </row>
    <row r="69" spans="1:15" x14ac:dyDescent="0.25">
      <c r="A69" s="129">
        <v>10</v>
      </c>
      <c r="B69" s="129" t="s">
        <v>1812</v>
      </c>
      <c r="C69" s="129" t="s">
        <v>1811</v>
      </c>
      <c r="D69" s="553">
        <v>0.22</v>
      </c>
      <c r="E69" s="552">
        <v>8</v>
      </c>
      <c r="F69" s="552" t="s">
        <v>68</v>
      </c>
      <c r="G69" s="552">
        <v>35</v>
      </c>
      <c r="H69" s="552" t="s">
        <v>68</v>
      </c>
      <c r="I69" s="136">
        <v>2</v>
      </c>
      <c r="J69" s="100">
        <f>I69*D69</f>
        <v>0.44</v>
      </c>
      <c r="K69" s="94"/>
      <c r="L69" s="94"/>
      <c r="M69" s="94"/>
      <c r="N69" s="94"/>
      <c r="O69" s="93"/>
    </row>
    <row r="70" spans="1:15" x14ac:dyDescent="0.25">
      <c r="A70" s="129">
        <v>20</v>
      </c>
      <c r="B70" s="129" t="s">
        <v>74</v>
      </c>
      <c r="C70" s="129" t="s">
        <v>1811</v>
      </c>
      <c r="D70" s="553">
        <v>0.01</v>
      </c>
      <c r="E70" s="129">
        <v>8</v>
      </c>
      <c r="F70" s="1132" t="s">
        <v>68</v>
      </c>
      <c r="G70" s="129"/>
      <c r="H70" s="129"/>
      <c r="I70" s="136">
        <v>2</v>
      </c>
      <c r="J70" s="100">
        <f>I70*D70</f>
        <v>0.02</v>
      </c>
      <c r="K70" s="94"/>
      <c r="L70" s="94"/>
      <c r="M70" s="94"/>
      <c r="N70" s="94"/>
      <c r="O70" s="93"/>
    </row>
    <row r="71" spans="1:15" x14ac:dyDescent="0.25">
      <c r="A71" s="129">
        <v>30</v>
      </c>
      <c r="B71" s="129" t="s">
        <v>184</v>
      </c>
      <c r="C71" s="601" t="s">
        <v>1810</v>
      </c>
      <c r="D71" s="1131">
        <v>0.01</v>
      </c>
      <c r="E71" s="601">
        <v>3</v>
      </c>
      <c r="F71" s="1130" t="s">
        <v>68</v>
      </c>
      <c r="G71" s="601">
        <v>11</v>
      </c>
      <c r="H71" s="601" t="s">
        <v>68</v>
      </c>
      <c r="I71" s="1129">
        <v>4</v>
      </c>
      <c r="J71" s="100">
        <f>I71*D71</f>
        <v>0.04</v>
      </c>
      <c r="K71" s="142"/>
      <c r="L71" s="142"/>
      <c r="M71" s="142"/>
      <c r="N71" s="142"/>
      <c r="O71" s="93"/>
    </row>
    <row r="72" spans="1:15" x14ac:dyDescent="0.25">
      <c r="A72" s="129">
        <v>40</v>
      </c>
      <c r="B72" s="1157" t="s">
        <v>75</v>
      </c>
      <c r="C72" s="601" t="s">
        <v>1810</v>
      </c>
      <c r="D72" s="1131">
        <v>0.02</v>
      </c>
      <c r="E72" s="601">
        <v>3</v>
      </c>
      <c r="F72" s="1130" t="s">
        <v>68</v>
      </c>
      <c r="G72" s="601"/>
      <c r="H72" s="601"/>
      <c r="I72" s="1129">
        <v>4</v>
      </c>
      <c r="J72" s="100">
        <f>I72*D72</f>
        <v>0.08</v>
      </c>
      <c r="K72" s="142"/>
      <c r="L72" s="142"/>
      <c r="M72" s="142"/>
      <c r="N72" s="142"/>
      <c r="O72" s="93"/>
    </row>
    <row r="73" spans="1:15" x14ac:dyDescent="0.25">
      <c r="A73" s="98"/>
      <c r="B73" s="95"/>
      <c r="C73" s="95"/>
      <c r="D73" s="95"/>
      <c r="E73" s="95"/>
      <c r="F73" s="95"/>
      <c r="G73" s="95"/>
      <c r="H73" s="95"/>
      <c r="I73" s="1113" t="s">
        <v>58</v>
      </c>
      <c r="J73" s="1112">
        <f>SUM(J69:J72)</f>
        <v>0.57999999999999996</v>
      </c>
      <c r="K73" s="94"/>
      <c r="L73" s="94"/>
      <c r="M73" s="94"/>
      <c r="N73" s="94"/>
      <c r="O73" s="93"/>
    </row>
    <row r="74" spans="1:15" x14ac:dyDescent="0.25">
      <c r="A74" s="107"/>
      <c r="B74" s="94"/>
      <c r="C74" s="94"/>
      <c r="D74" s="94"/>
      <c r="E74" s="94"/>
      <c r="F74" s="94"/>
      <c r="G74" s="94"/>
      <c r="H74" s="94"/>
      <c r="I74" s="94"/>
      <c r="J74" s="94"/>
      <c r="K74" s="94"/>
      <c r="L74" s="94"/>
      <c r="M74" s="94"/>
      <c r="N74" s="94"/>
      <c r="O74" s="93"/>
    </row>
    <row r="75" spans="1:15" ht="15.75" thickBot="1" x14ac:dyDescent="0.3">
      <c r="A75" s="92"/>
      <c r="B75" s="91"/>
      <c r="C75" s="91"/>
      <c r="D75" s="91"/>
      <c r="E75" s="91"/>
      <c r="F75" s="91"/>
      <c r="G75" s="91"/>
      <c r="H75" s="91"/>
      <c r="I75" s="91"/>
      <c r="J75" s="91"/>
      <c r="K75" s="91"/>
      <c r="L75" s="91"/>
      <c r="M75" s="91"/>
      <c r="N75" s="91"/>
      <c r="O75" s="90"/>
    </row>
    <row r="76" spans="1:15" ht="15.75" thickBot="1" x14ac:dyDescent="0.3">
      <c r="A76" s="107"/>
      <c r="B76" s="94"/>
      <c r="C76" s="94"/>
      <c r="D76" s="94"/>
      <c r="E76" s="94"/>
      <c r="F76" s="94"/>
      <c r="G76" s="94"/>
      <c r="H76" s="94"/>
      <c r="I76" s="94"/>
      <c r="J76" s="94"/>
      <c r="K76" s="94"/>
      <c r="L76" s="94"/>
      <c r="M76" s="94"/>
      <c r="N76" s="94"/>
      <c r="O76" s="93"/>
    </row>
    <row r="77" spans="1:15" x14ac:dyDescent="0.25">
      <c r="A77" s="600"/>
      <c r="B77" s="599"/>
      <c r="C77" s="599"/>
      <c r="D77" s="599"/>
      <c r="E77" s="599"/>
      <c r="F77" s="599"/>
      <c r="G77" s="599"/>
      <c r="H77" s="599"/>
      <c r="I77" s="599"/>
      <c r="J77" s="599"/>
      <c r="K77" s="599"/>
      <c r="L77" s="599"/>
      <c r="M77" s="599"/>
      <c r="N77" s="599"/>
      <c r="O77" s="598"/>
    </row>
    <row r="78" spans="1:15" x14ac:dyDescent="0.25">
      <c r="A78" s="1110" t="s">
        <v>57</v>
      </c>
      <c r="B78" s="133" t="s">
        <v>127</v>
      </c>
      <c r="C78" s="94"/>
      <c r="D78" s="94"/>
      <c r="E78" s="94"/>
      <c r="F78" s="94"/>
      <c r="G78" s="94"/>
      <c r="H78" s="94"/>
      <c r="I78" s="94"/>
      <c r="J78" s="1109" t="s">
        <v>51</v>
      </c>
      <c r="K78" s="138">
        <v>81</v>
      </c>
      <c r="L78" s="94"/>
      <c r="M78" s="1109" t="s">
        <v>126</v>
      </c>
      <c r="N78" s="137">
        <f>E92+BR_A0003_m+BR_A0003_p+BR_A0003_f+BR_A0003_t</f>
        <v>606.24088677833333</v>
      </c>
      <c r="O78" s="594"/>
    </row>
    <row r="79" spans="1:15" x14ac:dyDescent="0.25">
      <c r="A79" s="1110" t="s">
        <v>125</v>
      </c>
      <c r="B79" s="133" t="s">
        <v>11</v>
      </c>
      <c r="C79" s="94"/>
      <c r="D79" s="94"/>
      <c r="E79" s="94"/>
      <c r="F79" s="94"/>
      <c r="G79" s="94"/>
      <c r="H79" s="94"/>
      <c r="I79" s="94"/>
      <c r="J79" s="94"/>
      <c r="K79" s="94"/>
      <c r="L79" s="94"/>
      <c r="M79" s="1109" t="s">
        <v>124</v>
      </c>
      <c r="N79" s="136">
        <v>1</v>
      </c>
      <c r="O79" s="594"/>
    </row>
    <row r="80" spans="1:15" x14ac:dyDescent="0.25">
      <c r="A80" s="1110" t="s">
        <v>123</v>
      </c>
      <c r="B80" s="99" t="s">
        <v>1809</v>
      </c>
      <c r="C80" s="94"/>
      <c r="D80" s="94"/>
      <c r="E80" s="94"/>
      <c r="F80" s="94"/>
      <c r="G80" s="94"/>
      <c r="H80" s="94"/>
      <c r="I80" s="94"/>
      <c r="J80" s="1128" t="s">
        <v>122</v>
      </c>
      <c r="K80" s="94"/>
      <c r="L80" s="94"/>
      <c r="M80" s="94"/>
      <c r="N80" s="94"/>
      <c r="O80" s="594"/>
    </row>
    <row r="81" spans="1:15" x14ac:dyDescent="0.25">
      <c r="A81" s="1110" t="s">
        <v>121</v>
      </c>
      <c r="B81" s="135" t="s">
        <v>1808</v>
      </c>
      <c r="C81" s="94"/>
      <c r="D81" s="94"/>
      <c r="E81" s="94"/>
      <c r="F81" s="94"/>
      <c r="G81" s="94"/>
      <c r="H81" s="94"/>
      <c r="I81" s="94"/>
      <c r="J81" s="1128" t="s">
        <v>119</v>
      </c>
      <c r="K81" s="94"/>
      <c r="L81" s="94"/>
      <c r="M81" s="1109" t="s">
        <v>118</v>
      </c>
      <c r="N81" s="100">
        <f>N78*N79</f>
        <v>606.24088677833333</v>
      </c>
      <c r="O81" s="594"/>
    </row>
    <row r="82" spans="1:15" x14ac:dyDescent="0.25">
      <c r="A82" s="1110" t="s">
        <v>117</v>
      </c>
      <c r="B82" s="133" t="s">
        <v>23</v>
      </c>
      <c r="C82" s="94"/>
      <c r="D82" s="94"/>
      <c r="E82" s="94"/>
      <c r="F82" s="94"/>
      <c r="G82" s="94"/>
      <c r="H82" s="94"/>
      <c r="I82" s="94"/>
      <c r="J82" s="1128" t="s">
        <v>116</v>
      </c>
      <c r="K82" s="94"/>
      <c r="L82" s="94"/>
      <c r="M82" s="94"/>
      <c r="N82" s="94"/>
      <c r="O82" s="594"/>
    </row>
    <row r="83" spans="1:15" x14ac:dyDescent="0.25">
      <c r="A83" s="1110" t="s">
        <v>115</v>
      </c>
      <c r="B83" s="133"/>
      <c r="C83" s="94"/>
      <c r="D83" s="94"/>
      <c r="E83" s="94"/>
      <c r="F83" s="94"/>
      <c r="G83" s="94"/>
      <c r="H83" s="94"/>
      <c r="I83" s="94"/>
      <c r="J83" s="94"/>
      <c r="K83" s="94"/>
      <c r="L83" s="94"/>
      <c r="M83" s="94"/>
      <c r="N83" s="94"/>
      <c r="O83" s="594"/>
    </row>
    <row r="84" spans="1:15" x14ac:dyDescent="0.25">
      <c r="A84" s="1111"/>
      <c r="B84" s="94"/>
      <c r="C84" s="94"/>
      <c r="D84" s="94"/>
      <c r="E84" s="94"/>
      <c r="F84" s="94"/>
      <c r="G84" s="94"/>
      <c r="H84" s="94"/>
      <c r="I84" s="94"/>
      <c r="J84" s="94"/>
      <c r="K84" s="94"/>
      <c r="L84" s="94"/>
      <c r="M84" s="94"/>
      <c r="N84" s="94"/>
      <c r="O84" s="594"/>
    </row>
    <row r="85" spans="1:15" x14ac:dyDescent="0.25">
      <c r="A85" s="1110" t="s">
        <v>67</v>
      </c>
      <c r="B85" s="1109" t="s">
        <v>114</v>
      </c>
      <c r="C85" s="1109" t="s">
        <v>113</v>
      </c>
      <c r="D85" s="1109" t="s">
        <v>40</v>
      </c>
      <c r="E85" s="1109" t="s">
        <v>58</v>
      </c>
      <c r="F85" s="94"/>
      <c r="G85" s="94"/>
      <c r="H85" s="94"/>
      <c r="I85" s="94"/>
      <c r="J85" s="94"/>
      <c r="K85" s="94"/>
      <c r="L85" s="94"/>
      <c r="M85" s="94"/>
      <c r="N85" s="94"/>
      <c r="O85" s="594"/>
    </row>
    <row r="86" spans="1:15" x14ac:dyDescent="0.25">
      <c r="A86" s="1127">
        <v>10</v>
      </c>
      <c r="B86" s="132" t="str">
        <f>'BR Parts'!B253</f>
        <v>Brake reservoir tab</v>
      </c>
      <c r="C86" s="100">
        <f>'BR Parts'!N250</f>
        <v>2.00936556</v>
      </c>
      <c r="D86" s="127">
        <f>BR_03001_q</f>
        <v>1</v>
      </c>
      <c r="E86" s="100">
        <f t="shared" ref="E86:E91" si="4">C86*D86</f>
        <v>2.00936556</v>
      </c>
      <c r="F86" s="94"/>
      <c r="G86" s="94"/>
      <c r="H86" s="94"/>
      <c r="I86" s="94"/>
      <c r="J86" s="94"/>
      <c r="K86" s="94"/>
      <c r="L86" s="94"/>
      <c r="M86" s="94"/>
      <c r="N86" s="94"/>
      <c r="O86" s="594"/>
    </row>
    <row r="87" spans="1:15" x14ac:dyDescent="0.25">
      <c r="A87" s="1127">
        <v>20</v>
      </c>
      <c r="B87" s="132" t="str">
        <f>'BR Parts'!B274</f>
        <v>Brake reservoir cover</v>
      </c>
      <c r="C87" s="100">
        <f>'BR Parts'!N271</f>
        <v>3.0261610400000003</v>
      </c>
      <c r="D87" s="127">
        <f>BR_03002_q</f>
        <v>1</v>
      </c>
      <c r="E87" s="100">
        <f t="shared" si="4"/>
        <v>3.0261610400000003</v>
      </c>
      <c r="F87" s="99"/>
      <c r="G87" s="99"/>
      <c r="H87" s="99"/>
      <c r="I87" s="99"/>
      <c r="J87" s="99"/>
      <c r="K87" s="99"/>
      <c r="L87" s="99"/>
      <c r="M87" s="99"/>
      <c r="N87" s="99"/>
      <c r="O87" s="594"/>
    </row>
    <row r="88" spans="1:15" ht="16.5" customHeight="1" x14ac:dyDescent="0.25">
      <c r="A88" s="1127">
        <v>30</v>
      </c>
      <c r="B88" s="132" t="str">
        <f>'BR Parts'!B295</f>
        <v>Master cylinder</v>
      </c>
      <c r="C88" s="100">
        <f>'BR Parts'!N292</f>
        <v>97</v>
      </c>
      <c r="D88" s="127">
        <f>BR_03003_q</f>
        <v>2</v>
      </c>
      <c r="E88" s="100">
        <f t="shared" si="4"/>
        <v>194</v>
      </c>
      <c r="F88" s="99"/>
      <c r="G88" s="99"/>
      <c r="H88" s="99"/>
      <c r="I88" s="99"/>
      <c r="J88" s="99"/>
      <c r="K88" s="99"/>
      <c r="L88" s="99"/>
      <c r="M88" s="99"/>
      <c r="N88" s="99"/>
      <c r="O88" s="1126"/>
    </row>
    <row r="89" spans="1:15" s="254" customFormat="1" ht="15.75" customHeight="1" x14ac:dyDescent="0.25">
      <c r="A89" s="1127">
        <v>40</v>
      </c>
      <c r="B89" s="132" t="str">
        <f>'BR Parts'!B310</f>
        <v>Balance bar</v>
      </c>
      <c r="C89" s="100">
        <f>'BR Parts'!N307</f>
        <v>30</v>
      </c>
      <c r="D89" s="127">
        <f>BR_03004_q</f>
        <v>1</v>
      </c>
      <c r="E89" s="100">
        <f t="shared" si="4"/>
        <v>30</v>
      </c>
      <c r="F89" s="99"/>
      <c r="G89" s="99"/>
      <c r="H89" s="99"/>
      <c r="I89" s="99"/>
      <c r="J89" s="99"/>
      <c r="K89" s="99"/>
      <c r="L89" s="99"/>
      <c r="M89" s="99"/>
      <c r="N89" s="99"/>
      <c r="O89" s="1126"/>
    </row>
    <row r="90" spans="1:15" s="254" customFormat="1" ht="17.25" customHeight="1" x14ac:dyDescent="0.25">
      <c r="A90" s="1127">
        <v>50</v>
      </c>
      <c r="B90" s="132" t="str">
        <f>'BR Parts'!B325</f>
        <v>Tee mount</v>
      </c>
      <c r="C90" s="100">
        <f>'BR Parts'!N322</f>
        <v>1.615017216</v>
      </c>
      <c r="D90" s="127">
        <f>BR_03005_q</f>
        <v>1</v>
      </c>
      <c r="E90" s="100">
        <f t="shared" si="4"/>
        <v>1.615017216</v>
      </c>
      <c r="F90" s="99"/>
      <c r="G90" s="99"/>
      <c r="H90" s="99"/>
      <c r="I90" s="99"/>
      <c r="J90" s="99"/>
      <c r="K90" s="99"/>
      <c r="L90" s="99"/>
      <c r="M90" s="99"/>
      <c r="N90" s="99"/>
      <c r="O90" s="1121"/>
    </row>
    <row r="91" spans="1:15" s="254" customFormat="1" ht="18" customHeight="1" x14ac:dyDescent="0.25">
      <c r="A91" s="1127">
        <v>60</v>
      </c>
      <c r="B91" s="132" t="str">
        <f>'BR Parts'!B345</f>
        <v>Chain protection</v>
      </c>
      <c r="C91" s="100">
        <f>'BR Parts'!N342</f>
        <v>2.4387796000000002</v>
      </c>
      <c r="D91" s="127">
        <f>BR_03006_q</f>
        <v>1</v>
      </c>
      <c r="E91" s="100">
        <f t="shared" si="4"/>
        <v>2.4387796000000002</v>
      </c>
      <c r="F91" s="99"/>
      <c r="G91" s="99"/>
      <c r="H91" s="99"/>
      <c r="I91" s="99"/>
      <c r="J91" s="99"/>
      <c r="K91" s="99"/>
      <c r="L91" s="99"/>
      <c r="M91" s="99"/>
      <c r="N91" s="99"/>
      <c r="O91" s="1126"/>
    </row>
    <row r="92" spans="1:15" ht="19.5" customHeight="1" x14ac:dyDescent="0.25">
      <c r="A92" s="1111"/>
      <c r="B92" s="94"/>
      <c r="C92" s="94"/>
      <c r="D92" s="1113" t="s">
        <v>58</v>
      </c>
      <c r="E92" s="1112">
        <f>SUM(E86:E91)</f>
        <v>233.08932341600001</v>
      </c>
      <c r="F92" s="99"/>
      <c r="G92" s="99"/>
      <c r="H92" s="99"/>
      <c r="I92" s="99"/>
      <c r="J92" s="99"/>
      <c r="K92" s="99"/>
      <c r="L92" s="99"/>
      <c r="M92" s="99"/>
      <c r="N92" s="99"/>
      <c r="O92" s="594"/>
    </row>
    <row r="93" spans="1:15" x14ac:dyDescent="0.25">
      <c r="A93" s="1111"/>
      <c r="B93" s="94"/>
      <c r="C93" s="94"/>
      <c r="D93" s="94"/>
      <c r="E93" s="94"/>
      <c r="F93" s="94"/>
      <c r="G93" s="94"/>
      <c r="H93" s="94"/>
      <c r="I93" s="94"/>
      <c r="J93" s="94"/>
      <c r="K93" s="94"/>
      <c r="L93" s="94"/>
      <c r="M93" s="94"/>
      <c r="N93" s="94"/>
      <c r="O93" s="594"/>
    </row>
    <row r="94" spans="1:15" ht="22.5" customHeight="1" x14ac:dyDescent="0.25">
      <c r="A94" s="1110" t="s">
        <v>67</v>
      </c>
      <c r="B94" s="1109" t="s">
        <v>112</v>
      </c>
      <c r="C94" s="1109" t="s">
        <v>66</v>
      </c>
      <c r="D94" s="1109" t="s">
        <v>65</v>
      </c>
      <c r="E94" s="1109" t="s">
        <v>81</v>
      </c>
      <c r="F94" s="1109" t="s">
        <v>80</v>
      </c>
      <c r="G94" s="1109" t="s">
        <v>79</v>
      </c>
      <c r="H94" s="1109" t="s">
        <v>78</v>
      </c>
      <c r="I94" s="1109" t="s">
        <v>111</v>
      </c>
      <c r="J94" s="1109" t="s">
        <v>110</v>
      </c>
      <c r="K94" s="1109" t="s">
        <v>109</v>
      </c>
      <c r="L94" s="1109" t="s">
        <v>108</v>
      </c>
      <c r="M94" s="1109" t="s">
        <v>40</v>
      </c>
      <c r="N94" s="1109" t="s">
        <v>58</v>
      </c>
      <c r="O94" s="594"/>
    </row>
    <row r="95" spans="1:15" ht="22.5" customHeight="1" x14ac:dyDescent="0.25">
      <c r="A95" s="1063">
        <v>10</v>
      </c>
      <c r="B95" s="1063" t="s">
        <v>250</v>
      </c>
      <c r="C95" s="1115" t="s">
        <v>1807</v>
      </c>
      <c r="D95" s="988">
        <v>10</v>
      </c>
      <c r="E95" s="1107">
        <v>2.1999999999999999E-2</v>
      </c>
      <c r="F95" s="1107" t="s">
        <v>299</v>
      </c>
      <c r="G95" s="129"/>
      <c r="H95" s="200"/>
      <c r="I95" s="202"/>
      <c r="J95" s="201"/>
      <c r="K95" s="200"/>
      <c r="L95" s="200"/>
      <c r="M95" s="1006">
        <f>E95</f>
        <v>2.1999999999999999E-2</v>
      </c>
      <c r="N95" s="100">
        <f t="shared" ref="N95:N106" si="5">M95*D95</f>
        <v>0.21999999999999997</v>
      </c>
      <c r="O95" s="594"/>
    </row>
    <row r="96" spans="1:15" s="250" customFormat="1" ht="31.5" customHeight="1" x14ac:dyDescent="0.25">
      <c r="A96" s="1107">
        <v>20</v>
      </c>
      <c r="B96" s="1123" t="s">
        <v>1806</v>
      </c>
      <c r="C96" s="1107" t="s">
        <v>1799</v>
      </c>
      <c r="D96" s="988">
        <v>9.8000000000000007</v>
      </c>
      <c r="E96" s="1108">
        <v>6.35</v>
      </c>
      <c r="F96" s="1108" t="s">
        <v>68</v>
      </c>
      <c r="G96" s="253"/>
      <c r="H96" s="200"/>
      <c r="I96" s="252"/>
      <c r="J96" s="249"/>
      <c r="K96" s="246"/>
      <c r="L96" s="251"/>
      <c r="M96" s="1006">
        <v>6</v>
      </c>
      <c r="N96" s="100">
        <f t="shared" si="5"/>
        <v>58.800000000000004</v>
      </c>
      <c r="O96" s="592"/>
    </row>
    <row r="97" spans="1:15" ht="22.5" customHeight="1" x14ac:dyDescent="0.25">
      <c r="A97" s="1063">
        <v>30</v>
      </c>
      <c r="B97" s="1123" t="s">
        <v>412</v>
      </c>
      <c r="C97" s="1107" t="s">
        <v>1799</v>
      </c>
      <c r="D97" s="988">
        <v>7.85</v>
      </c>
      <c r="E97" s="1108">
        <v>6.35</v>
      </c>
      <c r="F97" s="1108" t="s">
        <v>68</v>
      </c>
      <c r="G97" s="129"/>
      <c r="H97" s="200"/>
      <c r="I97" s="248"/>
      <c r="J97" s="247"/>
      <c r="K97" s="200"/>
      <c r="L97" s="249"/>
      <c r="M97" s="1006">
        <v>2</v>
      </c>
      <c r="N97" s="100">
        <f t="shared" si="5"/>
        <v>15.7</v>
      </c>
      <c r="O97" s="594"/>
    </row>
    <row r="98" spans="1:15" ht="18.75" customHeight="1" x14ac:dyDescent="0.25">
      <c r="A98" s="1107">
        <v>40</v>
      </c>
      <c r="B98" s="1125" t="s">
        <v>1805</v>
      </c>
      <c r="C98" s="1107" t="s">
        <v>1799</v>
      </c>
      <c r="D98" s="988">
        <v>6.8</v>
      </c>
      <c r="E98" s="1107">
        <v>10</v>
      </c>
      <c r="F98" s="1107" t="s">
        <v>68</v>
      </c>
      <c r="G98" s="129"/>
      <c r="H98" s="200"/>
      <c r="I98" s="248"/>
      <c r="J98" s="247"/>
      <c r="K98" s="200"/>
      <c r="L98" s="200"/>
      <c r="M98" s="1006">
        <v>12</v>
      </c>
      <c r="N98" s="100">
        <f t="shared" si="5"/>
        <v>81.599999999999994</v>
      </c>
      <c r="O98" s="594"/>
    </row>
    <row r="99" spans="1:15" ht="31.5" customHeight="1" x14ac:dyDescent="0.25">
      <c r="A99" s="1063">
        <v>50</v>
      </c>
      <c r="B99" s="1158" t="s">
        <v>1804</v>
      </c>
      <c r="C99" s="1107" t="s">
        <v>1803</v>
      </c>
      <c r="D99" s="988">
        <v>10.17</v>
      </c>
      <c r="E99" s="1107">
        <v>6.35</v>
      </c>
      <c r="F99" s="1063" t="s">
        <v>68</v>
      </c>
      <c r="G99" s="129"/>
      <c r="H99" s="200"/>
      <c r="I99" s="248"/>
      <c r="J99" s="247"/>
      <c r="K99" s="200"/>
      <c r="L99" s="200"/>
      <c r="M99" s="1006">
        <v>1</v>
      </c>
      <c r="N99" s="100">
        <f t="shared" si="5"/>
        <v>10.17</v>
      </c>
      <c r="O99" s="594"/>
    </row>
    <row r="100" spans="1:15" ht="22.5" customHeight="1" x14ac:dyDescent="0.25">
      <c r="A100" s="1107">
        <v>60</v>
      </c>
      <c r="B100" s="1123" t="s">
        <v>1802</v>
      </c>
      <c r="C100" s="1107" t="s">
        <v>1799</v>
      </c>
      <c r="D100" s="988">
        <v>6.8</v>
      </c>
      <c r="E100" s="1107">
        <v>6.5</v>
      </c>
      <c r="F100" s="1107" t="s">
        <v>68</v>
      </c>
      <c r="G100" s="129"/>
      <c r="H100" s="200"/>
      <c r="I100" s="202"/>
      <c r="J100" s="201"/>
      <c r="K100" s="200"/>
      <c r="L100" s="200"/>
      <c r="M100" s="1006">
        <v>3</v>
      </c>
      <c r="N100" s="100">
        <f t="shared" si="5"/>
        <v>20.399999999999999</v>
      </c>
      <c r="O100" s="594"/>
    </row>
    <row r="101" spans="1:15" s="250" customFormat="1" ht="37.5" customHeight="1" x14ac:dyDescent="0.25">
      <c r="A101" s="1063">
        <v>70</v>
      </c>
      <c r="B101" s="1063" t="s">
        <v>1801</v>
      </c>
      <c r="C101" s="1107" t="s">
        <v>1800</v>
      </c>
      <c r="D101" s="988">
        <v>8</v>
      </c>
      <c r="E101" s="1107"/>
      <c r="F101" s="1124"/>
      <c r="G101" s="253"/>
      <c r="H101" s="200"/>
      <c r="I101" s="252"/>
      <c r="J101" s="249"/>
      <c r="K101" s="246"/>
      <c r="L101" s="251"/>
      <c r="M101" s="1006">
        <v>1</v>
      </c>
      <c r="N101" s="100">
        <f t="shared" si="5"/>
        <v>8</v>
      </c>
      <c r="O101" s="592"/>
    </row>
    <row r="102" spans="1:15" ht="22.5" customHeight="1" x14ac:dyDescent="0.25">
      <c r="A102" s="1107">
        <v>80</v>
      </c>
      <c r="B102" s="1123" t="s">
        <v>648</v>
      </c>
      <c r="C102" s="1107" t="s">
        <v>1799</v>
      </c>
      <c r="D102" s="988">
        <v>0.29549999999999998</v>
      </c>
      <c r="E102" s="1107">
        <v>6.5</v>
      </c>
      <c r="F102" s="1107" t="s">
        <v>68</v>
      </c>
      <c r="G102" s="129"/>
      <c r="H102" s="200"/>
      <c r="I102" s="248"/>
      <c r="J102" s="247"/>
      <c r="K102" s="200"/>
      <c r="L102" s="249"/>
      <c r="M102" s="1006">
        <v>18</v>
      </c>
      <c r="N102" s="100">
        <f t="shared" si="5"/>
        <v>5.319</v>
      </c>
      <c r="O102" s="594"/>
    </row>
    <row r="103" spans="1:15" ht="40.5" customHeight="1" x14ac:dyDescent="0.25">
      <c r="A103" s="1063">
        <v>90</v>
      </c>
      <c r="B103" s="1123" t="s">
        <v>1798</v>
      </c>
      <c r="C103" s="1107" t="s">
        <v>1797</v>
      </c>
      <c r="D103" s="988">
        <v>5</v>
      </c>
      <c r="E103" s="1107"/>
      <c r="F103" s="1115"/>
      <c r="G103" s="129"/>
      <c r="H103" s="200"/>
      <c r="I103" s="248"/>
      <c r="J103" s="247"/>
      <c r="K103" s="200"/>
      <c r="L103" s="200"/>
      <c r="M103" s="1006">
        <v>2</v>
      </c>
      <c r="N103" s="100">
        <f t="shared" si="5"/>
        <v>10</v>
      </c>
      <c r="O103" s="594"/>
    </row>
    <row r="104" spans="1:15" ht="28.5" customHeight="1" x14ac:dyDescent="0.25">
      <c r="A104" s="1107">
        <v>100</v>
      </c>
      <c r="B104" s="1123" t="s">
        <v>1796</v>
      </c>
      <c r="C104" s="1107" t="s">
        <v>1774</v>
      </c>
      <c r="D104" s="988">
        <v>13.22</v>
      </c>
      <c r="E104" s="1107">
        <v>6.45</v>
      </c>
      <c r="F104" s="1107" t="s">
        <v>68</v>
      </c>
      <c r="G104" s="129"/>
      <c r="H104" s="200"/>
      <c r="I104" s="248"/>
      <c r="J104" s="247"/>
      <c r="K104" s="200"/>
      <c r="L104" s="249"/>
      <c r="M104" s="1006">
        <v>6.3</v>
      </c>
      <c r="N104" s="100">
        <f t="shared" si="5"/>
        <v>83.286000000000001</v>
      </c>
      <c r="O104" s="594"/>
    </row>
    <row r="105" spans="1:15" ht="30.75" customHeight="1" x14ac:dyDescent="0.25">
      <c r="A105" s="1063">
        <v>110</v>
      </c>
      <c r="B105" s="1159" t="s">
        <v>849</v>
      </c>
      <c r="C105" s="1107" t="s">
        <v>1758</v>
      </c>
      <c r="D105" s="988">
        <v>2.34</v>
      </c>
      <c r="E105" s="1107">
        <v>0.4</v>
      </c>
      <c r="F105" s="1107" t="s">
        <v>345</v>
      </c>
      <c r="G105" s="129"/>
      <c r="H105" s="200"/>
      <c r="I105" s="248"/>
      <c r="J105" s="247"/>
      <c r="K105" s="200"/>
      <c r="L105" s="200"/>
      <c r="M105" s="1006">
        <f>2*E105</f>
        <v>0.8</v>
      </c>
      <c r="N105" s="100">
        <f t="shared" si="5"/>
        <v>1.8719999999999999</v>
      </c>
      <c r="O105" s="594"/>
    </row>
    <row r="106" spans="1:15" ht="22.5" customHeight="1" x14ac:dyDescent="0.25">
      <c r="A106" s="1107">
        <v>120</v>
      </c>
      <c r="B106" s="1123" t="s">
        <v>1795</v>
      </c>
      <c r="C106" s="1118" t="s">
        <v>1794</v>
      </c>
      <c r="D106" s="988">
        <v>0.5</v>
      </c>
      <c r="E106" s="1118">
        <v>0.6</v>
      </c>
      <c r="F106" s="1118" t="s">
        <v>345</v>
      </c>
      <c r="G106" s="129"/>
      <c r="H106" s="200"/>
      <c r="I106" s="248"/>
      <c r="J106" s="247"/>
      <c r="K106" s="200"/>
      <c r="L106" s="200"/>
      <c r="M106" s="1006">
        <v>1</v>
      </c>
      <c r="N106" s="100">
        <f t="shared" si="5"/>
        <v>0.5</v>
      </c>
      <c r="O106" s="594"/>
    </row>
    <row r="107" spans="1:15" ht="22.5" customHeight="1" x14ac:dyDescent="0.25">
      <c r="A107" s="1063">
        <v>130</v>
      </c>
      <c r="B107" s="1123" t="s">
        <v>1793</v>
      </c>
      <c r="C107" s="1107" t="s">
        <v>1792</v>
      </c>
      <c r="D107" s="988">
        <v>2.25</v>
      </c>
      <c r="E107" s="1107">
        <v>7</v>
      </c>
      <c r="F107" s="1107" t="s">
        <v>68</v>
      </c>
      <c r="G107" s="129">
        <v>8</v>
      </c>
      <c r="H107" s="200" t="s">
        <v>68</v>
      </c>
      <c r="I107" s="202"/>
      <c r="J107" s="1122">
        <f>((G107*10^-3)^2-(E107*10^-3)^2)*3.14</f>
        <v>4.7099999999999979E-5</v>
      </c>
      <c r="K107" s="200">
        <v>2.7E-2</v>
      </c>
      <c r="L107" s="200">
        <v>7860</v>
      </c>
      <c r="M107" s="1006">
        <v>2</v>
      </c>
      <c r="N107" s="100">
        <f>M107*L107*K107*J107*D107</f>
        <v>4.4980028999999984E-2</v>
      </c>
      <c r="O107" s="594"/>
    </row>
    <row r="108" spans="1:15" ht="22.5" customHeight="1" x14ac:dyDescent="0.25">
      <c r="A108" s="1107">
        <v>140</v>
      </c>
      <c r="B108" s="1123" t="s">
        <v>1791</v>
      </c>
      <c r="C108" s="1107" t="s">
        <v>1790</v>
      </c>
      <c r="D108" s="988">
        <v>0.75</v>
      </c>
      <c r="E108" s="1107">
        <v>0.75</v>
      </c>
      <c r="F108" s="1107" t="s">
        <v>173</v>
      </c>
      <c r="G108" s="129"/>
      <c r="H108" s="200"/>
      <c r="I108" s="202"/>
      <c r="J108" s="201"/>
      <c r="K108" s="200"/>
      <c r="L108" s="200"/>
      <c r="M108" s="1006">
        <f>E108</f>
        <v>0.75</v>
      </c>
      <c r="N108" s="100">
        <f>M108*D108</f>
        <v>0.5625</v>
      </c>
      <c r="O108" s="594"/>
    </row>
    <row r="109" spans="1:15" x14ac:dyDescent="0.25">
      <c r="A109" s="1106"/>
      <c r="B109" s="95"/>
      <c r="C109" s="95"/>
      <c r="D109" s="95"/>
      <c r="E109" s="95"/>
      <c r="F109" s="95"/>
      <c r="G109" s="95"/>
      <c r="H109" s="95"/>
      <c r="I109" s="95"/>
      <c r="J109" s="95"/>
      <c r="K109" s="95"/>
      <c r="L109" s="95"/>
      <c r="M109" s="1109" t="s">
        <v>58</v>
      </c>
      <c r="N109" s="1112">
        <f>SUM(N95:N108)</f>
        <v>296.47448002900001</v>
      </c>
      <c r="O109" s="594"/>
    </row>
    <row r="110" spans="1:15" x14ac:dyDescent="0.25">
      <c r="A110" s="1111"/>
      <c r="B110" s="94"/>
      <c r="C110" s="94"/>
      <c r="D110" s="94"/>
      <c r="E110" s="94"/>
      <c r="F110" s="94"/>
      <c r="G110" s="94"/>
      <c r="H110" s="94"/>
      <c r="I110" s="94"/>
      <c r="J110" s="94"/>
      <c r="K110" s="94"/>
      <c r="L110" s="94"/>
      <c r="M110" s="94"/>
      <c r="N110" s="94"/>
      <c r="O110" s="594"/>
    </row>
    <row r="111" spans="1:15" s="245" customFormat="1" x14ac:dyDescent="0.25">
      <c r="A111" s="1110" t="s">
        <v>67</v>
      </c>
      <c r="B111" s="1109" t="s">
        <v>106</v>
      </c>
      <c r="C111" s="1109" t="s">
        <v>66</v>
      </c>
      <c r="D111" s="1109" t="s">
        <v>65</v>
      </c>
      <c r="E111" s="1109" t="s">
        <v>64</v>
      </c>
      <c r="F111" s="1109" t="s">
        <v>40</v>
      </c>
      <c r="G111" s="1109" t="s">
        <v>105</v>
      </c>
      <c r="H111" s="1109" t="s">
        <v>104</v>
      </c>
      <c r="I111" s="1109" t="s">
        <v>58</v>
      </c>
      <c r="J111" s="95"/>
      <c r="K111" s="95"/>
      <c r="L111" s="95"/>
      <c r="M111" s="95"/>
      <c r="N111" s="95"/>
      <c r="O111" s="734"/>
    </row>
    <row r="112" spans="1:15" x14ac:dyDescent="0.25">
      <c r="A112" s="1119">
        <v>10</v>
      </c>
      <c r="B112" s="129" t="s">
        <v>103</v>
      </c>
      <c r="C112" s="129" t="s">
        <v>1789</v>
      </c>
      <c r="D112" s="100">
        <v>0.15</v>
      </c>
      <c r="E112" s="129" t="s">
        <v>101</v>
      </c>
      <c r="F112" s="244">
        <v>2.5</v>
      </c>
      <c r="G112" s="244"/>
      <c r="H112" s="244">
        <v>1</v>
      </c>
      <c r="I112" s="100">
        <f t="shared" ref="I112:I137" si="6">IF(H112="",D112*F112,D112*F112*H112)</f>
        <v>0.375</v>
      </c>
      <c r="J112" s="94"/>
      <c r="K112" s="94"/>
      <c r="L112" s="94"/>
      <c r="M112" s="94"/>
      <c r="N112" s="94"/>
      <c r="O112" s="594"/>
    </row>
    <row r="113" spans="1:15" x14ac:dyDescent="0.25">
      <c r="A113" s="1119">
        <v>30</v>
      </c>
      <c r="B113" s="555" t="s">
        <v>243</v>
      </c>
      <c r="C113" s="129" t="s">
        <v>1788</v>
      </c>
      <c r="D113" s="100">
        <v>5.25</v>
      </c>
      <c r="E113" s="129" t="s">
        <v>299</v>
      </c>
      <c r="F113" s="244">
        <v>2.1999999999999999E-2</v>
      </c>
      <c r="G113" s="129"/>
      <c r="H113" s="129">
        <v>1</v>
      </c>
      <c r="I113" s="100">
        <f t="shared" si="6"/>
        <v>0.11549999999999999</v>
      </c>
      <c r="J113" s="94"/>
      <c r="K113" s="94"/>
      <c r="L113" s="94"/>
      <c r="M113" s="94"/>
      <c r="N113" s="94"/>
      <c r="O113" s="594"/>
    </row>
    <row r="114" spans="1:15" s="1162" customFormat="1" x14ac:dyDescent="0.25">
      <c r="A114" s="1127">
        <v>40</v>
      </c>
      <c r="B114" s="555" t="s">
        <v>87</v>
      </c>
      <c r="C114" s="253" t="s">
        <v>1787</v>
      </c>
      <c r="D114" s="100">
        <v>0.06</v>
      </c>
      <c r="E114" s="253" t="s">
        <v>64</v>
      </c>
      <c r="F114" s="251">
        <v>1</v>
      </c>
      <c r="G114" s="253"/>
      <c r="H114" s="253">
        <v>1</v>
      </c>
      <c r="I114" s="100">
        <f t="shared" si="6"/>
        <v>0.06</v>
      </c>
      <c r="J114" s="1160"/>
      <c r="K114" s="1160"/>
      <c r="L114" s="1160"/>
      <c r="M114" s="1160"/>
      <c r="N114" s="1160"/>
      <c r="O114" s="1161"/>
    </row>
    <row r="115" spans="1:15" x14ac:dyDescent="0.25">
      <c r="A115" s="1119">
        <v>60</v>
      </c>
      <c r="B115" s="129" t="s">
        <v>87</v>
      </c>
      <c r="C115" s="129" t="s">
        <v>1786</v>
      </c>
      <c r="D115" s="100">
        <v>0.06</v>
      </c>
      <c r="E115" s="129" t="s">
        <v>64</v>
      </c>
      <c r="F115" s="244">
        <v>2</v>
      </c>
      <c r="G115" s="244"/>
      <c r="H115" s="244">
        <v>1</v>
      </c>
      <c r="I115" s="100">
        <f t="shared" si="6"/>
        <v>0.12</v>
      </c>
      <c r="J115" s="94"/>
      <c r="K115" s="94"/>
      <c r="L115" s="94"/>
      <c r="M115" s="94"/>
      <c r="N115" s="94"/>
      <c r="O115" s="594"/>
    </row>
    <row r="116" spans="1:15" x14ac:dyDescent="0.25">
      <c r="A116" s="1119">
        <v>60</v>
      </c>
      <c r="B116" s="129" t="s">
        <v>87</v>
      </c>
      <c r="C116" s="129" t="s">
        <v>1785</v>
      </c>
      <c r="D116" s="100">
        <v>0.06</v>
      </c>
      <c r="E116" s="129" t="s">
        <v>64</v>
      </c>
      <c r="F116" s="244">
        <v>2</v>
      </c>
      <c r="G116" s="244"/>
      <c r="H116" s="244">
        <v>1</v>
      </c>
      <c r="I116" s="100">
        <f t="shared" si="6"/>
        <v>0.12</v>
      </c>
      <c r="J116" s="94"/>
      <c r="K116" s="94"/>
      <c r="L116" s="94"/>
      <c r="M116" s="94"/>
      <c r="N116" s="94"/>
      <c r="O116" s="594"/>
    </row>
    <row r="117" spans="1:15" x14ac:dyDescent="0.25">
      <c r="A117" s="1119">
        <v>60</v>
      </c>
      <c r="B117" s="129" t="s">
        <v>87</v>
      </c>
      <c r="C117" s="129" t="s">
        <v>1784</v>
      </c>
      <c r="D117" s="100">
        <v>0.06</v>
      </c>
      <c r="E117" s="129" t="s">
        <v>64</v>
      </c>
      <c r="F117" s="244">
        <v>2</v>
      </c>
      <c r="G117" s="244"/>
      <c r="H117" s="244">
        <v>1</v>
      </c>
      <c r="I117" s="100">
        <f t="shared" si="6"/>
        <v>0.12</v>
      </c>
      <c r="J117" s="94"/>
      <c r="K117" s="94"/>
      <c r="L117" s="94"/>
      <c r="M117" s="94"/>
      <c r="N117" s="94"/>
      <c r="O117" s="594"/>
    </row>
    <row r="118" spans="1:15" s="250" customFormat="1" x14ac:dyDescent="0.25">
      <c r="A118" s="1127">
        <v>70</v>
      </c>
      <c r="B118" s="555" t="s">
        <v>163</v>
      </c>
      <c r="C118" s="253" t="s">
        <v>1783</v>
      </c>
      <c r="D118" s="100">
        <v>0.5</v>
      </c>
      <c r="E118" s="555" t="s">
        <v>64</v>
      </c>
      <c r="F118" s="251">
        <v>2</v>
      </c>
      <c r="G118" s="253"/>
      <c r="H118" s="253">
        <v>1</v>
      </c>
      <c r="I118" s="100">
        <f t="shared" si="6"/>
        <v>1</v>
      </c>
      <c r="J118" s="1163"/>
      <c r="K118" s="1163"/>
      <c r="L118" s="1163"/>
      <c r="M118" s="1163"/>
      <c r="N118" s="1163"/>
      <c r="O118" s="592"/>
    </row>
    <row r="119" spans="1:15" s="250" customFormat="1" x14ac:dyDescent="0.25">
      <c r="A119" s="1127">
        <v>80</v>
      </c>
      <c r="B119" s="555" t="s">
        <v>162</v>
      </c>
      <c r="C119" s="253" t="s">
        <v>1778</v>
      </c>
      <c r="D119" s="100">
        <v>0.25</v>
      </c>
      <c r="E119" s="253" t="s">
        <v>64</v>
      </c>
      <c r="F119" s="251">
        <v>2</v>
      </c>
      <c r="G119" s="253"/>
      <c r="H119" s="253">
        <v>1</v>
      </c>
      <c r="I119" s="100">
        <f t="shared" si="6"/>
        <v>0.5</v>
      </c>
      <c r="J119" s="1163"/>
      <c r="K119" s="1163"/>
      <c r="L119" s="1163"/>
      <c r="M119" s="1163"/>
      <c r="N119" s="1163"/>
      <c r="O119" s="592"/>
    </row>
    <row r="120" spans="1:15" s="1162" customFormat="1" x14ac:dyDescent="0.25">
      <c r="A120" s="1127">
        <v>90</v>
      </c>
      <c r="B120" s="555" t="s">
        <v>87</v>
      </c>
      <c r="C120" s="253" t="s">
        <v>1782</v>
      </c>
      <c r="D120" s="100">
        <v>0.06</v>
      </c>
      <c r="E120" s="253" t="s">
        <v>64</v>
      </c>
      <c r="F120" s="251">
        <v>1</v>
      </c>
      <c r="G120" s="253"/>
      <c r="H120" s="253">
        <v>1</v>
      </c>
      <c r="I120" s="100">
        <f t="shared" si="6"/>
        <v>0.06</v>
      </c>
      <c r="J120" s="1160"/>
      <c r="K120" s="1160"/>
      <c r="L120" s="1160"/>
      <c r="M120" s="1160"/>
      <c r="N120" s="1160"/>
      <c r="O120" s="1161"/>
    </row>
    <row r="121" spans="1:15" s="245" customFormat="1" ht="17.25" customHeight="1" x14ac:dyDescent="0.25">
      <c r="A121" s="1127">
        <v>100</v>
      </c>
      <c r="B121" s="253" t="s">
        <v>85</v>
      </c>
      <c r="C121" s="253" t="s">
        <v>1779</v>
      </c>
      <c r="D121" s="100">
        <v>0.75</v>
      </c>
      <c r="E121" s="253" t="s">
        <v>64</v>
      </c>
      <c r="F121" s="251">
        <v>2</v>
      </c>
      <c r="G121" s="251"/>
      <c r="H121" s="251">
        <v>1</v>
      </c>
      <c r="I121" s="100">
        <f t="shared" si="6"/>
        <v>1.5</v>
      </c>
      <c r="J121" s="1160"/>
      <c r="K121" s="1160"/>
      <c r="L121" s="1160"/>
      <c r="M121" s="1160"/>
      <c r="N121" s="1160"/>
      <c r="O121" s="734"/>
    </row>
    <row r="122" spans="1:15" s="250" customFormat="1" x14ac:dyDescent="0.25">
      <c r="A122" s="1127">
        <v>110</v>
      </c>
      <c r="B122" s="253" t="s">
        <v>84</v>
      </c>
      <c r="C122" s="253" t="s">
        <v>1781</v>
      </c>
      <c r="D122" s="100">
        <v>0.25</v>
      </c>
      <c r="E122" s="253" t="s">
        <v>64</v>
      </c>
      <c r="F122" s="251">
        <v>2</v>
      </c>
      <c r="G122" s="251"/>
      <c r="H122" s="251">
        <v>1</v>
      </c>
      <c r="I122" s="100">
        <f t="shared" si="6"/>
        <v>0.5</v>
      </c>
      <c r="J122" s="1163"/>
      <c r="K122" s="1163"/>
      <c r="L122" s="1163"/>
      <c r="M122" s="1163"/>
      <c r="N122" s="1163"/>
      <c r="O122" s="592"/>
    </row>
    <row r="123" spans="1:15" s="250" customFormat="1" x14ac:dyDescent="0.25">
      <c r="A123" s="1127">
        <v>120</v>
      </c>
      <c r="B123" s="555" t="s">
        <v>87</v>
      </c>
      <c r="C123" s="253" t="s">
        <v>1780</v>
      </c>
      <c r="D123" s="100">
        <v>0.06</v>
      </c>
      <c r="E123" s="555" t="s">
        <v>64</v>
      </c>
      <c r="F123" s="251">
        <v>1</v>
      </c>
      <c r="G123" s="253"/>
      <c r="H123" s="253">
        <v>1</v>
      </c>
      <c r="I123" s="100">
        <f t="shared" si="6"/>
        <v>0.06</v>
      </c>
      <c r="J123" s="1163"/>
      <c r="K123" s="1163"/>
      <c r="L123" s="1163"/>
      <c r="M123" s="1163"/>
      <c r="N123" s="1163"/>
      <c r="O123" s="592"/>
    </row>
    <row r="124" spans="1:15" s="250" customFormat="1" x14ac:dyDescent="0.25">
      <c r="A124" s="1127">
        <v>130</v>
      </c>
      <c r="B124" s="555" t="s">
        <v>163</v>
      </c>
      <c r="C124" s="253" t="s">
        <v>1779</v>
      </c>
      <c r="D124" s="100">
        <v>0.5</v>
      </c>
      <c r="E124" s="253" t="s">
        <v>64</v>
      </c>
      <c r="F124" s="251">
        <v>2</v>
      </c>
      <c r="G124" s="253"/>
      <c r="H124" s="253">
        <v>1</v>
      </c>
      <c r="I124" s="100">
        <f t="shared" si="6"/>
        <v>1</v>
      </c>
      <c r="J124" s="1163"/>
      <c r="K124" s="1163"/>
      <c r="L124" s="1163"/>
      <c r="M124" s="1163"/>
      <c r="N124" s="1163"/>
      <c r="O124" s="592"/>
    </row>
    <row r="125" spans="1:15" s="1162" customFormat="1" x14ac:dyDescent="0.25">
      <c r="A125" s="1127">
        <v>140</v>
      </c>
      <c r="B125" s="555" t="s">
        <v>162</v>
      </c>
      <c r="C125" s="253" t="s">
        <v>1778</v>
      </c>
      <c r="D125" s="100">
        <v>0.25</v>
      </c>
      <c r="E125" s="253" t="s">
        <v>64</v>
      </c>
      <c r="F125" s="251">
        <v>2</v>
      </c>
      <c r="G125" s="253"/>
      <c r="H125" s="253">
        <v>1</v>
      </c>
      <c r="I125" s="100">
        <f t="shared" si="6"/>
        <v>0.5</v>
      </c>
      <c r="J125" s="1160"/>
      <c r="K125" s="1160"/>
      <c r="L125" s="1160"/>
      <c r="M125" s="1160"/>
      <c r="N125" s="1160"/>
      <c r="O125" s="1161"/>
    </row>
    <row r="126" spans="1:15" s="245" customFormat="1" x14ac:dyDescent="0.25">
      <c r="A126" s="1127">
        <v>150</v>
      </c>
      <c r="B126" s="253" t="s">
        <v>1777</v>
      </c>
      <c r="C126" s="253" t="s">
        <v>1776</v>
      </c>
      <c r="D126" s="100">
        <v>0.75</v>
      </c>
      <c r="E126" s="253" t="s">
        <v>64</v>
      </c>
      <c r="F126" s="251">
        <v>10</v>
      </c>
      <c r="G126" s="251"/>
      <c r="H126" s="251">
        <v>1</v>
      </c>
      <c r="I126" s="100">
        <f t="shared" si="6"/>
        <v>7.5</v>
      </c>
      <c r="J126" s="1160"/>
      <c r="K126" s="1160"/>
      <c r="L126" s="1160"/>
      <c r="M126" s="1160"/>
      <c r="N126" s="1160"/>
      <c r="O126" s="734"/>
    </row>
    <row r="127" spans="1:15" s="250" customFormat="1" x14ac:dyDescent="0.25">
      <c r="A127" s="1127">
        <v>160</v>
      </c>
      <c r="B127" s="555" t="s">
        <v>87</v>
      </c>
      <c r="C127" s="253" t="s">
        <v>1775</v>
      </c>
      <c r="D127" s="100">
        <v>0.06</v>
      </c>
      <c r="E127" s="555" t="s">
        <v>64</v>
      </c>
      <c r="F127" s="251">
        <v>1</v>
      </c>
      <c r="G127" s="253"/>
      <c r="H127" s="253">
        <v>1</v>
      </c>
      <c r="I127" s="100">
        <f t="shared" si="6"/>
        <v>0.06</v>
      </c>
      <c r="J127" s="1163"/>
      <c r="K127" s="1163"/>
      <c r="L127" s="1163"/>
      <c r="M127" s="1163"/>
      <c r="N127" s="1163"/>
      <c r="O127" s="592"/>
    </row>
    <row r="128" spans="1:15" s="250" customFormat="1" x14ac:dyDescent="0.25">
      <c r="A128" s="1127">
        <v>170</v>
      </c>
      <c r="B128" s="253" t="s">
        <v>463</v>
      </c>
      <c r="C128" s="253" t="s">
        <v>1774</v>
      </c>
      <c r="D128" s="100">
        <v>0.15</v>
      </c>
      <c r="E128" s="253" t="s">
        <v>101</v>
      </c>
      <c r="F128" s="251">
        <v>2</v>
      </c>
      <c r="G128" s="251" t="s">
        <v>1772</v>
      </c>
      <c r="H128" s="251">
        <v>12</v>
      </c>
      <c r="I128" s="100">
        <f t="shared" si="6"/>
        <v>3.5999999999999996</v>
      </c>
      <c r="J128" s="1163"/>
      <c r="K128" s="1163"/>
      <c r="L128" s="1163"/>
      <c r="M128" s="1163"/>
      <c r="N128" s="1163"/>
      <c r="O128" s="592"/>
    </row>
    <row r="129" spans="1:15" s="250" customFormat="1" x14ac:dyDescent="0.25">
      <c r="A129" s="1127">
        <v>180</v>
      </c>
      <c r="B129" s="555" t="s">
        <v>1765</v>
      </c>
      <c r="C129" s="253" t="s">
        <v>1773</v>
      </c>
      <c r="D129" s="100">
        <v>0.06</v>
      </c>
      <c r="E129" s="555" t="s">
        <v>101</v>
      </c>
      <c r="F129" s="251">
        <v>2</v>
      </c>
      <c r="G129" s="253" t="s">
        <v>1772</v>
      </c>
      <c r="H129" s="253">
        <v>12</v>
      </c>
      <c r="I129" s="100">
        <f t="shared" si="6"/>
        <v>1.44</v>
      </c>
      <c r="J129" s="1163"/>
      <c r="K129" s="1163"/>
      <c r="L129" s="1163"/>
      <c r="M129" s="1163"/>
      <c r="N129" s="1163"/>
      <c r="O129" s="592"/>
    </row>
    <row r="130" spans="1:15" s="250" customFormat="1" x14ac:dyDescent="0.25">
      <c r="A130" s="1127">
        <v>190</v>
      </c>
      <c r="B130" s="555" t="s">
        <v>1771</v>
      </c>
      <c r="C130" s="253" t="s">
        <v>1770</v>
      </c>
      <c r="D130" s="100">
        <v>0.5</v>
      </c>
      <c r="E130" s="253" t="s">
        <v>64</v>
      </c>
      <c r="F130" s="251">
        <v>12</v>
      </c>
      <c r="G130" s="253"/>
      <c r="H130" s="253">
        <v>1</v>
      </c>
      <c r="I130" s="100">
        <f t="shared" si="6"/>
        <v>6</v>
      </c>
      <c r="J130" s="1163"/>
      <c r="K130" s="1163"/>
      <c r="L130" s="1163"/>
      <c r="M130" s="1163"/>
      <c r="N130" s="1163"/>
      <c r="O130" s="592"/>
    </row>
    <row r="131" spans="1:15" s="1162" customFormat="1" x14ac:dyDescent="0.25">
      <c r="A131" s="1127">
        <v>200</v>
      </c>
      <c r="B131" s="555" t="s">
        <v>136</v>
      </c>
      <c r="C131" s="253" t="s">
        <v>1769</v>
      </c>
      <c r="D131" s="100">
        <v>1.5</v>
      </c>
      <c r="E131" s="253" t="s">
        <v>64</v>
      </c>
      <c r="F131" s="251">
        <v>12</v>
      </c>
      <c r="G131" s="253"/>
      <c r="H131" s="253">
        <v>1</v>
      </c>
      <c r="I131" s="100">
        <f t="shared" si="6"/>
        <v>18</v>
      </c>
      <c r="J131" s="1160"/>
      <c r="K131" s="1160"/>
      <c r="L131" s="1160"/>
      <c r="M131" s="1160"/>
      <c r="N131" s="1160"/>
      <c r="O131" s="1161"/>
    </row>
    <row r="132" spans="1:15" s="250" customFormat="1" x14ac:dyDescent="0.25">
      <c r="A132" s="1127">
        <v>210</v>
      </c>
      <c r="B132" s="253" t="s">
        <v>84</v>
      </c>
      <c r="C132" s="253" t="s">
        <v>1768</v>
      </c>
      <c r="D132" s="100">
        <v>0.25</v>
      </c>
      <c r="E132" s="253" t="s">
        <v>64</v>
      </c>
      <c r="F132" s="251">
        <v>12</v>
      </c>
      <c r="G132" s="251"/>
      <c r="H132" s="251">
        <v>1</v>
      </c>
      <c r="I132" s="100">
        <f t="shared" si="6"/>
        <v>3</v>
      </c>
      <c r="J132" s="1163"/>
      <c r="K132" s="1163"/>
      <c r="L132" s="1163"/>
      <c r="M132" s="1163"/>
      <c r="N132" s="1163"/>
      <c r="O132" s="592"/>
    </row>
    <row r="133" spans="1:15" s="250" customFormat="1" x14ac:dyDescent="0.25">
      <c r="A133" s="1127">
        <v>220</v>
      </c>
      <c r="B133" s="555" t="s">
        <v>1767</v>
      </c>
      <c r="C133" s="253" t="s">
        <v>1766</v>
      </c>
      <c r="D133" s="100">
        <v>0.15</v>
      </c>
      <c r="E133" s="555" t="s">
        <v>101</v>
      </c>
      <c r="F133" s="251">
        <v>60</v>
      </c>
      <c r="G133" s="253"/>
      <c r="H133" s="253">
        <v>1</v>
      </c>
      <c r="I133" s="100">
        <f t="shared" si="6"/>
        <v>9</v>
      </c>
      <c r="J133" s="1163"/>
      <c r="K133" s="1163"/>
      <c r="L133" s="1163"/>
      <c r="M133" s="1163"/>
      <c r="N133" s="1163"/>
      <c r="O133" s="592"/>
    </row>
    <row r="134" spans="1:15" s="250" customFormat="1" x14ac:dyDescent="0.25">
      <c r="A134" s="1127">
        <v>230</v>
      </c>
      <c r="B134" s="555" t="s">
        <v>1765</v>
      </c>
      <c r="C134" s="253" t="s">
        <v>1758</v>
      </c>
      <c r="D134" s="100">
        <v>0.06</v>
      </c>
      <c r="E134" s="253" t="s">
        <v>101</v>
      </c>
      <c r="F134" s="251">
        <v>4.0999999999999996</v>
      </c>
      <c r="G134" s="253" t="s">
        <v>1182</v>
      </c>
      <c r="H134" s="253">
        <v>2</v>
      </c>
      <c r="I134" s="100">
        <f t="shared" si="6"/>
        <v>0.49199999999999994</v>
      </c>
      <c r="J134" s="1163"/>
      <c r="K134" s="1163"/>
      <c r="L134" s="1163"/>
      <c r="M134" s="1163"/>
      <c r="N134" s="1163"/>
      <c r="O134" s="592"/>
    </row>
    <row r="135" spans="1:15" s="1162" customFormat="1" x14ac:dyDescent="0.25">
      <c r="A135" s="1127">
        <v>240</v>
      </c>
      <c r="B135" s="555" t="s">
        <v>287</v>
      </c>
      <c r="C135" s="253" t="s">
        <v>1764</v>
      </c>
      <c r="D135" s="100">
        <v>0.19</v>
      </c>
      <c r="E135" s="253" t="s">
        <v>64</v>
      </c>
      <c r="F135" s="251">
        <v>4</v>
      </c>
      <c r="G135" s="253"/>
      <c r="H135" s="253">
        <v>1</v>
      </c>
      <c r="I135" s="100">
        <f t="shared" si="6"/>
        <v>0.76</v>
      </c>
      <c r="J135" s="1160"/>
      <c r="K135" s="1160"/>
      <c r="L135" s="1160"/>
      <c r="M135" s="1160"/>
      <c r="N135" s="1160"/>
      <c r="O135" s="1161"/>
    </row>
    <row r="136" spans="1:15" s="245" customFormat="1" x14ac:dyDescent="0.25">
      <c r="A136" s="1632">
        <v>250</v>
      </c>
      <c r="B136" s="1633" t="s">
        <v>1763</v>
      </c>
      <c r="C136" s="1633" t="s">
        <v>1762</v>
      </c>
      <c r="D136" s="220">
        <v>9.375E-2</v>
      </c>
      <c r="E136" s="1633" t="s">
        <v>64</v>
      </c>
      <c r="F136" s="1634">
        <v>19</v>
      </c>
      <c r="G136" s="1634"/>
      <c r="H136" s="1634">
        <v>1</v>
      </c>
      <c r="I136" s="220">
        <f t="shared" si="6"/>
        <v>1.78125</v>
      </c>
      <c r="J136" s="1160"/>
      <c r="K136" s="1160"/>
      <c r="L136" s="1160"/>
      <c r="M136" s="1160"/>
      <c r="N136" s="1160"/>
      <c r="O136" s="734"/>
    </row>
    <row r="137" spans="1:15" s="245" customFormat="1" x14ac:dyDescent="0.25">
      <c r="A137" s="1635">
        <v>260</v>
      </c>
      <c r="B137" s="1548" t="s">
        <v>2688</v>
      </c>
      <c r="C137" s="1635" t="s">
        <v>2689</v>
      </c>
      <c r="D137" s="1468">
        <v>2.5</v>
      </c>
      <c r="E137" s="1635" t="s">
        <v>64</v>
      </c>
      <c r="F137" s="1554">
        <v>6</v>
      </c>
      <c r="G137" s="1554"/>
      <c r="H137" s="1554">
        <v>1</v>
      </c>
      <c r="I137" s="1468">
        <f t="shared" si="6"/>
        <v>15</v>
      </c>
      <c r="J137" s="1160"/>
      <c r="K137" s="1160"/>
      <c r="L137" s="1160"/>
      <c r="M137" s="1160"/>
      <c r="N137" s="1160"/>
      <c r="O137" s="734"/>
    </row>
    <row r="138" spans="1:15" x14ac:dyDescent="0.25">
      <c r="A138" s="1106"/>
      <c r="B138" s="95"/>
      <c r="C138" s="95"/>
      <c r="D138" s="95"/>
      <c r="E138" s="95"/>
      <c r="F138" s="95"/>
      <c r="G138" s="95"/>
      <c r="H138" s="1105" t="s">
        <v>58</v>
      </c>
      <c r="I138" s="1104">
        <f>SUM(I112:I137)</f>
        <v>72.663749999999993</v>
      </c>
      <c r="J138" s="94"/>
      <c r="K138" s="94"/>
      <c r="L138" s="94"/>
      <c r="M138" s="94"/>
      <c r="N138" s="94"/>
      <c r="O138" s="594"/>
    </row>
    <row r="139" spans="1:15" x14ac:dyDescent="0.25">
      <c r="A139" s="1111"/>
      <c r="B139" s="94"/>
      <c r="C139" s="94"/>
      <c r="D139" s="94"/>
      <c r="E139" s="94"/>
      <c r="F139" s="94"/>
      <c r="G139" s="94"/>
      <c r="H139" s="94"/>
      <c r="I139" s="94"/>
      <c r="J139" s="94"/>
      <c r="K139" s="94"/>
      <c r="L139" s="94"/>
      <c r="M139" s="94"/>
      <c r="N139" s="94"/>
      <c r="O139" s="594"/>
    </row>
    <row r="140" spans="1:15" x14ac:dyDescent="0.25">
      <c r="A140" s="1110" t="s">
        <v>67</v>
      </c>
      <c r="B140" s="1109" t="s">
        <v>82</v>
      </c>
      <c r="C140" s="1109" t="s">
        <v>66</v>
      </c>
      <c r="D140" s="1109" t="s">
        <v>65</v>
      </c>
      <c r="E140" s="1109" t="s">
        <v>81</v>
      </c>
      <c r="F140" s="1109" t="s">
        <v>80</v>
      </c>
      <c r="G140" s="1109" t="s">
        <v>79</v>
      </c>
      <c r="H140" s="1109" t="s">
        <v>78</v>
      </c>
      <c r="I140" s="1109" t="s">
        <v>40</v>
      </c>
      <c r="J140" s="1109" t="s">
        <v>58</v>
      </c>
      <c r="K140" s="94"/>
      <c r="L140" s="94"/>
      <c r="M140" s="94"/>
      <c r="N140" s="94"/>
      <c r="O140" s="594"/>
    </row>
    <row r="141" spans="1:15" s="250" customFormat="1" x14ac:dyDescent="0.25">
      <c r="A141" s="1127">
        <v>10</v>
      </c>
      <c r="B141" s="1107" t="s">
        <v>72</v>
      </c>
      <c r="C141" s="1107" t="s">
        <v>1761</v>
      </c>
      <c r="D141" s="1120">
        <v>0.09</v>
      </c>
      <c r="E141" s="1107">
        <v>6</v>
      </c>
      <c r="F141" s="1116" t="s">
        <v>68</v>
      </c>
      <c r="G141" s="1107">
        <v>40</v>
      </c>
      <c r="H141" s="1115" t="s">
        <v>68</v>
      </c>
      <c r="I141" s="1114">
        <v>2</v>
      </c>
      <c r="J141" s="100">
        <f t="shared" ref="J141:J151" si="7">I141*D141</f>
        <v>0.18</v>
      </c>
      <c r="K141" s="1163"/>
      <c r="L141" s="1163"/>
      <c r="M141" s="1163"/>
      <c r="N141" s="1163"/>
      <c r="O141" s="592"/>
    </row>
    <row r="142" spans="1:15" s="250" customFormat="1" x14ac:dyDescent="0.25">
      <c r="A142" s="1127">
        <v>20</v>
      </c>
      <c r="B142" s="1164" t="s">
        <v>75</v>
      </c>
      <c r="C142" s="1107" t="s">
        <v>1761</v>
      </c>
      <c r="D142" s="988">
        <v>0.03</v>
      </c>
      <c r="E142" s="1107">
        <v>6</v>
      </c>
      <c r="F142" s="1116" t="s">
        <v>68</v>
      </c>
      <c r="G142" s="1107"/>
      <c r="H142" s="1115"/>
      <c r="I142" s="1114">
        <v>2</v>
      </c>
      <c r="J142" s="100">
        <f t="shared" si="7"/>
        <v>0.06</v>
      </c>
      <c r="K142" s="1163"/>
      <c r="L142" s="1163"/>
      <c r="M142" s="1163"/>
      <c r="N142" s="1163"/>
      <c r="O142" s="592"/>
    </row>
    <row r="143" spans="1:15" s="250" customFormat="1" x14ac:dyDescent="0.25">
      <c r="A143" s="1127">
        <v>30</v>
      </c>
      <c r="B143" s="1164" t="s">
        <v>74</v>
      </c>
      <c r="C143" s="1107" t="s">
        <v>1761</v>
      </c>
      <c r="D143" s="1120">
        <v>0.01</v>
      </c>
      <c r="E143" s="1107">
        <v>6</v>
      </c>
      <c r="F143" s="1116" t="s">
        <v>68</v>
      </c>
      <c r="G143" s="1107"/>
      <c r="H143" s="1115"/>
      <c r="I143" s="1114">
        <v>4</v>
      </c>
      <c r="J143" s="100">
        <f t="shared" si="7"/>
        <v>0.04</v>
      </c>
      <c r="K143" s="1163"/>
      <c r="L143" s="1163"/>
      <c r="M143" s="1163"/>
      <c r="N143" s="1163"/>
      <c r="O143" s="592"/>
    </row>
    <row r="144" spans="1:15" s="250" customFormat="1" ht="17.25" customHeight="1" x14ac:dyDescent="0.25">
      <c r="A144" s="1127">
        <v>40</v>
      </c>
      <c r="B144" s="1107" t="s">
        <v>72</v>
      </c>
      <c r="C144" s="1107" t="s">
        <v>1760</v>
      </c>
      <c r="D144" s="1120">
        <v>0.04</v>
      </c>
      <c r="E144" s="1107">
        <v>6</v>
      </c>
      <c r="F144" s="1116" t="s">
        <v>68</v>
      </c>
      <c r="G144" s="1107">
        <v>16</v>
      </c>
      <c r="H144" s="1115" t="s">
        <v>68</v>
      </c>
      <c r="I144" s="1114">
        <v>1</v>
      </c>
      <c r="J144" s="100">
        <f t="shared" si="7"/>
        <v>0.04</v>
      </c>
      <c r="K144" s="142"/>
      <c r="L144" s="142"/>
      <c r="M144" s="142"/>
      <c r="N144" s="142"/>
      <c r="O144" s="592"/>
    </row>
    <row r="145" spans="1:15" s="250" customFormat="1" x14ac:dyDescent="0.25">
      <c r="A145" s="1127">
        <v>50</v>
      </c>
      <c r="B145" s="1164" t="s">
        <v>75</v>
      </c>
      <c r="C145" s="1107" t="s">
        <v>1760</v>
      </c>
      <c r="D145" s="988">
        <v>0.03</v>
      </c>
      <c r="E145" s="1107">
        <v>6</v>
      </c>
      <c r="F145" s="1116" t="s">
        <v>68</v>
      </c>
      <c r="G145" s="1107"/>
      <c r="H145" s="1115"/>
      <c r="I145" s="1114">
        <v>1</v>
      </c>
      <c r="J145" s="100">
        <f t="shared" si="7"/>
        <v>0.03</v>
      </c>
      <c r="K145" s="1163"/>
      <c r="L145" s="1163"/>
      <c r="M145" s="1163"/>
      <c r="N145" s="1163"/>
      <c r="O145" s="592"/>
    </row>
    <row r="146" spans="1:15" s="250" customFormat="1" x14ac:dyDescent="0.25">
      <c r="A146" s="1127">
        <v>60</v>
      </c>
      <c r="B146" s="1164" t="s">
        <v>74</v>
      </c>
      <c r="C146" s="1107" t="s">
        <v>1760</v>
      </c>
      <c r="D146" s="1120">
        <v>0.01</v>
      </c>
      <c r="E146" s="1107">
        <v>6</v>
      </c>
      <c r="F146" s="1116" t="s">
        <v>68</v>
      </c>
      <c r="G146" s="1107"/>
      <c r="H146" s="1115"/>
      <c r="I146" s="1114">
        <v>2</v>
      </c>
      <c r="J146" s="100">
        <f t="shared" si="7"/>
        <v>0.02</v>
      </c>
      <c r="K146" s="1163"/>
      <c r="L146" s="1163"/>
      <c r="M146" s="1163"/>
      <c r="N146" s="1163"/>
      <c r="O146" s="592"/>
    </row>
    <row r="147" spans="1:15" s="250" customFormat="1" x14ac:dyDescent="0.25">
      <c r="A147" s="1127">
        <v>70</v>
      </c>
      <c r="B147" s="1107" t="s">
        <v>72</v>
      </c>
      <c r="C147" s="1107" t="s">
        <v>1759</v>
      </c>
      <c r="D147" s="1120">
        <v>0.26</v>
      </c>
      <c r="E147" s="1107">
        <v>8</v>
      </c>
      <c r="F147" s="1116" t="s">
        <v>68</v>
      </c>
      <c r="G147" s="1107"/>
      <c r="H147" s="1115"/>
      <c r="I147" s="1114">
        <v>1</v>
      </c>
      <c r="J147" s="100">
        <f t="shared" si="7"/>
        <v>0.26</v>
      </c>
      <c r="K147" s="1163"/>
      <c r="L147" s="1163"/>
      <c r="M147" s="1163"/>
      <c r="N147" s="1163"/>
      <c r="O147" s="592"/>
    </row>
    <row r="148" spans="1:15" s="250" customFormat="1" x14ac:dyDescent="0.25">
      <c r="A148" s="1127">
        <v>80</v>
      </c>
      <c r="B148" s="1164" t="s">
        <v>75</v>
      </c>
      <c r="C148" s="1107" t="s">
        <v>1759</v>
      </c>
      <c r="D148" s="1117">
        <v>0.04</v>
      </c>
      <c r="E148" s="1107">
        <v>8</v>
      </c>
      <c r="F148" s="1116" t="s">
        <v>68</v>
      </c>
      <c r="G148" s="1107"/>
      <c r="H148" s="1115"/>
      <c r="I148" s="1114">
        <v>2</v>
      </c>
      <c r="J148" s="100">
        <f t="shared" si="7"/>
        <v>0.08</v>
      </c>
      <c r="K148" s="142"/>
      <c r="L148" s="142"/>
      <c r="M148" s="142"/>
      <c r="N148" s="142"/>
      <c r="O148" s="592"/>
    </row>
    <row r="149" spans="1:15" s="250" customFormat="1" x14ac:dyDescent="0.25">
      <c r="A149" s="1127">
        <v>90</v>
      </c>
      <c r="B149" s="1164" t="s">
        <v>74</v>
      </c>
      <c r="C149" s="1107" t="s">
        <v>1759</v>
      </c>
      <c r="D149" s="1117">
        <v>0.01</v>
      </c>
      <c r="E149" s="1107">
        <v>8</v>
      </c>
      <c r="F149" s="1116" t="s">
        <v>68</v>
      </c>
      <c r="G149" s="1107"/>
      <c r="H149" s="1115"/>
      <c r="I149" s="1114">
        <v>1</v>
      </c>
      <c r="J149" s="100">
        <f t="shared" si="7"/>
        <v>0.01</v>
      </c>
      <c r="K149" s="1163"/>
      <c r="L149" s="1163"/>
      <c r="M149" s="1163"/>
      <c r="N149" s="1163"/>
      <c r="O149" s="592"/>
    </row>
    <row r="150" spans="1:15" s="250" customFormat="1" x14ac:dyDescent="0.25">
      <c r="A150" s="1127">
        <v>100</v>
      </c>
      <c r="B150" s="1123" t="s">
        <v>280</v>
      </c>
      <c r="C150" s="1107" t="s">
        <v>1758</v>
      </c>
      <c r="D150" s="1117">
        <v>0.55000000000000004</v>
      </c>
      <c r="E150" s="1107">
        <v>13</v>
      </c>
      <c r="F150" s="1116" t="s">
        <v>68</v>
      </c>
      <c r="G150" s="1107"/>
      <c r="H150" s="1115"/>
      <c r="I150" s="1114">
        <v>4</v>
      </c>
      <c r="J150" s="100">
        <f t="shared" si="7"/>
        <v>2.2000000000000002</v>
      </c>
      <c r="K150" s="1163"/>
      <c r="L150" s="1163"/>
      <c r="M150" s="1163"/>
      <c r="N150" s="1163"/>
      <c r="O150" s="592"/>
    </row>
    <row r="151" spans="1:15" s="250" customFormat="1" ht="30" x14ac:dyDescent="0.25">
      <c r="A151" s="1127">
        <v>110</v>
      </c>
      <c r="B151" s="1123" t="s">
        <v>1757</v>
      </c>
      <c r="C151" s="1107" t="s">
        <v>1756</v>
      </c>
      <c r="D151" s="1117">
        <v>0.04</v>
      </c>
      <c r="E151" s="1107"/>
      <c r="F151" s="1116"/>
      <c r="G151" s="1107"/>
      <c r="H151" s="1115"/>
      <c r="I151" s="1114">
        <v>19</v>
      </c>
      <c r="J151" s="100">
        <f t="shared" si="7"/>
        <v>0.76</v>
      </c>
      <c r="K151" s="142"/>
      <c r="L151" s="142"/>
      <c r="M151" s="142"/>
      <c r="N151" s="142"/>
      <c r="O151" s="592"/>
    </row>
    <row r="152" spans="1:15" x14ac:dyDescent="0.25">
      <c r="A152" s="1106"/>
      <c r="B152" s="95"/>
      <c r="C152" s="95"/>
      <c r="D152" s="95"/>
      <c r="E152" s="95"/>
      <c r="F152" s="95"/>
      <c r="G152" s="95"/>
      <c r="H152" s="95"/>
      <c r="I152" s="1113" t="s">
        <v>58</v>
      </c>
      <c r="J152" s="1112">
        <f>SUM(J141:J151)</f>
        <v>3.6799999999999997</v>
      </c>
      <c r="K152" s="94"/>
      <c r="L152" s="94"/>
      <c r="M152" s="94"/>
      <c r="N152" s="94"/>
      <c r="O152" s="594"/>
    </row>
    <row r="153" spans="1:15" x14ac:dyDescent="0.25">
      <c r="A153" s="1111"/>
      <c r="B153" s="94"/>
      <c r="C153" s="94"/>
      <c r="D153" s="94"/>
      <c r="E153" s="94"/>
      <c r="F153" s="94"/>
      <c r="G153" s="94"/>
      <c r="H153" s="94"/>
      <c r="I153" s="94"/>
      <c r="J153" s="94"/>
      <c r="K153" s="94"/>
      <c r="L153" s="94"/>
      <c r="M153" s="94"/>
      <c r="N153" s="94"/>
      <c r="O153" s="594"/>
    </row>
    <row r="154" spans="1:15" x14ac:dyDescent="0.25">
      <c r="A154" s="1110" t="s">
        <v>67</v>
      </c>
      <c r="B154" s="1109" t="s">
        <v>13</v>
      </c>
      <c r="C154" s="1109" t="s">
        <v>66</v>
      </c>
      <c r="D154" s="1109" t="s">
        <v>65</v>
      </c>
      <c r="E154" s="1109" t="s">
        <v>64</v>
      </c>
      <c r="F154" s="1109" t="s">
        <v>40</v>
      </c>
      <c r="G154" s="1109" t="s">
        <v>63</v>
      </c>
      <c r="H154" s="1109" t="s">
        <v>62</v>
      </c>
      <c r="I154" s="1109" t="s">
        <v>58</v>
      </c>
      <c r="J154" s="95"/>
      <c r="K154" s="94"/>
      <c r="L154" s="94"/>
      <c r="M154" s="94"/>
      <c r="N154" s="94"/>
      <c r="O154" s="594"/>
    </row>
    <row r="155" spans="1:15" s="1172" customFormat="1" x14ac:dyDescent="0.25">
      <c r="A155" s="1165">
        <v>10</v>
      </c>
      <c r="B155" s="1166" t="s">
        <v>61</v>
      </c>
      <c r="C155" s="1165" t="s">
        <v>1755</v>
      </c>
      <c r="D155" s="1167">
        <v>500</v>
      </c>
      <c r="E155" s="1165" t="s">
        <v>59</v>
      </c>
      <c r="F155" s="1165">
        <v>2</v>
      </c>
      <c r="G155" s="1165">
        <v>3000</v>
      </c>
      <c r="H155" s="1165">
        <v>1</v>
      </c>
      <c r="I155" s="1168">
        <f>D155*F155/G155*H155</f>
        <v>0.33333333333333331</v>
      </c>
      <c r="J155" s="1169"/>
      <c r="K155" s="1170"/>
      <c r="L155" s="1170"/>
      <c r="M155" s="1170"/>
      <c r="N155" s="1170"/>
      <c r="O155" s="1171"/>
    </row>
    <row r="156" spans="1:15" x14ac:dyDescent="0.25">
      <c r="A156" s="1106"/>
      <c r="B156" s="95"/>
      <c r="C156" s="95"/>
      <c r="D156" s="95"/>
      <c r="E156" s="95"/>
      <c r="F156" s="95"/>
      <c r="G156" s="95"/>
      <c r="H156" s="1105" t="s">
        <v>58</v>
      </c>
      <c r="I156" s="1104">
        <f>SUM(I155:I155)</f>
        <v>0.33333333333333331</v>
      </c>
      <c r="J156" s="95"/>
      <c r="K156" s="94"/>
      <c r="L156" s="94"/>
      <c r="M156" s="94"/>
      <c r="N156" s="94"/>
      <c r="O156" s="594"/>
    </row>
    <row r="157" spans="1:15" ht="15.75" thickBot="1" x14ac:dyDescent="0.3">
      <c r="A157" s="1103"/>
      <c r="B157" s="304"/>
      <c r="C157" s="304"/>
      <c r="D157" s="304"/>
      <c r="E157" s="304"/>
      <c r="F157" s="304"/>
      <c r="G157" s="304"/>
      <c r="H157" s="304"/>
      <c r="I157" s="304"/>
      <c r="J157" s="304"/>
      <c r="K157" s="304"/>
      <c r="L157" s="304"/>
      <c r="M157" s="304"/>
      <c r="N157" s="304"/>
      <c r="O157" s="588"/>
    </row>
  </sheetData>
  <hyperlinks>
    <hyperlink ref="B10" location="BR_01001" display="BR_01001"/>
    <hyperlink ref="B48" location="BR_02001" display="BR_02001"/>
    <hyperlink ref="B49" location="BR_02002" display="BR_02002"/>
    <hyperlink ref="B11" location="BR_01002" display="BR_01002"/>
    <hyperlink ref="B12" location="BR_01003" display="BR_01003"/>
    <hyperlink ref="B13" location="BR_01004" display="BR_01004"/>
    <hyperlink ref="B14" location="BR_01005" display="BR_01005"/>
    <hyperlink ref="B86" location="BR_03001" display="BR_03001"/>
    <hyperlink ref="B87" location="BR_03002" display="BR_03002"/>
    <hyperlink ref="B88" location="BR_03003" display="BR_03003"/>
    <hyperlink ref="B89" location="BR_03004" display="BR_03004"/>
    <hyperlink ref="B90" location="BR_03005" display="BR_03005"/>
    <hyperlink ref="B50" location="BR_02003" display="BR_02003"/>
    <hyperlink ref="B52" location="BR_02005" display="BR_02005"/>
    <hyperlink ref="B51" location="BR_02004" display="BR_02004"/>
    <hyperlink ref="B15" location="BR_01006" display="BR_01006"/>
    <hyperlink ref="B53" location="BR_02006" display="BR_02006"/>
    <hyperlink ref="B91" location="BR_03006" display="BR_03006"/>
  </hyperlinks>
  <pageMargins left="0.7" right="0.7" top="0.75" bottom="0.75" header="0.51180555555555496" footer="0.3"/>
  <pageSetup paperSize="9" scale="41" firstPageNumber="0" fitToHeight="0" orientation="portrait" r:id="rId1"/>
  <headerFooter>
    <oddFooter>&amp;C&amp;P</oddFooter>
  </headerFooter>
  <rowBreaks count="2" manualBreakCount="2">
    <brk id="37" max="16383" man="1"/>
    <brk id="75" max="16383" man="1"/>
  </rowBreak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360"/>
  <sheetViews>
    <sheetView zoomScale="80" zoomScaleNormal="80" zoomScaleSheetLayoutView="70" workbookViewId="0"/>
  </sheetViews>
  <sheetFormatPr baseColWidth="10" defaultColWidth="9.140625" defaultRowHeight="15" x14ac:dyDescent="0.25"/>
  <cols>
    <col min="1" max="1" width="11.7109375" style="89" customWidth="1"/>
    <col min="2" max="2" width="26" style="89" customWidth="1"/>
    <col min="3" max="3" width="24.140625" style="89" customWidth="1"/>
    <col min="4" max="4" width="12.7109375" style="89" customWidth="1"/>
    <col min="5" max="6" width="9.140625" style="89"/>
    <col min="7" max="7" width="17" style="89" customWidth="1"/>
    <col min="8" max="8" width="9.140625" style="89"/>
    <col min="9" max="9" width="19.140625" style="89" customWidth="1"/>
    <col min="10" max="10" width="14" style="89" customWidth="1"/>
    <col min="11" max="13" width="9.140625" style="89"/>
    <col min="14" max="14" width="11.140625" style="89" customWidth="1"/>
    <col min="15" max="15" width="3.140625" style="89" customWidth="1"/>
    <col min="16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1146" t="s">
        <v>57</v>
      </c>
      <c r="B2" s="133" t="s">
        <v>523</v>
      </c>
      <c r="C2" s="94"/>
      <c r="D2" s="94"/>
      <c r="E2" s="94"/>
      <c r="F2" s="94"/>
      <c r="G2" s="94"/>
      <c r="H2" s="94"/>
      <c r="I2" s="94"/>
      <c r="J2" s="1148" t="s">
        <v>51</v>
      </c>
      <c r="K2" s="138">
        <v>81</v>
      </c>
      <c r="L2" s="94"/>
      <c r="M2" s="1146" t="s">
        <v>113</v>
      </c>
      <c r="N2" s="100">
        <f>BR_01001_m+BR_01001_p</f>
        <v>8.1488905000000003</v>
      </c>
      <c r="O2" s="93"/>
    </row>
    <row r="3" spans="1:15" x14ac:dyDescent="0.25">
      <c r="A3" s="1146" t="s">
        <v>125</v>
      </c>
      <c r="B3" s="133" t="s">
        <v>11</v>
      </c>
      <c r="C3" s="94"/>
      <c r="D3" s="1146" t="s">
        <v>122</v>
      </c>
      <c r="E3" s="547"/>
      <c r="F3" s="94"/>
      <c r="G3" s="94"/>
      <c r="H3" s="94"/>
      <c r="I3" s="94"/>
      <c r="J3" s="94"/>
      <c r="K3" s="94"/>
      <c r="L3" s="94"/>
      <c r="M3" s="1146" t="s">
        <v>124</v>
      </c>
      <c r="N3" s="136">
        <v>1</v>
      </c>
      <c r="O3" s="93"/>
    </row>
    <row r="4" spans="1:15" x14ac:dyDescent="0.25">
      <c r="A4" s="1146" t="s">
        <v>123</v>
      </c>
      <c r="B4" s="270" t="str">
        <f>'BR Assemblies'!B4</f>
        <v>Front brake assembly</v>
      </c>
      <c r="C4" s="94"/>
      <c r="D4" s="1146" t="s">
        <v>119</v>
      </c>
      <c r="E4" s="94"/>
      <c r="F4" s="94"/>
      <c r="G4" s="94"/>
      <c r="H4" s="94"/>
      <c r="I4" s="94"/>
      <c r="J4" s="1147" t="s">
        <v>122</v>
      </c>
      <c r="K4" s="94"/>
      <c r="L4" s="94"/>
      <c r="M4" s="94"/>
      <c r="N4" s="94"/>
      <c r="O4" s="93"/>
    </row>
    <row r="5" spans="1:15" x14ac:dyDescent="0.25">
      <c r="A5" s="1146" t="s">
        <v>114</v>
      </c>
      <c r="B5" s="135" t="s">
        <v>1891</v>
      </c>
      <c r="C5" s="94"/>
      <c r="D5" s="1146" t="s">
        <v>116</v>
      </c>
      <c r="E5" s="94"/>
      <c r="F5" s="94"/>
      <c r="G5" s="94"/>
      <c r="H5" s="94"/>
      <c r="I5" s="94"/>
      <c r="J5" s="1147" t="s">
        <v>119</v>
      </c>
      <c r="K5" s="94"/>
      <c r="L5" s="94"/>
      <c r="M5" s="1146" t="s">
        <v>118</v>
      </c>
      <c r="N5" s="100">
        <f>N3*N2</f>
        <v>8.1488905000000003</v>
      </c>
      <c r="O5" s="93"/>
    </row>
    <row r="6" spans="1:15" x14ac:dyDescent="0.25">
      <c r="A6" s="1146" t="s">
        <v>121</v>
      </c>
      <c r="B6" s="269" t="s">
        <v>1890</v>
      </c>
      <c r="C6" s="94"/>
      <c r="D6" s="94"/>
      <c r="E6" s="94"/>
      <c r="F6" s="94"/>
      <c r="G6" s="94"/>
      <c r="H6" s="94"/>
      <c r="I6" s="94"/>
      <c r="J6" s="1147" t="s">
        <v>116</v>
      </c>
      <c r="K6" s="94"/>
      <c r="L6" s="94"/>
      <c r="M6" s="94"/>
      <c r="N6" s="94"/>
      <c r="O6" s="93"/>
    </row>
    <row r="7" spans="1:15" x14ac:dyDescent="0.25">
      <c r="A7" s="1146" t="s">
        <v>117</v>
      </c>
      <c r="B7" s="133" t="s">
        <v>23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1146" t="s">
        <v>115</v>
      </c>
      <c r="B8" s="133" t="s">
        <v>1889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266"/>
      <c r="B9" s="265"/>
      <c r="C9" s="265"/>
      <c r="D9" s="265"/>
      <c r="E9" s="265"/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1145" t="s">
        <v>67</v>
      </c>
      <c r="B10" s="1144" t="s">
        <v>112</v>
      </c>
      <c r="C10" s="1144" t="s">
        <v>66</v>
      </c>
      <c r="D10" s="1144" t="s">
        <v>65</v>
      </c>
      <c r="E10" s="1144" t="s">
        <v>81</v>
      </c>
      <c r="F10" s="1140" t="s">
        <v>80</v>
      </c>
      <c r="G10" s="1140" t="s">
        <v>79</v>
      </c>
      <c r="H10" s="1140" t="s">
        <v>78</v>
      </c>
      <c r="I10" s="1140" t="s">
        <v>111</v>
      </c>
      <c r="J10" s="1140" t="s">
        <v>110</v>
      </c>
      <c r="K10" s="1140" t="s">
        <v>109</v>
      </c>
      <c r="L10" s="1140" t="s">
        <v>108</v>
      </c>
      <c r="M10" s="1140" t="s">
        <v>40</v>
      </c>
      <c r="N10" s="1140" t="s">
        <v>58</v>
      </c>
      <c r="O10" s="93"/>
    </row>
    <row r="11" spans="1:15" s="250" customFormat="1" ht="30" x14ac:dyDescent="0.25">
      <c r="A11" s="1143">
        <v>10</v>
      </c>
      <c r="B11" s="402" t="s">
        <v>1872</v>
      </c>
      <c r="C11" s="296" t="s">
        <v>841</v>
      </c>
      <c r="D11" s="276">
        <v>2.25</v>
      </c>
      <c r="E11" s="296">
        <v>100</v>
      </c>
      <c r="F11" s="296" t="s">
        <v>68</v>
      </c>
      <c r="G11" s="296"/>
      <c r="H11" s="401"/>
      <c r="I11" s="700" t="s">
        <v>1871</v>
      </c>
      <c r="J11" s="1156">
        <f>(E11*10^-3)^2*3.14</f>
        <v>3.1400000000000004E-2</v>
      </c>
      <c r="K11" s="398">
        <v>4.4999999999999997E-3</v>
      </c>
      <c r="L11" s="319">
        <v>7860</v>
      </c>
      <c r="M11" s="397">
        <v>1</v>
      </c>
      <c r="N11" s="276">
        <f>IF(J11="",D11*M11,D11*J11*K11*L11*M11)</f>
        <v>2.4988904999999999</v>
      </c>
      <c r="O11" s="143"/>
    </row>
    <row r="12" spans="1:15" x14ac:dyDescent="0.25">
      <c r="A12" s="98"/>
      <c r="B12" s="95"/>
      <c r="C12" s="95"/>
      <c r="D12" s="95"/>
      <c r="E12" s="95"/>
      <c r="F12" s="95"/>
      <c r="G12" s="95"/>
      <c r="H12" s="95"/>
      <c r="I12" s="95"/>
      <c r="J12" s="95"/>
      <c r="K12" s="95"/>
      <c r="L12" s="95"/>
      <c r="M12" s="1142" t="s">
        <v>58</v>
      </c>
      <c r="N12" s="1136">
        <f>SUM(N11:N11)</f>
        <v>2.4988904999999999</v>
      </c>
      <c r="O12" s="93"/>
    </row>
    <row r="13" spans="1:15" x14ac:dyDescent="0.25">
      <c r="A13" s="107"/>
      <c r="B13" s="94"/>
      <c r="C13" s="94"/>
      <c r="D13" s="94"/>
      <c r="E13" s="94"/>
      <c r="F13" s="94"/>
      <c r="G13" s="94"/>
      <c r="H13" s="94"/>
      <c r="I13" s="94"/>
      <c r="J13" s="94"/>
      <c r="K13" s="94"/>
      <c r="L13" s="94"/>
      <c r="M13" s="94"/>
      <c r="N13" s="94"/>
      <c r="O13" s="93"/>
    </row>
    <row r="14" spans="1:15" x14ac:dyDescent="0.25">
      <c r="A14" s="1141" t="s">
        <v>67</v>
      </c>
      <c r="B14" s="1140" t="s">
        <v>106</v>
      </c>
      <c r="C14" s="1140" t="s">
        <v>66</v>
      </c>
      <c r="D14" s="1140" t="s">
        <v>65</v>
      </c>
      <c r="E14" s="1140" t="s">
        <v>64</v>
      </c>
      <c r="F14" s="1140" t="s">
        <v>40</v>
      </c>
      <c r="G14" s="1140" t="s">
        <v>105</v>
      </c>
      <c r="H14" s="1140" t="s">
        <v>104</v>
      </c>
      <c r="I14" s="1140" t="s">
        <v>58</v>
      </c>
      <c r="J14" s="95"/>
      <c r="K14" s="95"/>
      <c r="L14" s="95"/>
      <c r="M14" s="95"/>
      <c r="N14" s="95"/>
      <c r="O14" s="93"/>
    </row>
    <row r="15" spans="1:15" s="245" customFormat="1" ht="30" x14ac:dyDescent="0.25">
      <c r="A15" s="1139">
        <v>10</v>
      </c>
      <c r="B15" s="564" t="s">
        <v>516</v>
      </c>
      <c r="C15" s="367" t="s">
        <v>802</v>
      </c>
      <c r="D15" s="293">
        <v>1.3</v>
      </c>
      <c r="E15" s="564" t="s">
        <v>64</v>
      </c>
      <c r="F15" s="367">
        <v>1</v>
      </c>
      <c r="G15" s="367"/>
      <c r="H15" s="367"/>
      <c r="I15" s="293">
        <f>IF(H15="",D15*F15,D15*F15*H15)</f>
        <v>1.3</v>
      </c>
      <c r="J15" s="142"/>
      <c r="K15" s="142"/>
      <c r="L15" s="142"/>
      <c r="M15" s="142"/>
      <c r="N15" s="142"/>
      <c r="O15" s="120"/>
    </row>
    <row r="16" spans="1:15" ht="30" x14ac:dyDescent="0.25">
      <c r="A16" s="1138">
        <v>20</v>
      </c>
      <c r="B16" s="564" t="s">
        <v>541</v>
      </c>
      <c r="C16" s="325" t="s">
        <v>834</v>
      </c>
      <c r="D16" s="276">
        <v>0.01</v>
      </c>
      <c r="E16" s="325" t="s">
        <v>101</v>
      </c>
      <c r="F16" s="565">
        <v>116</v>
      </c>
      <c r="G16" s="564" t="s">
        <v>1870</v>
      </c>
      <c r="H16" s="299">
        <v>3.75</v>
      </c>
      <c r="I16" s="276">
        <f>IF(H16="",D16*F16,D16*F16*H16)</f>
        <v>4.3499999999999996</v>
      </c>
      <c r="J16" s="94"/>
      <c r="K16" s="94"/>
      <c r="L16" s="94"/>
      <c r="M16" s="94"/>
      <c r="N16" s="94"/>
      <c r="O16" s="93"/>
    </row>
    <row r="17" spans="1:15" x14ac:dyDescent="0.25">
      <c r="A17" s="98"/>
      <c r="B17" s="95"/>
      <c r="C17" s="95"/>
      <c r="D17" s="95"/>
      <c r="E17" s="95"/>
      <c r="F17" s="95"/>
      <c r="G17" s="95"/>
      <c r="H17" s="1137" t="s">
        <v>58</v>
      </c>
      <c r="I17" s="1136">
        <f>SUM(I15:I16)</f>
        <v>5.6499999999999995</v>
      </c>
      <c r="J17" s="95"/>
      <c r="K17" s="95"/>
      <c r="L17" s="95"/>
      <c r="M17" s="95"/>
      <c r="N17" s="95"/>
      <c r="O17" s="93"/>
    </row>
    <row r="18" spans="1:15" x14ac:dyDescent="0.25">
      <c r="A18" s="107"/>
      <c r="B18" s="94"/>
      <c r="C18" s="94"/>
      <c r="D18" s="94"/>
      <c r="E18" s="94"/>
      <c r="F18" s="94"/>
      <c r="G18" s="94"/>
      <c r="H18" s="94"/>
      <c r="I18" s="99"/>
      <c r="J18" s="94"/>
      <c r="K18" s="94"/>
      <c r="L18" s="94"/>
      <c r="M18" s="94"/>
      <c r="N18" s="94"/>
      <c r="O18" s="93"/>
    </row>
    <row r="19" spans="1:15" ht="15.75" thickBot="1" x14ac:dyDescent="0.3">
      <c r="A19" s="92"/>
      <c r="B19" s="91"/>
      <c r="C19" s="91"/>
      <c r="D19" s="91"/>
      <c r="E19" s="91"/>
      <c r="F19" s="91"/>
      <c r="G19" s="91"/>
      <c r="H19" s="91"/>
      <c r="I19" s="91"/>
      <c r="J19" s="91"/>
      <c r="K19" s="91"/>
      <c r="L19" s="91"/>
      <c r="M19" s="91"/>
      <c r="N19" s="91"/>
      <c r="O19" s="90"/>
    </row>
    <row r="20" spans="1:15" ht="15.75" thickBot="1" x14ac:dyDescent="0.3"/>
    <row r="21" spans="1:15" x14ac:dyDescent="0.25">
      <c r="A21" s="141"/>
      <c r="B21" s="140"/>
      <c r="C21" s="140"/>
      <c r="D21" s="140"/>
      <c r="E21" s="140"/>
      <c r="F21" s="140"/>
      <c r="G21" s="140"/>
      <c r="H21" s="140"/>
      <c r="I21" s="140"/>
      <c r="J21" s="140"/>
      <c r="K21" s="140"/>
      <c r="L21" s="140"/>
      <c r="M21" s="140"/>
      <c r="N21" s="140"/>
      <c r="O21" s="139"/>
    </row>
    <row r="22" spans="1:15" x14ac:dyDescent="0.25">
      <c r="A22" s="1146" t="s">
        <v>57</v>
      </c>
      <c r="B22" s="133" t="s">
        <v>523</v>
      </c>
      <c r="C22" s="94"/>
      <c r="D22" s="94"/>
      <c r="E22" s="94"/>
      <c r="F22" s="94"/>
      <c r="G22" s="94"/>
      <c r="H22" s="94"/>
      <c r="I22" s="94"/>
      <c r="J22" s="1148" t="s">
        <v>51</v>
      </c>
      <c r="K22" s="138">
        <v>81</v>
      </c>
      <c r="L22" s="94"/>
      <c r="M22" s="1146" t="s">
        <v>113</v>
      </c>
      <c r="N22" s="100">
        <f>BR_01002_m+BR_01002_p</f>
        <v>5.1644563450000005</v>
      </c>
      <c r="O22" s="93"/>
    </row>
    <row r="23" spans="1:15" x14ac:dyDescent="0.25">
      <c r="A23" s="1146" t="s">
        <v>125</v>
      </c>
      <c r="B23" s="133" t="s">
        <v>11</v>
      </c>
      <c r="C23" s="94"/>
      <c r="D23" s="1146" t="s">
        <v>122</v>
      </c>
      <c r="E23" s="94"/>
      <c r="F23" s="94"/>
      <c r="G23" s="94"/>
      <c r="H23" s="94"/>
      <c r="I23" s="94"/>
      <c r="J23" s="94"/>
      <c r="K23" s="94"/>
      <c r="L23" s="94"/>
      <c r="M23" s="1146" t="s">
        <v>124</v>
      </c>
      <c r="N23" s="136">
        <v>1</v>
      </c>
      <c r="O23" s="93"/>
    </row>
    <row r="24" spans="1:15" x14ac:dyDescent="0.25">
      <c r="A24" s="1146" t="s">
        <v>123</v>
      </c>
      <c r="B24" s="270" t="str">
        <f>'BR Assemblies'!B4</f>
        <v>Front brake assembly</v>
      </c>
      <c r="C24" s="94"/>
      <c r="D24" s="1146" t="s">
        <v>119</v>
      </c>
      <c r="E24" s="94"/>
      <c r="F24" s="94"/>
      <c r="G24" s="94"/>
      <c r="H24" s="94"/>
      <c r="I24" s="94"/>
      <c r="J24" s="1147" t="s">
        <v>122</v>
      </c>
      <c r="K24" s="94"/>
      <c r="L24" s="94"/>
      <c r="M24" s="94"/>
      <c r="N24" s="94"/>
      <c r="O24" s="93"/>
    </row>
    <row r="25" spans="1:15" x14ac:dyDescent="0.25">
      <c r="A25" s="1146" t="s">
        <v>114</v>
      </c>
      <c r="B25" s="135" t="s">
        <v>1888</v>
      </c>
      <c r="C25" s="94"/>
      <c r="D25" s="1146" t="s">
        <v>116</v>
      </c>
      <c r="E25" s="94"/>
      <c r="F25" s="94"/>
      <c r="G25" s="94"/>
      <c r="H25" s="94"/>
      <c r="I25" s="94"/>
      <c r="J25" s="1147" t="s">
        <v>119</v>
      </c>
      <c r="K25" s="94"/>
      <c r="L25" s="94"/>
      <c r="M25" s="1146" t="s">
        <v>118</v>
      </c>
      <c r="N25" s="100">
        <f>N23*N22</f>
        <v>5.1644563450000005</v>
      </c>
      <c r="O25" s="93"/>
    </row>
    <row r="26" spans="1:15" x14ac:dyDescent="0.25">
      <c r="A26" s="1146" t="s">
        <v>121</v>
      </c>
      <c r="B26" s="269" t="s">
        <v>1887</v>
      </c>
      <c r="C26" s="94"/>
      <c r="D26" s="94"/>
      <c r="E26" s="94"/>
      <c r="F26" s="94"/>
      <c r="G26" s="94"/>
      <c r="H26" s="94"/>
      <c r="I26" s="94"/>
      <c r="J26" s="1147" t="s">
        <v>116</v>
      </c>
      <c r="K26" s="94"/>
      <c r="L26" s="94"/>
      <c r="M26" s="94"/>
      <c r="N26" s="94"/>
      <c r="O26" s="93"/>
    </row>
    <row r="27" spans="1:15" x14ac:dyDescent="0.25">
      <c r="A27" s="1146" t="s">
        <v>117</v>
      </c>
      <c r="B27" s="133" t="s">
        <v>23</v>
      </c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94"/>
      <c r="N27" s="94"/>
      <c r="O27" s="93"/>
    </row>
    <row r="28" spans="1:15" x14ac:dyDescent="0.25">
      <c r="A28" s="1146" t="s">
        <v>115</v>
      </c>
      <c r="B28" s="133"/>
      <c r="C28" s="94"/>
      <c r="D28" s="94"/>
      <c r="E28" s="94"/>
      <c r="F28" s="94"/>
      <c r="G28" s="94"/>
      <c r="H28" s="94"/>
      <c r="I28" s="94"/>
      <c r="J28" s="94"/>
      <c r="K28" s="94"/>
      <c r="L28" s="94"/>
      <c r="M28" s="94"/>
      <c r="N28" s="94"/>
      <c r="O28" s="93"/>
    </row>
    <row r="29" spans="1:15" x14ac:dyDescent="0.25">
      <c r="A29" s="266"/>
      <c r="B29" s="265"/>
      <c r="C29" s="265"/>
      <c r="D29" s="265"/>
      <c r="E29" s="265"/>
      <c r="F29" s="94"/>
      <c r="G29" s="94"/>
      <c r="H29" s="94"/>
      <c r="I29" s="94"/>
      <c r="J29" s="94"/>
      <c r="K29" s="94"/>
      <c r="L29" s="94"/>
      <c r="M29" s="94"/>
      <c r="N29" s="94"/>
      <c r="O29" s="93"/>
    </row>
    <row r="30" spans="1:15" x14ac:dyDescent="0.25">
      <c r="A30" s="1145" t="s">
        <v>67</v>
      </c>
      <c r="B30" s="1144" t="s">
        <v>112</v>
      </c>
      <c r="C30" s="1144" t="s">
        <v>66</v>
      </c>
      <c r="D30" s="1144" t="s">
        <v>65</v>
      </c>
      <c r="E30" s="1144" t="s">
        <v>81</v>
      </c>
      <c r="F30" s="1140" t="s">
        <v>80</v>
      </c>
      <c r="G30" s="1140" t="s">
        <v>79</v>
      </c>
      <c r="H30" s="1140" t="s">
        <v>78</v>
      </c>
      <c r="I30" s="1140" t="s">
        <v>111</v>
      </c>
      <c r="J30" s="1140" t="s">
        <v>110</v>
      </c>
      <c r="K30" s="1140" t="s">
        <v>109</v>
      </c>
      <c r="L30" s="1140" t="s">
        <v>108</v>
      </c>
      <c r="M30" s="1140" t="s">
        <v>40</v>
      </c>
      <c r="N30" s="1140" t="s">
        <v>58</v>
      </c>
      <c r="O30" s="93"/>
    </row>
    <row r="31" spans="1:15" ht="30" x14ac:dyDescent="0.25">
      <c r="A31" s="1143">
        <v>10</v>
      </c>
      <c r="B31" s="402" t="s">
        <v>729</v>
      </c>
      <c r="C31" s="296" t="s">
        <v>841</v>
      </c>
      <c r="D31" s="276">
        <v>2.25</v>
      </c>
      <c r="E31" s="296">
        <v>70</v>
      </c>
      <c r="F31" s="296" t="s">
        <v>68</v>
      </c>
      <c r="G31" s="296"/>
      <c r="H31" s="401"/>
      <c r="I31" s="700" t="s">
        <v>1867</v>
      </c>
      <c r="J31" s="528">
        <f>(E31*10^-3)^2*3.14</f>
        <v>1.5386000000000002E-2</v>
      </c>
      <c r="K31" s="398">
        <v>4.4999999999999997E-3</v>
      </c>
      <c r="L31" s="319">
        <v>7860</v>
      </c>
      <c r="M31" s="397">
        <v>1</v>
      </c>
      <c r="N31" s="276">
        <f>IF(J31="",D31*M31,D31*J31*K31*L31*M31)</f>
        <v>1.2244563449999999</v>
      </c>
      <c r="O31" s="143"/>
    </row>
    <row r="32" spans="1:15" x14ac:dyDescent="0.25">
      <c r="A32" s="98"/>
      <c r="B32" s="95"/>
      <c r="C32" s="95"/>
      <c r="D32" s="95"/>
      <c r="E32" s="95"/>
      <c r="F32" s="95"/>
      <c r="G32" s="95"/>
      <c r="H32" s="95"/>
      <c r="I32" s="95"/>
      <c r="J32" s="95"/>
      <c r="K32" s="95"/>
      <c r="L32" s="95"/>
      <c r="M32" s="1142" t="s">
        <v>58</v>
      </c>
      <c r="N32" s="1136">
        <f>SUM(N31:N31)</f>
        <v>1.2244563449999999</v>
      </c>
      <c r="O32" s="93"/>
    </row>
    <row r="33" spans="1:15" x14ac:dyDescent="0.25">
      <c r="A33" s="107"/>
      <c r="B33" s="94"/>
      <c r="C33" s="94"/>
      <c r="D33" s="94"/>
      <c r="E33" s="94"/>
      <c r="F33" s="94"/>
      <c r="G33" s="94"/>
      <c r="H33" s="94"/>
      <c r="I33" s="94"/>
      <c r="J33" s="94"/>
      <c r="K33" s="94"/>
      <c r="L33" s="94"/>
      <c r="M33" s="94"/>
      <c r="N33" s="94"/>
      <c r="O33" s="93"/>
    </row>
    <row r="34" spans="1:15" x14ac:dyDescent="0.25">
      <c r="A34" s="1141" t="s">
        <v>67</v>
      </c>
      <c r="B34" s="1140" t="s">
        <v>106</v>
      </c>
      <c r="C34" s="1140" t="s">
        <v>66</v>
      </c>
      <c r="D34" s="1140" t="s">
        <v>65</v>
      </c>
      <c r="E34" s="1140" t="s">
        <v>64</v>
      </c>
      <c r="F34" s="1140" t="s">
        <v>40</v>
      </c>
      <c r="G34" s="1140" t="s">
        <v>105</v>
      </c>
      <c r="H34" s="1140" t="s">
        <v>104</v>
      </c>
      <c r="I34" s="1140" t="s">
        <v>58</v>
      </c>
      <c r="J34" s="95"/>
      <c r="K34" s="95"/>
      <c r="L34" s="95"/>
      <c r="M34" s="95"/>
      <c r="N34" s="95"/>
      <c r="O34" s="93"/>
    </row>
    <row r="35" spans="1:15" ht="30" x14ac:dyDescent="0.25">
      <c r="A35" s="1139">
        <v>10</v>
      </c>
      <c r="B35" s="564" t="s">
        <v>516</v>
      </c>
      <c r="C35" s="367" t="s">
        <v>802</v>
      </c>
      <c r="D35" s="293">
        <v>1.3</v>
      </c>
      <c r="E35" s="564" t="s">
        <v>64</v>
      </c>
      <c r="F35" s="367">
        <v>1</v>
      </c>
      <c r="G35" s="367"/>
      <c r="H35" s="367"/>
      <c r="I35" s="293">
        <f>IF(H35="",D35*F35,D35*F35*H35)</f>
        <v>1.3</v>
      </c>
      <c r="J35" s="142"/>
      <c r="K35" s="142"/>
      <c r="L35" s="142"/>
      <c r="M35" s="142"/>
      <c r="N35" s="142"/>
      <c r="O35" s="120"/>
    </row>
    <row r="36" spans="1:15" x14ac:dyDescent="0.25">
      <c r="A36" s="1138">
        <v>20</v>
      </c>
      <c r="B36" s="564" t="s">
        <v>541</v>
      </c>
      <c r="C36" s="325" t="s">
        <v>834</v>
      </c>
      <c r="D36" s="276">
        <v>0.01</v>
      </c>
      <c r="E36" s="325" t="s">
        <v>101</v>
      </c>
      <c r="F36" s="565">
        <v>88</v>
      </c>
      <c r="G36" s="564" t="s">
        <v>724</v>
      </c>
      <c r="H36" s="299">
        <v>3</v>
      </c>
      <c r="I36" s="276">
        <f>IF(H36="",D36*F36,D36*F36*H36)</f>
        <v>2.64</v>
      </c>
      <c r="J36" s="94"/>
      <c r="K36" s="94"/>
      <c r="L36" s="94"/>
      <c r="M36" s="94"/>
      <c r="N36" s="94"/>
      <c r="O36" s="93"/>
    </row>
    <row r="37" spans="1:15" x14ac:dyDescent="0.25">
      <c r="A37" s="98"/>
      <c r="B37" s="95"/>
      <c r="C37" s="95"/>
      <c r="D37" s="95"/>
      <c r="E37" s="95"/>
      <c r="F37" s="95"/>
      <c r="G37" s="95"/>
      <c r="H37" s="1137" t="s">
        <v>58</v>
      </c>
      <c r="I37" s="1136">
        <f>SUM(I35:I36)</f>
        <v>3.9400000000000004</v>
      </c>
      <c r="J37" s="95"/>
      <c r="K37" s="95"/>
      <c r="L37" s="95"/>
      <c r="M37" s="95"/>
      <c r="N37" s="95"/>
      <c r="O37" s="93"/>
    </row>
    <row r="38" spans="1:15" x14ac:dyDescent="0.25">
      <c r="A38" s="107"/>
      <c r="B38" s="94"/>
      <c r="C38" s="94"/>
      <c r="D38" s="94"/>
      <c r="E38" s="94"/>
      <c r="F38" s="94"/>
      <c r="G38" s="94"/>
      <c r="H38" s="94"/>
      <c r="I38" s="99"/>
      <c r="J38" s="94"/>
      <c r="K38" s="94"/>
      <c r="L38" s="94"/>
      <c r="M38" s="94"/>
      <c r="N38" s="94"/>
      <c r="O38" s="93"/>
    </row>
    <row r="39" spans="1:15" ht="15.75" thickBot="1" x14ac:dyDescent="0.3">
      <c r="A39" s="92"/>
      <c r="B39" s="91"/>
      <c r="C39" s="91"/>
      <c r="D39" s="91"/>
      <c r="E39" s="91"/>
      <c r="F39" s="91"/>
      <c r="G39" s="91"/>
      <c r="H39" s="91"/>
      <c r="I39" s="91"/>
      <c r="J39" s="91"/>
      <c r="K39" s="91"/>
      <c r="L39" s="91"/>
      <c r="M39" s="91"/>
      <c r="N39" s="91"/>
      <c r="O39" s="90"/>
    </row>
    <row r="40" spans="1:15" ht="15.75" thickBot="1" x14ac:dyDescent="0.3"/>
    <row r="41" spans="1:15" x14ac:dyDescent="0.25">
      <c r="A41" s="141"/>
      <c r="B41" s="140"/>
      <c r="C41" s="140"/>
      <c r="D41" s="140"/>
      <c r="E41" s="140"/>
      <c r="F41" s="140"/>
      <c r="G41" s="140"/>
      <c r="H41" s="140"/>
      <c r="I41" s="140"/>
      <c r="J41" s="140"/>
      <c r="K41" s="140"/>
      <c r="L41" s="140"/>
      <c r="M41" s="140"/>
      <c r="N41" s="140"/>
      <c r="O41" s="139"/>
    </row>
    <row r="42" spans="1:15" x14ac:dyDescent="0.25">
      <c r="A42" s="1146" t="s">
        <v>57</v>
      </c>
      <c r="B42" s="133" t="s">
        <v>523</v>
      </c>
      <c r="C42" s="94"/>
      <c r="D42" s="94"/>
      <c r="E42" s="94"/>
      <c r="F42" s="94"/>
      <c r="G42" s="94"/>
      <c r="H42" s="94"/>
      <c r="I42" s="94"/>
      <c r="J42" s="1148" t="s">
        <v>51</v>
      </c>
      <c r="K42" s="138">
        <v>81</v>
      </c>
      <c r="L42" s="94"/>
      <c r="M42" s="1146" t="s">
        <v>113</v>
      </c>
      <c r="N42" s="100">
        <f>BR_01003_m</f>
        <v>83</v>
      </c>
      <c r="O42" s="93"/>
    </row>
    <row r="43" spans="1:15" x14ac:dyDescent="0.25">
      <c r="A43" s="1146" t="s">
        <v>125</v>
      </c>
      <c r="B43" s="133" t="s">
        <v>11</v>
      </c>
      <c r="C43" s="94"/>
      <c r="D43" s="1146" t="s">
        <v>122</v>
      </c>
      <c r="E43" s="94"/>
      <c r="F43" s="94"/>
      <c r="G43" s="94"/>
      <c r="H43" s="94"/>
      <c r="I43" s="94"/>
      <c r="J43" s="94"/>
      <c r="K43" s="94"/>
      <c r="L43" s="94"/>
      <c r="M43" s="1146" t="s">
        <v>124</v>
      </c>
      <c r="N43" s="136">
        <v>1</v>
      </c>
      <c r="O43" s="93"/>
    </row>
    <row r="44" spans="1:15" x14ac:dyDescent="0.25">
      <c r="A44" s="1146" t="s">
        <v>123</v>
      </c>
      <c r="B44" s="270" t="str">
        <f>'BR Assemblies'!B4</f>
        <v>Front brake assembly</v>
      </c>
      <c r="C44" s="94"/>
      <c r="D44" s="1146" t="s">
        <v>119</v>
      </c>
      <c r="E44" s="94"/>
      <c r="F44" s="94"/>
      <c r="G44" s="94"/>
      <c r="H44" s="94"/>
      <c r="I44" s="94"/>
      <c r="J44" s="1147" t="s">
        <v>122</v>
      </c>
      <c r="K44" s="94"/>
      <c r="L44" s="94"/>
      <c r="M44" s="94"/>
      <c r="N44" s="94"/>
      <c r="O44" s="93"/>
    </row>
    <row r="45" spans="1:15" x14ac:dyDescent="0.25">
      <c r="A45" s="1146" t="s">
        <v>114</v>
      </c>
      <c r="B45" s="135" t="s">
        <v>1886</v>
      </c>
      <c r="C45" s="94"/>
      <c r="D45" s="1146" t="s">
        <v>116</v>
      </c>
      <c r="E45" s="94"/>
      <c r="F45" s="94"/>
      <c r="G45" s="94"/>
      <c r="H45" s="94"/>
      <c r="I45" s="94"/>
      <c r="J45" s="1147" t="s">
        <v>119</v>
      </c>
      <c r="K45" s="94"/>
      <c r="L45" s="94"/>
      <c r="M45" s="1146" t="s">
        <v>118</v>
      </c>
      <c r="N45" s="100">
        <f>N43*N42</f>
        <v>83</v>
      </c>
      <c r="O45" s="93"/>
    </row>
    <row r="46" spans="1:15" x14ac:dyDescent="0.25">
      <c r="A46" s="1146" t="s">
        <v>121</v>
      </c>
      <c r="B46" s="269" t="s">
        <v>1885</v>
      </c>
      <c r="C46" s="94"/>
      <c r="D46" s="94"/>
      <c r="E46" s="94"/>
      <c r="F46" s="94"/>
      <c r="G46" s="94"/>
      <c r="H46" s="94"/>
      <c r="I46" s="94"/>
      <c r="J46" s="1147" t="s">
        <v>116</v>
      </c>
      <c r="K46" s="94"/>
      <c r="L46" s="94"/>
      <c r="M46" s="94"/>
      <c r="N46" s="94"/>
      <c r="O46" s="93"/>
    </row>
    <row r="47" spans="1:15" x14ac:dyDescent="0.25">
      <c r="A47" s="1146" t="s">
        <v>117</v>
      </c>
      <c r="B47" s="133" t="s">
        <v>23</v>
      </c>
      <c r="C47" s="94"/>
      <c r="D47" s="94"/>
      <c r="E47" s="94"/>
      <c r="F47" s="94"/>
      <c r="G47" s="94"/>
      <c r="H47" s="94"/>
      <c r="I47" s="94"/>
      <c r="J47" s="94"/>
      <c r="K47" s="94"/>
      <c r="L47" s="94"/>
      <c r="M47" s="94"/>
      <c r="N47" s="94"/>
      <c r="O47" s="93"/>
    </row>
    <row r="48" spans="1:15" x14ac:dyDescent="0.25">
      <c r="A48" s="1146" t="s">
        <v>115</v>
      </c>
      <c r="B48" s="133" t="s">
        <v>697</v>
      </c>
      <c r="C48" s="94"/>
      <c r="D48" s="94"/>
      <c r="E48" s="94"/>
      <c r="F48" s="94"/>
      <c r="G48" s="94"/>
      <c r="H48" s="94"/>
      <c r="I48" s="94"/>
      <c r="J48" s="94"/>
      <c r="K48" s="94"/>
      <c r="L48" s="94"/>
      <c r="M48" s="94"/>
      <c r="N48" s="94"/>
      <c r="O48" s="93"/>
    </row>
    <row r="49" spans="1:15" x14ac:dyDescent="0.25">
      <c r="A49" s="266"/>
      <c r="B49" s="265"/>
      <c r="C49" s="265"/>
      <c r="D49" s="265"/>
      <c r="E49" s="265"/>
      <c r="F49" s="94"/>
      <c r="G49" s="94"/>
      <c r="H49" s="94"/>
      <c r="I49" s="94"/>
      <c r="J49" s="94"/>
      <c r="K49" s="94"/>
      <c r="L49" s="94"/>
      <c r="M49" s="94"/>
      <c r="N49" s="94"/>
      <c r="O49" s="93"/>
    </row>
    <row r="50" spans="1:15" x14ac:dyDescent="0.25">
      <c r="A50" s="1145" t="s">
        <v>67</v>
      </c>
      <c r="B50" s="1144" t="s">
        <v>112</v>
      </c>
      <c r="C50" s="1144" t="s">
        <v>66</v>
      </c>
      <c r="D50" s="1144" t="s">
        <v>65</v>
      </c>
      <c r="E50" s="1144" t="s">
        <v>81</v>
      </c>
      <c r="F50" s="1140" t="s">
        <v>80</v>
      </c>
      <c r="G50" s="1140" t="s">
        <v>79</v>
      </c>
      <c r="H50" s="1140" t="s">
        <v>78</v>
      </c>
      <c r="I50" s="1140" t="s">
        <v>111</v>
      </c>
      <c r="J50" s="1140" t="s">
        <v>110</v>
      </c>
      <c r="K50" s="1140" t="s">
        <v>109</v>
      </c>
      <c r="L50" s="1140" t="s">
        <v>108</v>
      </c>
      <c r="M50" s="1140" t="s">
        <v>40</v>
      </c>
      <c r="N50" s="1140" t="s">
        <v>58</v>
      </c>
      <c r="O50" s="93"/>
    </row>
    <row r="51" spans="1:15" x14ac:dyDescent="0.25">
      <c r="A51" s="402">
        <v>10</v>
      </c>
      <c r="B51" s="402" t="s">
        <v>1884</v>
      </c>
      <c r="C51" s="402" t="s">
        <v>1863</v>
      </c>
      <c r="D51" s="402">
        <v>83</v>
      </c>
      <c r="E51" s="296"/>
      <c r="F51" s="296"/>
      <c r="G51" s="296"/>
      <c r="H51" s="401"/>
      <c r="I51" s="400"/>
      <c r="J51" s="399"/>
      <c r="K51" s="398"/>
      <c r="L51" s="319"/>
      <c r="M51" s="397">
        <v>1</v>
      </c>
      <c r="N51" s="276">
        <f>IF(J51="",D51*M51,D51*J51*K51*L51*M51)</f>
        <v>83</v>
      </c>
      <c r="O51" s="143"/>
    </row>
    <row r="52" spans="1:15" x14ac:dyDescent="0.25">
      <c r="A52" s="98"/>
      <c r="B52" s="95"/>
      <c r="C52" s="95"/>
      <c r="D52" s="95"/>
      <c r="E52" s="95"/>
      <c r="F52" s="95"/>
      <c r="G52" s="95"/>
      <c r="H52" s="95"/>
      <c r="I52" s="95"/>
      <c r="J52" s="95"/>
      <c r="K52" s="95"/>
      <c r="L52" s="95"/>
      <c r="M52" s="1142" t="s">
        <v>58</v>
      </c>
      <c r="N52" s="1136">
        <f>SUM(N51:N51)</f>
        <v>83</v>
      </c>
      <c r="O52" s="93"/>
    </row>
    <row r="53" spans="1:15" x14ac:dyDescent="0.25">
      <c r="A53" s="98"/>
      <c r="B53" s="95"/>
      <c r="C53" s="95"/>
      <c r="D53" s="95"/>
      <c r="E53" s="95"/>
      <c r="F53" s="95"/>
      <c r="G53" s="95"/>
      <c r="H53" s="95"/>
      <c r="I53" s="95"/>
      <c r="J53" s="95"/>
      <c r="K53" s="95"/>
      <c r="L53" s="95"/>
      <c r="M53" s="523"/>
      <c r="N53" s="522"/>
      <c r="O53" s="93"/>
    </row>
    <row r="54" spans="1:15" x14ac:dyDescent="0.25">
      <c r="A54" s="98"/>
      <c r="B54" s="95"/>
      <c r="C54" s="95"/>
      <c r="D54" s="95"/>
      <c r="E54" s="95"/>
      <c r="F54" s="95"/>
      <c r="G54" s="95"/>
      <c r="H54" s="95"/>
      <c r="I54" s="95"/>
      <c r="J54" s="95"/>
      <c r="K54" s="95"/>
      <c r="L54" s="95"/>
      <c r="M54" s="523"/>
      <c r="N54" s="522"/>
      <c r="O54" s="93"/>
    </row>
    <row r="55" spans="1:15" x14ac:dyDescent="0.25">
      <c r="A55" s="98"/>
      <c r="B55" s="95"/>
      <c r="C55" s="95"/>
      <c r="D55" s="95"/>
      <c r="E55" s="95"/>
      <c r="F55" s="95"/>
      <c r="G55" s="95"/>
      <c r="H55" s="95"/>
      <c r="I55" s="95"/>
      <c r="J55" s="95"/>
      <c r="K55" s="95"/>
      <c r="L55" s="95"/>
      <c r="M55" s="523"/>
      <c r="N55" s="522"/>
      <c r="O55" s="93"/>
    </row>
    <row r="56" spans="1:15" x14ac:dyDescent="0.25">
      <c r="A56" s="98"/>
      <c r="B56" s="95"/>
      <c r="C56" s="95"/>
      <c r="D56" s="95"/>
      <c r="E56" s="95"/>
      <c r="F56" s="95"/>
      <c r="G56" s="95"/>
      <c r="H56" s="95"/>
      <c r="I56" s="95"/>
      <c r="J56" s="95"/>
      <c r="K56" s="95"/>
      <c r="L56" s="95"/>
      <c r="M56" s="523"/>
      <c r="N56" s="522"/>
      <c r="O56" s="93"/>
    </row>
    <row r="57" spans="1:15" x14ac:dyDescent="0.25">
      <c r="A57" s="98"/>
      <c r="B57" s="95"/>
      <c r="C57" s="95"/>
      <c r="D57" s="95"/>
      <c r="E57" s="95"/>
      <c r="F57" s="95"/>
      <c r="G57" s="95"/>
      <c r="H57" s="95"/>
      <c r="I57" s="95"/>
      <c r="J57" s="95"/>
      <c r="K57" s="95"/>
      <c r="L57" s="95"/>
      <c r="M57" s="523"/>
      <c r="N57" s="522"/>
      <c r="O57" s="93"/>
    </row>
    <row r="58" spans="1:15" x14ac:dyDescent="0.25">
      <c r="A58" s="98"/>
      <c r="B58" s="95"/>
      <c r="C58" s="95"/>
      <c r="D58" s="95"/>
      <c r="E58" s="95"/>
      <c r="F58" s="95"/>
      <c r="G58" s="95"/>
      <c r="H58" s="95"/>
      <c r="I58" s="95"/>
      <c r="J58" s="95"/>
      <c r="K58" s="95"/>
      <c r="L58" s="95"/>
      <c r="M58" s="523"/>
      <c r="N58" s="522"/>
      <c r="O58" s="93"/>
    </row>
    <row r="59" spans="1:15" x14ac:dyDescent="0.25">
      <c r="A59" s="107"/>
      <c r="B59" s="94"/>
      <c r="C59" s="94"/>
      <c r="D59" s="94"/>
      <c r="E59" s="94"/>
      <c r="F59" s="94"/>
      <c r="G59" s="94"/>
      <c r="H59" s="94"/>
      <c r="I59" s="94"/>
      <c r="J59" s="94"/>
      <c r="K59" s="94"/>
      <c r="L59" s="94"/>
      <c r="M59" s="94"/>
      <c r="N59" s="94"/>
      <c r="O59" s="93"/>
    </row>
    <row r="60" spans="1:15" ht="15.75" thickBot="1" x14ac:dyDescent="0.3">
      <c r="A60" s="92"/>
      <c r="B60" s="91"/>
      <c r="C60" s="91"/>
      <c r="D60" s="91"/>
      <c r="E60" s="91"/>
      <c r="F60" s="91"/>
      <c r="G60" s="91"/>
      <c r="H60" s="91"/>
      <c r="I60" s="91"/>
      <c r="J60" s="91"/>
      <c r="K60" s="91"/>
      <c r="L60" s="91"/>
      <c r="M60" s="91"/>
      <c r="N60" s="91"/>
      <c r="O60" s="90"/>
    </row>
    <row r="61" spans="1:15" ht="15.75" thickBot="1" x14ac:dyDescent="0.3"/>
    <row r="62" spans="1:15" x14ac:dyDescent="0.25">
      <c r="A62" s="141"/>
      <c r="B62" s="140"/>
      <c r="C62" s="140"/>
      <c r="D62" s="140"/>
      <c r="E62" s="140"/>
      <c r="F62" s="140"/>
      <c r="G62" s="140"/>
      <c r="H62" s="140"/>
      <c r="I62" s="140"/>
      <c r="J62" s="140"/>
      <c r="K62" s="140"/>
      <c r="L62" s="140"/>
      <c r="M62" s="140"/>
      <c r="N62" s="140"/>
      <c r="O62" s="139"/>
    </row>
    <row r="63" spans="1:15" x14ac:dyDescent="0.25">
      <c r="A63" s="1146" t="s">
        <v>57</v>
      </c>
      <c r="B63" s="133" t="s">
        <v>523</v>
      </c>
      <c r="C63" s="94"/>
      <c r="D63" s="94"/>
      <c r="E63" s="94"/>
      <c r="F63" s="94"/>
      <c r="G63" s="94"/>
      <c r="H63" s="94"/>
      <c r="I63" s="94"/>
      <c r="J63" s="1148" t="s">
        <v>51</v>
      </c>
      <c r="K63" s="138">
        <v>81</v>
      </c>
      <c r="L63" s="94"/>
      <c r="M63" s="1146" t="s">
        <v>113</v>
      </c>
      <c r="N63" s="100">
        <f>BR_01004_m</f>
        <v>2.6496</v>
      </c>
      <c r="O63" s="93"/>
    </row>
    <row r="64" spans="1:15" x14ac:dyDescent="0.25">
      <c r="A64" s="1146" t="s">
        <v>125</v>
      </c>
      <c r="B64" s="133" t="s">
        <v>11</v>
      </c>
      <c r="C64" s="94"/>
      <c r="D64" s="1146" t="s">
        <v>122</v>
      </c>
      <c r="E64" s="547"/>
      <c r="F64" s="94"/>
      <c r="G64" s="94"/>
      <c r="H64" s="94"/>
      <c r="I64" s="94"/>
      <c r="J64" s="94"/>
      <c r="K64" s="94"/>
      <c r="L64" s="94"/>
      <c r="M64" s="1146" t="s">
        <v>124</v>
      </c>
      <c r="N64" s="136">
        <v>2</v>
      </c>
      <c r="O64" s="93"/>
    </row>
    <row r="65" spans="1:15" x14ac:dyDescent="0.25">
      <c r="A65" s="1146" t="s">
        <v>123</v>
      </c>
      <c r="B65" s="270" t="str">
        <f>'BR Assemblies'!B4</f>
        <v>Front brake assembly</v>
      </c>
      <c r="C65" s="94"/>
      <c r="D65" s="1146" t="s">
        <v>119</v>
      </c>
      <c r="E65" s="94"/>
      <c r="F65" s="94"/>
      <c r="G65" s="94"/>
      <c r="H65" s="94"/>
      <c r="I65" s="94"/>
      <c r="J65" s="1147" t="s">
        <v>122</v>
      </c>
      <c r="K65" s="94"/>
      <c r="L65" s="94"/>
      <c r="M65" s="94"/>
      <c r="N65" s="94"/>
      <c r="O65" s="93"/>
    </row>
    <row r="66" spans="1:15" x14ac:dyDescent="0.25">
      <c r="A66" s="1146" t="s">
        <v>114</v>
      </c>
      <c r="B66" s="135" t="s">
        <v>1883</v>
      </c>
      <c r="C66" s="94"/>
      <c r="D66" s="1146" t="s">
        <v>116</v>
      </c>
      <c r="E66" s="94"/>
      <c r="F66" s="94"/>
      <c r="G66" s="94"/>
      <c r="H66" s="94"/>
      <c r="I66" s="94"/>
      <c r="J66" s="1147" t="s">
        <v>119</v>
      </c>
      <c r="K66" s="94"/>
      <c r="L66" s="94"/>
      <c r="M66" s="1146" t="s">
        <v>118</v>
      </c>
      <c r="N66" s="100">
        <f>N64*N63</f>
        <v>5.2991999999999999</v>
      </c>
      <c r="O66" s="93"/>
    </row>
    <row r="67" spans="1:15" x14ac:dyDescent="0.25">
      <c r="A67" s="1146" t="s">
        <v>121</v>
      </c>
      <c r="B67" s="269" t="s">
        <v>1882</v>
      </c>
      <c r="C67" s="94"/>
      <c r="D67" s="94"/>
      <c r="E67" s="94"/>
      <c r="F67" s="94"/>
      <c r="G67" s="94"/>
      <c r="H67" s="94"/>
      <c r="I67" s="94"/>
      <c r="J67" s="1147" t="s">
        <v>116</v>
      </c>
      <c r="K67" s="94"/>
      <c r="L67" s="94"/>
      <c r="M67" s="94"/>
      <c r="N67" s="94"/>
      <c r="O67" s="93"/>
    </row>
    <row r="68" spans="1:15" x14ac:dyDescent="0.25">
      <c r="A68" s="1146" t="s">
        <v>117</v>
      </c>
      <c r="B68" s="133" t="s">
        <v>23</v>
      </c>
      <c r="C68" s="94"/>
      <c r="D68" s="94"/>
      <c r="E68" s="94"/>
      <c r="F68" s="94"/>
      <c r="G68" s="94"/>
      <c r="H68" s="94"/>
      <c r="I68" s="94"/>
      <c r="J68" s="94"/>
      <c r="K68" s="94"/>
      <c r="L68" s="94"/>
      <c r="M68" s="94"/>
      <c r="N68" s="94"/>
      <c r="O68" s="93"/>
    </row>
    <row r="69" spans="1:15" x14ac:dyDescent="0.25">
      <c r="A69" s="1146" t="s">
        <v>115</v>
      </c>
      <c r="B69" s="133"/>
      <c r="C69" s="94"/>
      <c r="D69" s="94"/>
      <c r="E69" s="94"/>
      <c r="F69" s="94"/>
      <c r="G69" s="94"/>
      <c r="H69" s="94"/>
      <c r="I69" s="94"/>
      <c r="J69" s="94"/>
      <c r="K69" s="94"/>
      <c r="L69" s="94"/>
      <c r="M69" s="94"/>
      <c r="N69" s="94"/>
      <c r="O69" s="93"/>
    </row>
    <row r="70" spans="1:15" x14ac:dyDescent="0.25">
      <c r="A70" s="266"/>
      <c r="B70" s="265"/>
      <c r="C70" s="265"/>
      <c r="D70" s="265"/>
      <c r="E70" s="265"/>
      <c r="F70" s="94"/>
      <c r="G70" s="94"/>
      <c r="H70" s="94"/>
      <c r="I70" s="94"/>
      <c r="J70" s="94"/>
      <c r="K70" s="94"/>
      <c r="L70" s="94"/>
      <c r="M70" s="94"/>
      <c r="N70" s="94"/>
      <c r="O70" s="93"/>
    </row>
    <row r="71" spans="1:15" x14ac:dyDescent="0.25">
      <c r="A71" s="1145" t="s">
        <v>67</v>
      </c>
      <c r="B71" s="1144" t="s">
        <v>112</v>
      </c>
      <c r="C71" s="1144" t="s">
        <v>66</v>
      </c>
      <c r="D71" s="1144" t="s">
        <v>65</v>
      </c>
      <c r="E71" s="1144" t="s">
        <v>81</v>
      </c>
      <c r="F71" s="1140" t="s">
        <v>80</v>
      </c>
      <c r="G71" s="1140" t="s">
        <v>79</v>
      </c>
      <c r="H71" s="1140" t="s">
        <v>78</v>
      </c>
      <c r="I71" s="1140" t="s">
        <v>111</v>
      </c>
      <c r="J71" s="1140" t="s">
        <v>110</v>
      </c>
      <c r="K71" s="1140" t="s">
        <v>109</v>
      </c>
      <c r="L71" s="1140" t="s">
        <v>108</v>
      </c>
      <c r="M71" s="1140" t="s">
        <v>40</v>
      </c>
      <c r="N71" s="1140" t="s">
        <v>58</v>
      </c>
      <c r="O71" s="93"/>
    </row>
    <row r="72" spans="1:15" s="250" customFormat="1" ht="30" x14ac:dyDescent="0.25">
      <c r="A72" s="1143">
        <v>10</v>
      </c>
      <c r="B72" s="402" t="s">
        <v>1881</v>
      </c>
      <c r="C72" s="296" t="s">
        <v>1859</v>
      </c>
      <c r="D72" s="1152">
        <v>2.0000000000000001E-4</v>
      </c>
      <c r="E72" s="296">
        <v>72</v>
      </c>
      <c r="F72" s="296" t="s">
        <v>68</v>
      </c>
      <c r="G72" s="296">
        <v>40</v>
      </c>
      <c r="H72" s="401" t="s">
        <v>68</v>
      </c>
      <c r="I72" s="700" t="s">
        <v>1880</v>
      </c>
      <c r="J72" s="1151">
        <f>E72*G72</f>
        <v>2880</v>
      </c>
      <c r="K72" s="398">
        <v>4.5999999999999996</v>
      </c>
      <c r="L72" s="319">
        <v>1</v>
      </c>
      <c r="M72" s="397">
        <v>1</v>
      </c>
      <c r="N72" s="276">
        <f>IF(J72="",D72*M72,D72*J72*K72*L72*M72)</f>
        <v>2.6496</v>
      </c>
      <c r="O72" s="143"/>
    </row>
    <row r="73" spans="1:15" x14ac:dyDescent="0.25">
      <c r="A73" s="98"/>
      <c r="B73" s="95"/>
      <c r="C73" s="95"/>
      <c r="D73" s="95"/>
      <c r="E73" s="95"/>
      <c r="F73" s="95"/>
      <c r="G73" s="95"/>
      <c r="H73" s="95"/>
      <c r="I73" s="95"/>
      <c r="J73" s="95"/>
      <c r="K73" s="1155"/>
      <c r="L73" s="95"/>
      <c r="M73" s="1142" t="s">
        <v>58</v>
      </c>
      <c r="N73" s="1136">
        <f>SUM(N72:N72)</f>
        <v>2.6496</v>
      </c>
      <c r="O73" s="93"/>
    </row>
    <row r="74" spans="1:15" x14ac:dyDescent="0.25">
      <c r="A74" s="98"/>
      <c r="B74" s="95"/>
      <c r="C74" s="95"/>
      <c r="D74" s="95"/>
      <c r="E74" s="95"/>
      <c r="F74" s="95"/>
      <c r="G74" s="95"/>
      <c r="H74" s="95"/>
      <c r="I74" s="95"/>
      <c r="J74" s="95"/>
      <c r="K74" s="1155"/>
      <c r="L74" s="95"/>
      <c r="M74" s="523"/>
      <c r="N74" s="522"/>
      <c r="O74" s="93"/>
    </row>
    <row r="75" spans="1:15" x14ac:dyDescent="0.25">
      <c r="A75" s="98"/>
      <c r="B75" s="95"/>
      <c r="C75" s="95"/>
      <c r="D75" s="95"/>
      <c r="E75" s="95"/>
      <c r="F75" s="95"/>
      <c r="G75" s="95"/>
      <c r="H75" s="95"/>
      <c r="I75" s="95"/>
      <c r="J75" s="95"/>
      <c r="K75" s="1155"/>
      <c r="L75" s="95"/>
      <c r="M75" s="523"/>
      <c r="N75" s="522"/>
      <c r="O75" s="93"/>
    </row>
    <row r="76" spans="1:15" x14ac:dyDescent="0.25">
      <c r="A76" s="98"/>
      <c r="B76" s="95"/>
      <c r="C76" s="95"/>
      <c r="D76" s="95"/>
      <c r="E76" s="95"/>
      <c r="F76" s="95"/>
      <c r="G76" s="95"/>
      <c r="H76" s="95"/>
      <c r="I76" s="95"/>
      <c r="J76" s="95"/>
      <c r="K76" s="1155"/>
      <c r="L76" s="95"/>
      <c r="M76" s="523"/>
      <c r="N76" s="522"/>
      <c r="O76" s="93"/>
    </row>
    <row r="77" spans="1:15" x14ac:dyDescent="0.25">
      <c r="A77" s="98"/>
      <c r="B77" s="95"/>
      <c r="C77" s="95"/>
      <c r="D77" s="95"/>
      <c r="E77" s="95"/>
      <c r="F77" s="95"/>
      <c r="G77" s="95"/>
      <c r="H77" s="95"/>
      <c r="I77" s="95"/>
      <c r="J77" s="95"/>
      <c r="K77" s="1155"/>
      <c r="L77" s="95"/>
      <c r="M77" s="523"/>
      <c r="N77" s="522"/>
      <c r="O77" s="93"/>
    </row>
    <row r="78" spans="1:15" x14ac:dyDescent="0.25">
      <c r="A78" s="98"/>
      <c r="B78" s="95"/>
      <c r="C78" s="95"/>
      <c r="D78" s="95"/>
      <c r="E78" s="95"/>
      <c r="F78" s="95"/>
      <c r="G78" s="95"/>
      <c r="H78" s="95"/>
      <c r="I78" s="95"/>
      <c r="J78" s="95"/>
      <c r="K78" s="1155"/>
      <c r="L78" s="95"/>
      <c r="M78" s="523"/>
      <c r="N78" s="522"/>
      <c r="O78" s="93"/>
    </row>
    <row r="79" spans="1:15" x14ac:dyDescent="0.25">
      <c r="A79" s="98"/>
      <c r="B79" s="95"/>
      <c r="C79" s="95"/>
      <c r="D79" s="95"/>
      <c r="E79" s="95"/>
      <c r="F79" s="95"/>
      <c r="G79" s="95"/>
      <c r="H79" s="95"/>
      <c r="I79" s="95"/>
      <c r="J79" s="95"/>
      <c r="K79" s="1155"/>
      <c r="L79" s="95"/>
      <c r="M79" s="523"/>
      <c r="N79" s="522"/>
      <c r="O79" s="93"/>
    </row>
    <row r="80" spans="1:15" x14ac:dyDescent="0.25">
      <c r="A80" s="107"/>
      <c r="B80" s="94"/>
      <c r="C80" s="94"/>
      <c r="D80" s="94"/>
      <c r="E80" s="94"/>
      <c r="F80" s="94"/>
      <c r="G80" s="94"/>
      <c r="H80" s="94"/>
      <c r="I80" s="94"/>
      <c r="J80" s="94"/>
      <c r="K80" s="94"/>
      <c r="L80" s="94"/>
      <c r="M80" s="94"/>
      <c r="N80" s="94"/>
      <c r="O80" s="93"/>
    </row>
    <row r="81" spans="1:15" ht="15.75" thickBot="1" x14ac:dyDescent="0.3">
      <c r="A81" s="92"/>
      <c r="B81" s="91"/>
      <c r="C81" s="91"/>
      <c r="D81" s="91"/>
      <c r="E81" s="91"/>
      <c r="F81" s="91"/>
      <c r="G81" s="91"/>
      <c r="H81" s="91"/>
      <c r="I81" s="91"/>
      <c r="J81" s="91"/>
      <c r="K81" s="91"/>
      <c r="L81" s="91"/>
      <c r="M81" s="91"/>
      <c r="N81" s="91"/>
      <c r="O81" s="90"/>
    </row>
    <row r="82" spans="1:15" ht="15.75" thickBot="1" x14ac:dyDescent="0.3"/>
    <row r="83" spans="1:15" x14ac:dyDescent="0.25">
      <c r="A83" s="141"/>
      <c r="B83" s="140"/>
      <c r="C83" s="140"/>
      <c r="D83" s="140"/>
      <c r="E83" s="140"/>
      <c r="F83" s="140"/>
      <c r="G83" s="140"/>
      <c r="H83" s="140"/>
      <c r="I83" s="140"/>
      <c r="J83" s="140"/>
      <c r="K83" s="140"/>
      <c r="L83" s="140"/>
      <c r="M83" s="140"/>
      <c r="N83" s="140"/>
      <c r="O83" s="139"/>
    </row>
    <row r="84" spans="1:15" x14ac:dyDescent="0.25">
      <c r="A84" s="1146" t="s">
        <v>57</v>
      </c>
      <c r="B84" s="133" t="s">
        <v>523</v>
      </c>
      <c r="C84" s="94"/>
      <c r="D84" s="94"/>
      <c r="E84" s="94"/>
      <c r="F84" s="94"/>
      <c r="G84" s="94"/>
      <c r="H84" s="94"/>
      <c r="I84" s="94"/>
      <c r="J84" s="1148" t="s">
        <v>51</v>
      </c>
      <c r="K84" s="138">
        <v>81</v>
      </c>
      <c r="L84" s="94"/>
      <c r="M84" s="1146" t="s">
        <v>113</v>
      </c>
      <c r="N84" s="100">
        <f>BR_01005_m+BR_01005_p</f>
        <v>1.904507272</v>
      </c>
      <c r="O84" s="93"/>
    </row>
    <row r="85" spans="1:15" x14ac:dyDescent="0.25">
      <c r="A85" s="1146" t="s">
        <v>125</v>
      </c>
      <c r="B85" s="133" t="s">
        <v>11</v>
      </c>
      <c r="C85" s="94"/>
      <c r="D85" s="1146" t="s">
        <v>122</v>
      </c>
      <c r="E85" s="94"/>
      <c r="F85" s="94"/>
      <c r="G85" s="94"/>
      <c r="H85" s="94"/>
      <c r="I85" s="94"/>
      <c r="J85" s="94"/>
      <c r="K85" s="94"/>
      <c r="L85" s="94"/>
      <c r="M85" s="1146" t="s">
        <v>124</v>
      </c>
      <c r="N85" s="136">
        <v>4</v>
      </c>
      <c r="O85" s="93"/>
    </row>
    <row r="86" spans="1:15" x14ac:dyDescent="0.25">
      <c r="A86" s="1146" t="s">
        <v>123</v>
      </c>
      <c r="B86" s="270" t="str">
        <f>'BR Assemblies'!B4</f>
        <v>Front brake assembly</v>
      </c>
      <c r="C86" s="94"/>
      <c r="D86" s="1146" t="s">
        <v>119</v>
      </c>
      <c r="E86" s="94"/>
      <c r="F86" s="94"/>
      <c r="G86" s="94"/>
      <c r="H86" s="94"/>
      <c r="I86" s="94"/>
      <c r="J86" s="1147" t="s">
        <v>122</v>
      </c>
      <c r="K86" s="94"/>
      <c r="L86" s="94"/>
      <c r="M86" s="94"/>
      <c r="N86" s="94"/>
      <c r="O86" s="93"/>
    </row>
    <row r="87" spans="1:15" x14ac:dyDescent="0.25">
      <c r="A87" s="1146" t="s">
        <v>114</v>
      </c>
      <c r="B87" s="135" t="s">
        <v>1879</v>
      </c>
      <c r="C87" s="94"/>
      <c r="D87" s="1146" t="s">
        <v>116</v>
      </c>
      <c r="E87" s="94"/>
      <c r="F87" s="94"/>
      <c r="G87" s="94"/>
      <c r="H87" s="94"/>
      <c r="I87" s="94"/>
      <c r="J87" s="1147" t="s">
        <v>119</v>
      </c>
      <c r="K87" s="94"/>
      <c r="L87" s="94"/>
      <c r="M87" s="1146" t="s">
        <v>118</v>
      </c>
      <c r="N87" s="100">
        <f>N85*N84</f>
        <v>7.6180290880000001</v>
      </c>
      <c r="O87" s="93"/>
    </row>
    <row r="88" spans="1:15" x14ac:dyDescent="0.25">
      <c r="A88" s="1146" t="s">
        <v>121</v>
      </c>
      <c r="B88" s="269" t="s">
        <v>1878</v>
      </c>
      <c r="C88" s="94"/>
      <c r="D88" s="94"/>
      <c r="E88" s="94"/>
      <c r="F88" s="94"/>
      <c r="G88" s="94"/>
      <c r="H88" s="94"/>
      <c r="I88" s="94"/>
      <c r="J88" s="1147" t="s">
        <v>116</v>
      </c>
      <c r="K88" s="94"/>
      <c r="L88" s="94"/>
      <c r="M88" s="94"/>
      <c r="N88" s="94"/>
      <c r="O88" s="93"/>
    </row>
    <row r="89" spans="1:15" x14ac:dyDescent="0.25">
      <c r="A89" s="1146" t="s">
        <v>117</v>
      </c>
      <c r="B89" s="133" t="s">
        <v>23</v>
      </c>
      <c r="C89" s="94"/>
      <c r="D89" s="94"/>
      <c r="E89" s="94"/>
      <c r="F89" s="94"/>
      <c r="G89" s="94"/>
      <c r="H89" s="94"/>
      <c r="I89" s="94"/>
      <c r="J89" s="94"/>
      <c r="K89" s="94"/>
      <c r="L89" s="94"/>
      <c r="M89" s="94"/>
      <c r="N89" s="94"/>
      <c r="O89" s="93"/>
    </row>
    <row r="90" spans="1:15" x14ac:dyDescent="0.25">
      <c r="A90" s="1146" t="s">
        <v>115</v>
      </c>
      <c r="B90" s="133"/>
      <c r="C90" s="94"/>
      <c r="D90" s="94"/>
      <c r="E90" s="94"/>
      <c r="F90" s="94"/>
      <c r="G90" s="94"/>
      <c r="H90" s="94"/>
      <c r="I90" s="94"/>
      <c r="J90" s="94"/>
      <c r="K90" s="94"/>
      <c r="L90" s="94"/>
      <c r="M90" s="94"/>
      <c r="N90" s="94"/>
      <c r="O90" s="93"/>
    </row>
    <row r="91" spans="1:15" x14ac:dyDescent="0.25">
      <c r="A91" s="266"/>
      <c r="B91" s="265"/>
      <c r="C91" s="265"/>
      <c r="D91" s="265"/>
      <c r="E91" s="265"/>
      <c r="F91" s="94"/>
      <c r="G91" s="94"/>
      <c r="H91" s="94"/>
      <c r="I91" s="94"/>
      <c r="J91" s="94"/>
      <c r="K91" s="94"/>
      <c r="L91" s="94"/>
      <c r="M91" s="94"/>
      <c r="N91" s="94"/>
      <c r="O91" s="93"/>
    </row>
    <row r="92" spans="1:15" x14ac:dyDescent="0.25">
      <c r="A92" s="1145" t="s">
        <v>67</v>
      </c>
      <c r="B92" s="1144" t="s">
        <v>112</v>
      </c>
      <c r="C92" s="1144" t="s">
        <v>66</v>
      </c>
      <c r="D92" s="1144" t="s">
        <v>65</v>
      </c>
      <c r="E92" s="1144" t="s">
        <v>81</v>
      </c>
      <c r="F92" s="1140" t="s">
        <v>80</v>
      </c>
      <c r="G92" s="1140" t="s">
        <v>79</v>
      </c>
      <c r="H92" s="1140" t="s">
        <v>78</v>
      </c>
      <c r="I92" s="1140" t="s">
        <v>111</v>
      </c>
      <c r="J92" s="1140" t="s">
        <v>110</v>
      </c>
      <c r="K92" s="1140" t="s">
        <v>109</v>
      </c>
      <c r="L92" s="1140" t="s">
        <v>108</v>
      </c>
      <c r="M92" s="1140" t="s">
        <v>40</v>
      </c>
      <c r="N92" s="1140" t="s">
        <v>58</v>
      </c>
      <c r="O92" s="93"/>
    </row>
    <row r="93" spans="1:15" ht="30" x14ac:dyDescent="0.25">
      <c r="A93" s="1143">
        <v>10</v>
      </c>
      <c r="B93" s="402" t="s">
        <v>852</v>
      </c>
      <c r="C93" s="296" t="s">
        <v>1850</v>
      </c>
      <c r="D93" s="276">
        <v>4.2</v>
      </c>
      <c r="E93" s="296">
        <v>12</v>
      </c>
      <c r="F93" s="296" t="s">
        <v>68</v>
      </c>
      <c r="G93" s="296">
        <v>1</v>
      </c>
      <c r="H93" s="401" t="s">
        <v>68</v>
      </c>
      <c r="I93" s="700" t="s">
        <v>1875</v>
      </c>
      <c r="J93" s="521">
        <f>E93*G93*10^-6</f>
        <v>1.2E-5</v>
      </c>
      <c r="K93" s="398">
        <v>3.3000000000000002E-2</v>
      </c>
      <c r="L93" s="319">
        <v>2710</v>
      </c>
      <c r="M93" s="397">
        <v>1</v>
      </c>
      <c r="N93" s="276">
        <f>IF(J93="",D93*M93,D93*J93*K93*L93*M93)</f>
        <v>4.5072720000000005E-3</v>
      </c>
      <c r="O93" s="143"/>
    </row>
    <row r="94" spans="1:15" x14ac:dyDescent="0.25">
      <c r="A94" s="98"/>
      <c r="B94" s="95"/>
      <c r="C94" s="95"/>
      <c r="D94" s="95"/>
      <c r="E94" s="95"/>
      <c r="F94" s="95"/>
      <c r="G94" s="95"/>
      <c r="H94" s="95"/>
      <c r="I94" s="95"/>
      <c r="J94" s="95"/>
      <c r="K94" s="95"/>
      <c r="L94" s="95"/>
      <c r="M94" s="1142" t="s">
        <v>58</v>
      </c>
      <c r="N94" s="1136">
        <f>SUM(N93:N93)</f>
        <v>4.5072720000000005E-3</v>
      </c>
      <c r="O94" s="93"/>
    </row>
    <row r="95" spans="1:15" x14ac:dyDescent="0.25">
      <c r="A95" s="107"/>
      <c r="B95" s="94"/>
      <c r="C95" s="94"/>
      <c r="D95" s="94"/>
      <c r="E95" s="94"/>
      <c r="F95" s="94"/>
      <c r="G95" s="94"/>
      <c r="H95" s="94"/>
      <c r="I95" s="94"/>
      <c r="J95" s="94"/>
      <c r="K95" s="94"/>
      <c r="L95" s="94"/>
      <c r="M95" s="94"/>
      <c r="N95" s="94"/>
      <c r="O95" s="93"/>
    </row>
    <row r="96" spans="1:15" x14ac:dyDescent="0.25">
      <c r="A96" s="1141" t="s">
        <v>67</v>
      </c>
      <c r="B96" s="1140" t="s">
        <v>106</v>
      </c>
      <c r="C96" s="1140" t="s">
        <v>66</v>
      </c>
      <c r="D96" s="1140" t="s">
        <v>65</v>
      </c>
      <c r="E96" s="1140" t="s">
        <v>64</v>
      </c>
      <c r="F96" s="1140" t="s">
        <v>40</v>
      </c>
      <c r="G96" s="1140" t="s">
        <v>105</v>
      </c>
      <c r="H96" s="1140" t="s">
        <v>104</v>
      </c>
      <c r="I96" s="1140" t="s">
        <v>58</v>
      </c>
      <c r="J96" s="95"/>
      <c r="K96" s="95"/>
      <c r="L96" s="95"/>
      <c r="M96" s="95"/>
      <c r="N96" s="95"/>
      <c r="O96" s="93"/>
    </row>
    <row r="97" spans="1:15" ht="30" x14ac:dyDescent="0.25">
      <c r="A97" s="1139">
        <v>10</v>
      </c>
      <c r="B97" s="564" t="s">
        <v>516</v>
      </c>
      <c r="C97" s="367" t="s">
        <v>802</v>
      </c>
      <c r="D97" s="293">
        <v>1.3</v>
      </c>
      <c r="E97" s="564" t="s">
        <v>64</v>
      </c>
      <c r="F97" s="367">
        <v>1</v>
      </c>
      <c r="G97" s="367"/>
      <c r="H97" s="367"/>
      <c r="I97" s="293">
        <f>IF(H97="",D97*F97,D97*F97*H97)</f>
        <v>1.3</v>
      </c>
      <c r="J97" s="142"/>
      <c r="K97" s="142"/>
      <c r="L97" s="142"/>
      <c r="M97" s="142"/>
      <c r="N97" s="142"/>
      <c r="O97" s="120"/>
    </row>
    <row r="98" spans="1:15" ht="30" x14ac:dyDescent="0.25">
      <c r="A98" s="1138">
        <v>20</v>
      </c>
      <c r="B98" s="564" t="s">
        <v>541</v>
      </c>
      <c r="C98" s="325" t="s">
        <v>834</v>
      </c>
      <c r="D98" s="276">
        <v>0.01</v>
      </c>
      <c r="E98" s="325" t="s">
        <v>101</v>
      </c>
      <c r="F98" s="565">
        <v>10</v>
      </c>
      <c r="G98" s="564" t="s">
        <v>1285</v>
      </c>
      <c r="H98" s="299">
        <v>1</v>
      </c>
      <c r="I98" s="276">
        <f>IF(H98="",D98*F98,D98*F98*H98)</f>
        <v>0.1</v>
      </c>
      <c r="J98" s="94"/>
      <c r="K98" s="94"/>
      <c r="L98" s="94"/>
      <c r="M98" s="94"/>
      <c r="N98" s="94"/>
      <c r="O98" s="93"/>
    </row>
    <row r="99" spans="1:15" x14ac:dyDescent="0.25">
      <c r="A99" s="1138">
        <v>30</v>
      </c>
      <c r="B99" s="564" t="s">
        <v>1567</v>
      </c>
      <c r="C99" s="325"/>
      <c r="D99" s="276">
        <v>0.25</v>
      </c>
      <c r="E99" s="325" t="s">
        <v>64</v>
      </c>
      <c r="F99" s="565">
        <v>2</v>
      </c>
      <c r="G99" s="564"/>
      <c r="H99" s="299"/>
      <c r="I99" s="276">
        <f>IF(H99="",D99*F99,D99*F99*H99)</f>
        <v>0.5</v>
      </c>
      <c r="J99" s="94"/>
      <c r="K99" s="94"/>
      <c r="L99" s="94"/>
      <c r="M99" s="94"/>
      <c r="N99" s="94"/>
      <c r="O99" s="93"/>
    </row>
    <row r="100" spans="1:15" x14ac:dyDescent="0.25">
      <c r="A100" s="98"/>
      <c r="B100" s="95"/>
      <c r="C100" s="95"/>
      <c r="D100" s="95"/>
      <c r="E100" s="95"/>
      <c r="F100" s="95"/>
      <c r="G100" s="95"/>
      <c r="H100" s="1137" t="s">
        <v>58</v>
      </c>
      <c r="I100" s="1136">
        <f>SUM(I97:I99)</f>
        <v>1.9000000000000001</v>
      </c>
      <c r="J100" s="95"/>
      <c r="K100" s="95"/>
      <c r="L100" s="95"/>
      <c r="M100" s="95"/>
      <c r="N100" s="95"/>
      <c r="O100" s="93"/>
    </row>
    <row r="101" spans="1:15" x14ac:dyDescent="0.25">
      <c r="A101" s="107"/>
      <c r="B101" s="94"/>
      <c r="C101" s="94"/>
      <c r="D101" s="94"/>
      <c r="E101" s="94"/>
      <c r="F101" s="94"/>
      <c r="G101" s="94"/>
      <c r="H101" s="94"/>
      <c r="I101" s="99"/>
      <c r="J101" s="94"/>
      <c r="K101" s="94"/>
      <c r="L101" s="94"/>
      <c r="M101" s="94"/>
      <c r="N101" s="94"/>
      <c r="O101" s="93"/>
    </row>
    <row r="102" spans="1:15" ht="15.75" thickBot="1" x14ac:dyDescent="0.3">
      <c r="A102" s="92"/>
      <c r="B102" s="91"/>
      <c r="C102" s="91"/>
      <c r="D102" s="91"/>
      <c r="E102" s="91"/>
      <c r="F102" s="91"/>
      <c r="G102" s="91"/>
      <c r="H102" s="91"/>
      <c r="I102" s="91"/>
      <c r="J102" s="91"/>
      <c r="K102" s="91"/>
      <c r="L102" s="91"/>
      <c r="M102" s="91"/>
      <c r="N102" s="91"/>
      <c r="O102" s="90"/>
    </row>
    <row r="103" spans="1:15" ht="15.75" thickBot="1" x14ac:dyDescent="0.3"/>
    <row r="104" spans="1:15" x14ac:dyDescent="0.25">
      <c r="A104" s="141"/>
      <c r="B104" s="140"/>
      <c r="C104" s="140"/>
      <c r="D104" s="140"/>
      <c r="E104" s="140"/>
      <c r="F104" s="140"/>
      <c r="G104" s="140"/>
      <c r="H104" s="140"/>
      <c r="I104" s="140"/>
      <c r="J104" s="140"/>
      <c r="K104" s="140"/>
      <c r="L104" s="140"/>
      <c r="M104" s="140"/>
      <c r="N104" s="140"/>
      <c r="O104" s="139"/>
    </row>
    <row r="105" spans="1:15" x14ac:dyDescent="0.25">
      <c r="A105" s="1146" t="s">
        <v>57</v>
      </c>
      <c r="B105" s="133" t="s">
        <v>523</v>
      </c>
      <c r="C105" s="94"/>
      <c r="D105" s="94"/>
      <c r="E105" s="94"/>
      <c r="F105" s="94"/>
      <c r="G105" s="94"/>
      <c r="H105" s="94"/>
      <c r="I105" s="94"/>
      <c r="J105" s="1148" t="s">
        <v>51</v>
      </c>
      <c r="K105" s="138">
        <v>81</v>
      </c>
      <c r="L105" s="94"/>
      <c r="M105" s="1146" t="s">
        <v>113</v>
      </c>
      <c r="N105" s="100">
        <f>BR_01006_m+BR_01006_p</f>
        <v>1.6336877680000002</v>
      </c>
      <c r="O105" s="93"/>
    </row>
    <row r="106" spans="1:15" x14ac:dyDescent="0.25">
      <c r="A106" s="1146" t="s">
        <v>125</v>
      </c>
      <c r="B106" s="133" t="s">
        <v>11</v>
      </c>
      <c r="C106" s="94"/>
      <c r="D106" s="1146" t="s">
        <v>122</v>
      </c>
      <c r="E106" s="94"/>
      <c r="F106" s="94"/>
      <c r="G106" s="94"/>
      <c r="H106" s="94"/>
      <c r="I106" s="94"/>
      <c r="J106" s="94"/>
      <c r="K106" s="94"/>
      <c r="L106" s="94"/>
      <c r="M106" s="1146" t="s">
        <v>124</v>
      </c>
      <c r="N106" s="136">
        <v>4</v>
      </c>
      <c r="O106" s="93"/>
    </row>
    <row r="107" spans="1:15" x14ac:dyDescent="0.25">
      <c r="A107" s="1146" t="s">
        <v>123</v>
      </c>
      <c r="B107" s="270" t="str">
        <f>'BR Assemblies'!B4</f>
        <v>Front brake assembly</v>
      </c>
      <c r="C107" s="94"/>
      <c r="D107" s="1146" t="s">
        <v>119</v>
      </c>
      <c r="E107" s="94"/>
      <c r="F107" s="94"/>
      <c r="G107" s="94"/>
      <c r="H107" s="94"/>
      <c r="I107" s="94"/>
      <c r="J107" s="1147" t="s">
        <v>122</v>
      </c>
      <c r="K107" s="94"/>
      <c r="L107" s="94"/>
      <c r="M107" s="94"/>
      <c r="N107" s="94"/>
      <c r="O107" s="93"/>
    </row>
    <row r="108" spans="1:15" x14ac:dyDescent="0.25">
      <c r="A108" s="1146" t="s">
        <v>114</v>
      </c>
      <c r="B108" s="135" t="s">
        <v>1877</v>
      </c>
      <c r="C108" s="94"/>
      <c r="D108" s="1146" t="s">
        <v>116</v>
      </c>
      <c r="E108" s="94"/>
      <c r="F108" s="94"/>
      <c r="G108" s="94"/>
      <c r="H108" s="94"/>
      <c r="I108" s="94"/>
      <c r="J108" s="1147" t="s">
        <v>119</v>
      </c>
      <c r="K108" s="94"/>
      <c r="L108" s="94"/>
      <c r="M108" s="1146" t="s">
        <v>118</v>
      </c>
      <c r="N108" s="100">
        <f>N106*N105</f>
        <v>6.5347510720000006</v>
      </c>
      <c r="O108" s="93"/>
    </row>
    <row r="109" spans="1:15" x14ac:dyDescent="0.25">
      <c r="A109" s="1146" t="s">
        <v>121</v>
      </c>
      <c r="B109" s="269" t="s">
        <v>1876</v>
      </c>
      <c r="C109" s="94"/>
      <c r="D109" s="94"/>
      <c r="E109" s="94"/>
      <c r="F109" s="94"/>
      <c r="G109" s="94"/>
      <c r="H109" s="94"/>
      <c r="I109" s="94"/>
      <c r="J109" s="1147" t="s">
        <v>116</v>
      </c>
      <c r="K109" s="94"/>
      <c r="L109" s="94"/>
      <c r="M109" s="94"/>
      <c r="N109" s="94"/>
      <c r="O109" s="93"/>
    </row>
    <row r="110" spans="1:15" x14ac:dyDescent="0.25">
      <c r="A110" s="1146" t="s">
        <v>117</v>
      </c>
      <c r="B110" s="133" t="s">
        <v>23</v>
      </c>
      <c r="C110" s="94"/>
      <c r="D110" s="94"/>
      <c r="E110" s="94"/>
      <c r="F110" s="94"/>
      <c r="G110" s="94"/>
      <c r="H110" s="94"/>
      <c r="I110" s="94"/>
      <c r="J110" s="94"/>
      <c r="K110" s="94"/>
      <c r="L110" s="94"/>
      <c r="M110" s="94"/>
      <c r="N110" s="94"/>
      <c r="O110" s="93"/>
    </row>
    <row r="111" spans="1:15" x14ac:dyDescent="0.25">
      <c r="A111" s="1146" t="s">
        <v>115</v>
      </c>
      <c r="B111" s="133"/>
      <c r="C111" s="94"/>
      <c r="D111" s="94"/>
      <c r="E111" s="94"/>
      <c r="F111" s="94"/>
      <c r="G111" s="94"/>
      <c r="H111" s="94"/>
      <c r="I111" s="94"/>
      <c r="J111" s="94"/>
      <c r="K111" s="94"/>
      <c r="L111" s="94"/>
      <c r="M111" s="94"/>
      <c r="N111" s="94"/>
      <c r="O111" s="93"/>
    </row>
    <row r="112" spans="1:15" x14ac:dyDescent="0.25">
      <c r="A112" s="266"/>
      <c r="B112" s="265"/>
      <c r="C112" s="265"/>
      <c r="D112" s="265"/>
      <c r="E112" s="265"/>
      <c r="F112" s="94"/>
      <c r="G112" s="94"/>
      <c r="H112" s="94"/>
      <c r="I112" s="94"/>
      <c r="J112" s="94"/>
      <c r="K112" s="94"/>
      <c r="L112" s="94"/>
      <c r="M112" s="94"/>
      <c r="N112" s="94"/>
      <c r="O112" s="93"/>
    </row>
    <row r="113" spans="1:15" x14ac:dyDescent="0.25">
      <c r="A113" s="1145" t="s">
        <v>67</v>
      </c>
      <c r="B113" s="1144" t="s">
        <v>112</v>
      </c>
      <c r="C113" s="1144" t="s">
        <v>66</v>
      </c>
      <c r="D113" s="1144" t="s">
        <v>65</v>
      </c>
      <c r="E113" s="1144" t="s">
        <v>81</v>
      </c>
      <c r="F113" s="1140" t="s">
        <v>80</v>
      </c>
      <c r="G113" s="1140" t="s">
        <v>79</v>
      </c>
      <c r="H113" s="1140" t="s">
        <v>78</v>
      </c>
      <c r="I113" s="1140" t="s">
        <v>111</v>
      </c>
      <c r="J113" s="1140" t="s">
        <v>110</v>
      </c>
      <c r="K113" s="1140" t="s">
        <v>109</v>
      </c>
      <c r="L113" s="1140" t="s">
        <v>108</v>
      </c>
      <c r="M113" s="1140" t="s">
        <v>40</v>
      </c>
      <c r="N113" s="1140" t="s">
        <v>58</v>
      </c>
      <c r="O113" s="93"/>
    </row>
    <row r="114" spans="1:15" ht="30" x14ac:dyDescent="0.25">
      <c r="A114" s="1143">
        <v>10</v>
      </c>
      <c r="B114" s="402" t="s">
        <v>852</v>
      </c>
      <c r="C114" s="296" t="s">
        <v>1850</v>
      </c>
      <c r="D114" s="276">
        <v>4.2</v>
      </c>
      <c r="E114" s="296">
        <v>12</v>
      </c>
      <c r="F114" s="296" t="s">
        <v>68</v>
      </c>
      <c r="G114" s="296">
        <v>1</v>
      </c>
      <c r="H114" s="401" t="s">
        <v>68</v>
      </c>
      <c r="I114" s="700" t="s">
        <v>1875</v>
      </c>
      <c r="J114" s="521">
        <f>E114*G114*10^-6</f>
        <v>1.2E-5</v>
      </c>
      <c r="K114" s="398">
        <v>2.7E-2</v>
      </c>
      <c r="L114" s="319">
        <v>2710</v>
      </c>
      <c r="M114" s="397">
        <v>1</v>
      </c>
      <c r="N114" s="276">
        <f>IF(J114="",D114*M114,D114*J114*K114*L114*M114)</f>
        <v>3.6877680000000006E-3</v>
      </c>
      <c r="O114" s="143"/>
    </row>
    <row r="115" spans="1:15" x14ac:dyDescent="0.25">
      <c r="A115" s="98"/>
      <c r="B115" s="95"/>
      <c r="C115" s="95"/>
      <c r="D115" s="95"/>
      <c r="E115" s="95"/>
      <c r="F115" s="95"/>
      <c r="G115" s="95"/>
      <c r="H115" s="95"/>
      <c r="I115" s="95"/>
      <c r="J115" s="95"/>
      <c r="K115" s="95"/>
      <c r="L115" s="95"/>
      <c r="M115" s="1142" t="s">
        <v>58</v>
      </c>
      <c r="N115" s="1136">
        <f>SUM(N114:N114)</f>
        <v>3.6877680000000006E-3</v>
      </c>
      <c r="O115" s="93"/>
    </row>
    <row r="116" spans="1:15" x14ac:dyDescent="0.25">
      <c r="A116" s="107"/>
      <c r="B116" s="94"/>
      <c r="C116" s="94"/>
      <c r="D116" s="94"/>
      <c r="E116" s="94"/>
      <c r="F116" s="94"/>
      <c r="G116" s="94"/>
      <c r="H116" s="94"/>
      <c r="I116" s="94"/>
      <c r="J116" s="94"/>
      <c r="K116" s="94"/>
      <c r="L116" s="94"/>
      <c r="M116" s="94"/>
      <c r="N116" s="94"/>
      <c r="O116" s="93"/>
    </row>
    <row r="117" spans="1:15" x14ac:dyDescent="0.25">
      <c r="A117" s="1141" t="s">
        <v>67</v>
      </c>
      <c r="B117" s="1140" t="s">
        <v>106</v>
      </c>
      <c r="C117" s="1140" t="s">
        <v>66</v>
      </c>
      <c r="D117" s="1140" t="s">
        <v>65</v>
      </c>
      <c r="E117" s="1140" t="s">
        <v>64</v>
      </c>
      <c r="F117" s="1140" t="s">
        <v>40</v>
      </c>
      <c r="G117" s="1140" t="s">
        <v>105</v>
      </c>
      <c r="H117" s="1140" t="s">
        <v>104</v>
      </c>
      <c r="I117" s="1140" t="s">
        <v>58</v>
      </c>
      <c r="J117" s="95"/>
      <c r="K117" s="95"/>
      <c r="L117" s="95"/>
      <c r="M117" s="95"/>
      <c r="N117" s="95"/>
      <c r="O117" s="93"/>
    </row>
    <row r="118" spans="1:15" ht="30" x14ac:dyDescent="0.25">
      <c r="A118" s="1139">
        <v>10</v>
      </c>
      <c r="B118" s="564" t="s">
        <v>516</v>
      </c>
      <c r="C118" s="367" t="s">
        <v>802</v>
      </c>
      <c r="D118" s="293">
        <v>1.3</v>
      </c>
      <c r="E118" s="564" t="s">
        <v>64</v>
      </c>
      <c r="F118" s="367">
        <v>1</v>
      </c>
      <c r="G118" s="367"/>
      <c r="H118" s="367"/>
      <c r="I118" s="293">
        <f>IF(H118="",D118*F118,D118*F118*H118)</f>
        <v>1.3</v>
      </c>
      <c r="J118" s="142"/>
      <c r="K118" s="142"/>
      <c r="L118" s="142"/>
      <c r="M118" s="142"/>
      <c r="N118" s="142"/>
      <c r="O118" s="120"/>
    </row>
    <row r="119" spans="1:15" ht="30" x14ac:dyDescent="0.25">
      <c r="A119" s="1138">
        <v>20</v>
      </c>
      <c r="B119" s="564" t="s">
        <v>541</v>
      </c>
      <c r="C119" s="325" t="s">
        <v>834</v>
      </c>
      <c r="D119" s="276">
        <v>0.01</v>
      </c>
      <c r="E119" s="325" t="s">
        <v>101</v>
      </c>
      <c r="F119" s="565">
        <v>8</v>
      </c>
      <c r="G119" s="564" t="s">
        <v>1285</v>
      </c>
      <c r="H119" s="299">
        <v>1</v>
      </c>
      <c r="I119" s="276">
        <f>IF(H119="",D119*F119,D119*F119*H119)</f>
        <v>0.08</v>
      </c>
      <c r="J119" s="94"/>
      <c r="K119" s="94"/>
      <c r="L119" s="94"/>
      <c r="M119" s="94"/>
      <c r="N119" s="94"/>
      <c r="O119" s="93"/>
    </row>
    <row r="120" spans="1:15" x14ac:dyDescent="0.25">
      <c r="A120" s="1138">
        <v>30</v>
      </c>
      <c r="B120" s="564" t="s">
        <v>1567</v>
      </c>
      <c r="C120" s="325"/>
      <c r="D120" s="276">
        <v>0.25</v>
      </c>
      <c r="E120" s="325" t="s">
        <v>64</v>
      </c>
      <c r="F120" s="565">
        <v>1</v>
      </c>
      <c r="G120" s="564"/>
      <c r="H120" s="299"/>
      <c r="I120" s="276">
        <f>IF(H120="",D120*F120,D120*F120*H120)</f>
        <v>0.25</v>
      </c>
      <c r="J120" s="94"/>
      <c r="K120" s="94"/>
      <c r="L120" s="94"/>
      <c r="M120" s="94"/>
      <c r="N120" s="94"/>
      <c r="O120" s="93"/>
    </row>
    <row r="121" spans="1:15" x14ac:dyDescent="0.25">
      <c r="A121" s="98"/>
      <c r="B121" s="95"/>
      <c r="C121" s="95"/>
      <c r="D121" s="95"/>
      <c r="E121" s="95"/>
      <c r="F121" s="95"/>
      <c r="G121" s="95"/>
      <c r="H121" s="1137" t="s">
        <v>58</v>
      </c>
      <c r="I121" s="1136">
        <f>SUM(I118:I120)</f>
        <v>1.6300000000000001</v>
      </c>
      <c r="J121" s="95"/>
      <c r="K121" s="95"/>
      <c r="L121" s="95"/>
      <c r="M121" s="95"/>
      <c r="N121" s="95"/>
      <c r="O121" s="93"/>
    </row>
    <row r="122" spans="1:15" x14ac:dyDescent="0.25">
      <c r="A122" s="107"/>
      <c r="B122" s="94"/>
      <c r="C122" s="94"/>
      <c r="D122" s="94"/>
      <c r="E122" s="94"/>
      <c r="F122" s="94"/>
      <c r="G122" s="94"/>
      <c r="H122" s="94"/>
      <c r="I122" s="99"/>
      <c r="J122" s="94"/>
      <c r="K122" s="94"/>
      <c r="L122" s="94"/>
      <c r="M122" s="94"/>
      <c r="N122" s="94"/>
      <c r="O122" s="93"/>
    </row>
    <row r="123" spans="1:15" ht="15.75" thickBot="1" x14ac:dyDescent="0.3">
      <c r="A123" s="92"/>
      <c r="B123" s="91"/>
      <c r="C123" s="91"/>
      <c r="D123" s="91"/>
      <c r="E123" s="91"/>
      <c r="F123" s="91"/>
      <c r="G123" s="91"/>
      <c r="H123" s="91"/>
      <c r="I123" s="91"/>
      <c r="J123" s="91"/>
      <c r="K123" s="91"/>
      <c r="L123" s="91"/>
      <c r="M123" s="91"/>
      <c r="N123" s="91"/>
      <c r="O123" s="90"/>
    </row>
    <row r="124" spans="1:15" ht="15.75" thickBot="1" x14ac:dyDescent="0.3"/>
    <row r="125" spans="1:15" x14ac:dyDescent="0.25">
      <c r="A125" s="141"/>
      <c r="B125" s="140"/>
      <c r="C125" s="140"/>
      <c r="D125" s="140"/>
      <c r="E125" s="140"/>
      <c r="F125" s="140"/>
      <c r="G125" s="140"/>
      <c r="H125" s="140"/>
      <c r="I125" s="140"/>
      <c r="J125" s="140"/>
      <c r="K125" s="140"/>
      <c r="L125" s="140"/>
      <c r="M125" s="140"/>
      <c r="N125" s="140"/>
      <c r="O125" s="139"/>
    </row>
    <row r="126" spans="1:15" x14ac:dyDescent="0.25">
      <c r="A126" s="1146" t="s">
        <v>57</v>
      </c>
      <c r="B126" s="133" t="s">
        <v>523</v>
      </c>
      <c r="C126" s="94"/>
      <c r="D126" s="94"/>
      <c r="E126" s="94"/>
      <c r="F126" s="94"/>
      <c r="G126" s="94"/>
      <c r="H126" s="94"/>
      <c r="I126" s="94"/>
      <c r="J126" s="1148" t="s">
        <v>51</v>
      </c>
      <c r="K126" s="138">
        <v>81</v>
      </c>
      <c r="L126" s="94"/>
      <c r="M126" s="1146" t="s">
        <v>113</v>
      </c>
      <c r="N126" s="100">
        <f>BR_02001_m+BR_02001_p</f>
        <v>8.1488905000000003</v>
      </c>
      <c r="O126" s="93"/>
    </row>
    <row r="127" spans="1:15" x14ac:dyDescent="0.25">
      <c r="A127" s="1146" t="s">
        <v>125</v>
      </c>
      <c r="B127" s="133" t="s">
        <v>11</v>
      </c>
      <c r="C127" s="94"/>
      <c r="D127" s="1146" t="s">
        <v>122</v>
      </c>
      <c r="E127" s="94"/>
      <c r="F127" s="94"/>
      <c r="G127" s="94"/>
      <c r="H127" s="94"/>
      <c r="I127" s="94"/>
      <c r="J127" s="94"/>
      <c r="K127" s="94"/>
      <c r="L127" s="94"/>
      <c r="M127" s="1146" t="s">
        <v>124</v>
      </c>
      <c r="N127" s="136">
        <v>1</v>
      </c>
      <c r="O127" s="93"/>
    </row>
    <row r="128" spans="1:15" x14ac:dyDescent="0.25">
      <c r="A128" s="1146" t="s">
        <v>123</v>
      </c>
      <c r="B128" s="270" t="str">
        <f>'BR Assemblies'!B42</f>
        <v>Rear brake assembly</v>
      </c>
      <c r="C128" s="94"/>
      <c r="D128" s="1146" t="s">
        <v>119</v>
      </c>
      <c r="E128" s="94"/>
      <c r="F128" s="94"/>
      <c r="G128" s="94"/>
      <c r="H128" s="94"/>
      <c r="I128" s="94"/>
      <c r="J128" s="1147" t="s">
        <v>122</v>
      </c>
      <c r="K128" s="94"/>
      <c r="L128" s="94"/>
      <c r="M128" s="94"/>
      <c r="N128" s="94"/>
      <c r="O128" s="93"/>
    </row>
    <row r="129" spans="1:15" x14ac:dyDescent="0.25">
      <c r="A129" s="1146" t="s">
        <v>114</v>
      </c>
      <c r="B129" s="135" t="s">
        <v>1874</v>
      </c>
      <c r="C129" s="94"/>
      <c r="D129" s="1146" t="s">
        <v>116</v>
      </c>
      <c r="E129" s="94"/>
      <c r="F129" s="94"/>
      <c r="G129" s="94"/>
      <c r="H129" s="94"/>
      <c r="I129" s="94"/>
      <c r="J129" s="1147" t="s">
        <v>119</v>
      </c>
      <c r="K129" s="94"/>
      <c r="L129" s="94"/>
      <c r="M129" s="1146" t="s">
        <v>118</v>
      </c>
      <c r="N129" s="100">
        <f>N127*N126</f>
        <v>8.1488905000000003</v>
      </c>
      <c r="O129" s="93"/>
    </row>
    <row r="130" spans="1:15" x14ac:dyDescent="0.25">
      <c r="A130" s="1146" t="s">
        <v>121</v>
      </c>
      <c r="B130" s="269" t="s">
        <v>1873</v>
      </c>
      <c r="C130" s="94"/>
      <c r="D130" s="94"/>
      <c r="E130" s="94"/>
      <c r="F130" s="94"/>
      <c r="G130" s="94"/>
      <c r="H130" s="94"/>
      <c r="I130" s="94"/>
      <c r="J130" s="1147" t="s">
        <v>116</v>
      </c>
      <c r="K130" s="94"/>
      <c r="L130" s="94"/>
      <c r="M130" s="94"/>
      <c r="N130" s="94"/>
      <c r="O130" s="93"/>
    </row>
    <row r="131" spans="1:15" x14ac:dyDescent="0.25">
      <c r="A131" s="1146" t="s">
        <v>117</v>
      </c>
      <c r="B131" s="133" t="s">
        <v>23</v>
      </c>
      <c r="C131" s="94"/>
      <c r="D131" s="94"/>
      <c r="E131" s="94"/>
      <c r="F131" s="94"/>
      <c r="G131" s="94"/>
      <c r="H131" s="94"/>
      <c r="I131" s="94"/>
      <c r="J131" s="94"/>
      <c r="K131" s="94"/>
      <c r="L131" s="94"/>
      <c r="M131" s="94"/>
      <c r="N131" s="94"/>
      <c r="O131" s="93"/>
    </row>
    <row r="132" spans="1:15" x14ac:dyDescent="0.25">
      <c r="A132" s="1146" t="s">
        <v>115</v>
      </c>
      <c r="B132" s="133"/>
      <c r="C132" s="94"/>
      <c r="D132" s="94"/>
      <c r="E132" s="94"/>
      <c r="F132" s="94"/>
      <c r="G132" s="94"/>
      <c r="H132" s="94"/>
      <c r="I132" s="94"/>
      <c r="J132" s="94"/>
      <c r="K132" s="94"/>
      <c r="L132" s="94"/>
      <c r="M132" s="94"/>
      <c r="N132" s="94"/>
      <c r="O132" s="93"/>
    </row>
    <row r="133" spans="1:15" x14ac:dyDescent="0.25">
      <c r="A133" s="266"/>
      <c r="B133" s="265"/>
      <c r="C133" s="265"/>
      <c r="D133" s="265"/>
      <c r="E133" s="265"/>
      <c r="F133" s="94"/>
      <c r="G133" s="94"/>
      <c r="H133" s="94"/>
      <c r="I133" s="94"/>
      <c r="J133" s="94"/>
      <c r="K133" s="94"/>
      <c r="L133" s="94"/>
      <c r="M133" s="94"/>
      <c r="N133" s="94"/>
      <c r="O133" s="93"/>
    </row>
    <row r="134" spans="1:15" x14ac:dyDescent="0.25">
      <c r="A134" s="1145" t="s">
        <v>67</v>
      </c>
      <c r="B134" s="1144" t="s">
        <v>112</v>
      </c>
      <c r="C134" s="1144" t="s">
        <v>66</v>
      </c>
      <c r="D134" s="1144" t="s">
        <v>65</v>
      </c>
      <c r="E134" s="1144" t="s">
        <v>81</v>
      </c>
      <c r="F134" s="1140" t="s">
        <v>80</v>
      </c>
      <c r="G134" s="1140" t="s">
        <v>79</v>
      </c>
      <c r="H134" s="1140" t="s">
        <v>78</v>
      </c>
      <c r="I134" s="1140" t="s">
        <v>111</v>
      </c>
      <c r="J134" s="1140" t="s">
        <v>110</v>
      </c>
      <c r="K134" s="1140" t="s">
        <v>109</v>
      </c>
      <c r="L134" s="1140" t="s">
        <v>108</v>
      </c>
      <c r="M134" s="1140" t="s">
        <v>40</v>
      </c>
      <c r="N134" s="1140" t="s">
        <v>58</v>
      </c>
      <c r="O134" s="93"/>
    </row>
    <row r="135" spans="1:15" ht="30" x14ac:dyDescent="0.25">
      <c r="A135" s="1143">
        <v>10</v>
      </c>
      <c r="B135" s="402" t="s">
        <v>1872</v>
      </c>
      <c r="C135" s="296" t="s">
        <v>841</v>
      </c>
      <c r="D135" s="276">
        <v>2.25</v>
      </c>
      <c r="E135" s="296">
        <v>100</v>
      </c>
      <c r="F135" s="296" t="s">
        <v>68</v>
      </c>
      <c r="G135" s="296"/>
      <c r="H135" s="401"/>
      <c r="I135" s="700" t="s">
        <v>1871</v>
      </c>
      <c r="J135" s="528">
        <f>(E135*10^-3)^2*3.14</f>
        <v>3.1400000000000004E-2</v>
      </c>
      <c r="K135" s="398">
        <v>4.4999999999999997E-3</v>
      </c>
      <c r="L135" s="319">
        <v>7860</v>
      </c>
      <c r="M135" s="397">
        <v>1</v>
      </c>
      <c r="N135" s="276">
        <f>IF(J135="",D135*M135,D135*J135*K135*L135*M135)</f>
        <v>2.4988904999999999</v>
      </c>
      <c r="O135" s="143"/>
    </row>
    <row r="136" spans="1:15" x14ac:dyDescent="0.25">
      <c r="A136" s="98"/>
      <c r="B136" s="95"/>
      <c r="C136" s="95"/>
      <c r="D136" s="95"/>
      <c r="E136" s="95"/>
      <c r="F136" s="95"/>
      <c r="G136" s="95"/>
      <c r="H136" s="95"/>
      <c r="I136" s="95"/>
      <c r="J136" s="95"/>
      <c r="K136" s="95"/>
      <c r="L136" s="95"/>
      <c r="M136" s="1142" t="s">
        <v>58</v>
      </c>
      <c r="N136" s="1136">
        <f>SUM(N135:N135)</f>
        <v>2.4988904999999999</v>
      </c>
      <c r="O136" s="93"/>
    </row>
    <row r="137" spans="1:15" x14ac:dyDescent="0.25">
      <c r="A137" s="107"/>
      <c r="B137" s="94"/>
      <c r="C137" s="94"/>
      <c r="D137" s="94"/>
      <c r="E137" s="94"/>
      <c r="F137" s="94"/>
      <c r="G137" s="94"/>
      <c r="H137" s="94"/>
      <c r="I137" s="94"/>
      <c r="J137" s="94"/>
      <c r="K137" s="94"/>
      <c r="L137" s="94"/>
      <c r="M137" s="94"/>
      <c r="N137" s="94"/>
      <c r="O137" s="93"/>
    </row>
    <row r="138" spans="1:15" x14ac:dyDescent="0.25">
      <c r="A138" s="1141" t="s">
        <v>67</v>
      </c>
      <c r="B138" s="1140" t="s">
        <v>106</v>
      </c>
      <c r="C138" s="1140" t="s">
        <v>66</v>
      </c>
      <c r="D138" s="1140" t="s">
        <v>65</v>
      </c>
      <c r="E138" s="1140" t="s">
        <v>64</v>
      </c>
      <c r="F138" s="1140" t="s">
        <v>40</v>
      </c>
      <c r="G138" s="1140" t="s">
        <v>105</v>
      </c>
      <c r="H138" s="1140" t="s">
        <v>104</v>
      </c>
      <c r="I138" s="1140" t="s">
        <v>58</v>
      </c>
      <c r="J138" s="95"/>
      <c r="K138" s="95"/>
      <c r="L138" s="95"/>
      <c r="M138" s="95"/>
      <c r="N138" s="95"/>
      <c r="O138" s="93"/>
    </row>
    <row r="139" spans="1:15" ht="30" x14ac:dyDescent="0.25">
      <c r="A139" s="1139">
        <v>10</v>
      </c>
      <c r="B139" s="564" t="s">
        <v>516</v>
      </c>
      <c r="C139" s="367" t="s">
        <v>802</v>
      </c>
      <c r="D139" s="293">
        <v>1.3</v>
      </c>
      <c r="E139" s="564" t="s">
        <v>64</v>
      </c>
      <c r="F139" s="367">
        <v>1</v>
      </c>
      <c r="G139" s="367"/>
      <c r="H139" s="367"/>
      <c r="I139" s="293">
        <f>IF(H139="",D139*F139,D139*F139*H139)</f>
        <v>1.3</v>
      </c>
      <c r="J139" s="142"/>
      <c r="K139" s="142"/>
      <c r="L139" s="142"/>
      <c r="M139" s="142"/>
      <c r="N139" s="142"/>
      <c r="O139" s="120"/>
    </row>
    <row r="140" spans="1:15" ht="30" x14ac:dyDescent="0.25">
      <c r="A140" s="1138">
        <v>20</v>
      </c>
      <c r="B140" s="564" t="s">
        <v>541</v>
      </c>
      <c r="C140" s="325" t="s">
        <v>834</v>
      </c>
      <c r="D140" s="276">
        <v>0.01</v>
      </c>
      <c r="E140" s="325" t="s">
        <v>101</v>
      </c>
      <c r="F140" s="565">
        <v>116</v>
      </c>
      <c r="G140" s="564" t="s">
        <v>1870</v>
      </c>
      <c r="H140" s="299">
        <v>3.75</v>
      </c>
      <c r="I140" s="293">
        <f>IF(H140="",D140*F140,D140*F140*H140)</f>
        <v>4.3499999999999996</v>
      </c>
      <c r="J140" s="94"/>
      <c r="K140" s="94"/>
      <c r="L140" s="94"/>
      <c r="M140" s="94"/>
      <c r="N140" s="94"/>
      <c r="O140" s="93"/>
    </row>
    <row r="141" spans="1:15" x14ac:dyDescent="0.25">
      <c r="A141" s="98"/>
      <c r="B141" s="95"/>
      <c r="C141" s="95"/>
      <c r="D141" s="95"/>
      <c r="E141" s="95"/>
      <c r="F141" s="95"/>
      <c r="G141" s="95"/>
      <c r="H141" s="1137" t="s">
        <v>58</v>
      </c>
      <c r="I141" s="1136">
        <f>SUM(I139:I140)</f>
        <v>5.6499999999999995</v>
      </c>
      <c r="J141" s="95"/>
      <c r="K141" s="95"/>
      <c r="L141" s="95"/>
      <c r="M141" s="95"/>
      <c r="N141" s="95"/>
      <c r="O141" s="93"/>
    </row>
    <row r="142" spans="1:15" x14ac:dyDescent="0.25">
      <c r="A142" s="107"/>
      <c r="B142" s="94"/>
      <c r="C142" s="94"/>
      <c r="D142" s="94"/>
      <c r="E142" s="94"/>
      <c r="F142" s="94"/>
      <c r="G142" s="94"/>
      <c r="H142" s="94"/>
      <c r="I142" s="99"/>
      <c r="J142" s="94"/>
      <c r="K142" s="94"/>
      <c r="L142" s="94"/>
      <c r="M142" s="94"/>
      <c r="N142" s="94"/>
      <c r="O142" s="93"/>
    </row>
    <row r="143" spans="1:15" ht="15.75" thickBot="1" x14ac:dyDescent="0.3">
      <c r="A143" s="92"/>
      <c r="B143" s="91"/>
      <c r="C143" s="91"/>
      <c r="D143" s="91"/>
      <c r="E143" s="91"/>
      <c r="F143" s="91"/>
      <c r="G143" s="91"/>
      <c r="H143" s="91"/>
      <c r="I143" s="91"/>
      <c r="J143" s="91"/>
      <c r="K143" s="91"/>
      <c r="L143" s="91"/>
      <c r="M143" s="91"/>
      <c r="N143" s="91"/>
      <c r="O143" s="90"/>
    </row>
    <row r="144" spans="1:15" ht="15.75" thickBot="1" x14ac:dyDescent="0.3">
      <c r="A144" s="107"/>
      <c r="B144" s="94"/>
      <c r="C144" s="94"/>
      <c r="D144" s="94"/>
      <c r="E144" s="94"/>
      <c r="F144" s="94"/>
      <c r="G144" s="94"/>
      <c r="H144" s="94"/>
      <c r="I144" s="94"/>
      <c r="J144" s="94"/>
      <c r="K144" s="94"/>
      <c r="L144" s="94"/>
      <c r="M144" s="94"/>
      <c r="N144" s="94"/>
      <c r="O144" s="93"/>
    </row>
    <row r="145" spans="1:15" x14ac:dyDescent="0.25">
      <c r="A145" s="141"/>
      <c r="B145" s="140"/>
      <c r="C145" s="140"/>
      <c r="D145" s="140"/>
      <c r="E145" s="140"/>
      <c r="F145" s="140"/>
      <c r="G145" s="140"/>
      <c r="H145" s="140"/>
      <c r="I145" s="140"/>
      <c r="J145" s="140"/>
      <c r="K145" s="140"/>
      <c r="L145" s="140"/>
      <c r="M145" s="140"/>
      <c r="N145" s="140"/>
      <c r="O145" s="139"/>
    </row>
    <row r="146" spans="1:15" x14ac:dyDescent="0.25">
      <c r="A146" s="1146" t="s">
        <v>57</v>
      </c>
      <c r="B146" s="133" t="s">
        <v>523</v>
      </c>
      <c r="C146" s="94"/>
      <c r="D146" s="94"/>
      <c r="E146" s="94"/>
      <c r="F146" s="94"/>
      <c r="G146" s="94"/>
      <c r="H146" s="94"/>
      <c r="I146" s="94"/>
      <c r="J146" s="1148" t="s">
        <v>51</v>
      </c>
      <c r="K146" s="138">
        <v>81</v>
      </c>
      <c r="L146" s="94"/>
      <c r="M146" s="1146" t="s">
        <v>113</v>
      </c>
      <c r="N146" s="100">
        <f>BR_02002_m+BR_02002_p</f>
        <v>5.1644563450000005</v>
      </c>
      <c r="O146" s="93"/>
    </row>
    <row r="147" spans="1:15" x14ac:dyDescent="0.25">
      <c r="A147" s="1146" t="s">
        <v>125</v>
      </c>
      <c r="B147" s="133" t="s">
        <v>11</v>
      </c>
      <c r="C147" s="94"/>
      <c r="D147" s="1146" t="s">
        <v>122</v>
      </c>
      <c r="E147" s="547"/>
      <c r="F147" s="94"/>
      <c r="G147" s="94"/>
      <c r="H147" s="94"/>
      <c r="I147" s="94"/>
      <c r="J147" s="94"/>
      <c r="K147" s="94"/>
      <c r="L147" s="94"/>
      <c r="M147" s="1146" t="s">
        <v>124</v>
      </c>
      <c r="N147" s="136">
        <v>1</v>
      </c>
      <c r="O147" s="93"/>
    </row>
    <row r="148" spans="1:15" x14ac:dyDescent="0.25">
      <c r="A148" s="1146" t="s">
        <v>123</v>
      </c>
      <c r="B148" s="270" t="str">
        <f>'BR Assemblies'!B42</f>
        <v>Rear brake assembly</v>
      </c>
      <c r="C148" s="94"/>
      <c r="D148" s="1146" t="s">
        <v>119</v>
      </c>
      <c r="E148" s="94"/>
      <c r="F148" s="94"/>
      <c r="G148" s="94"/>
      <c r="H148" s="94"/>
      <c r="I148" s="94"/>
      <c r="J148" s="1147" t="s">
        <v>122</v>
      </c>
      <c r="K148" s="94"/>
      <c r="L148" s="94"/>
      <c r="M148" s="94"/>
      <c r="N148" s="94"/>
      <c r="O148" s="93"/>
    </row>
    <row r="149" spans="1:15" x14ac:dyDescent="0.25">
      <c r="A149" s="1146" t="s">
        <v>114</v>
      </c>
      <c r="B149" s="135" t="s">
        <v>1869</v>
      </c>
      <c r="C149" s="94"/>
      <c r="D149" s="1146" t="s">
        <v>116</v>
      </c>
      <c r="E149" s="94"/>
      <c r="F149" s="94"/>
      <c r="G149" s="94"/>
      <c r="H149" s="94"/>
      <c r="I149" s="94"/>
      <c r="J149" s="1147" t="s">
        <v>119</v>
      </c>
      <c r="K149" s="94"/>
      <c r="L149" s="94"/>
      <c r="M149" s="1146" t="s">
        <v>118</v>
      </c>
      <c r="N149" s="100">
        <f>N147*N146</f>
        <v>5.1644563450000005</v>
      </c>
      <c r="O149" s="93"/>
    </row>
    <row r="150" spans="1:15" x14ac:dyDescent="0.25">
      <c r="A150" s="1146" t="s">
        <v>121</v>
      </c>
      <c r="B150" s="269" t="s">
        <v>1868</v>
      </c>
      <c r="C150" s="94"/>
      <c r="D150" s="94"/>
      <c r="E150" s="94"/>
      <c r="F150" s="94"/>
      <c r="G150" s="94"/>
      <c r="H150" s="94"/>
      <c r="I150" s="94"/>
      <c r="J150" s="1147" t="s">
        <v>116</v>
      </c>
      <c r="K150" s="94"/>
      <c r="L150" s="94"/>
      <c r="M150" s="94"/>
      <c r="N150" s="94"/>
      <c r="O150" s="93"/>
    </row>
    <row r="151" spans="1:15" x14ac:dyDescent="0.25">
      <c r="A151" s="1146" t="s">
        <v>117</v>
      </c>
      <c r="B151" s="133" t="s">
        <v>23</v>
      </c>
      <c r="C151" s="94"/>
      <c r="D151" s="94"/>
      <c r="E151" s="94"/>
      <c r="F151" s="94"/>
      <c r="G151" s="94"/>
      <c r="H151" s="94"/>
      <c r="I151" s="94"/>
      <c r="J151" s="94"/>
      <c r="K151" s="94"/>
      <c r="L151" s="94"/>
      <c r="M151" s="94"/>
      <c r="N151" s="94"/>
      <c r="O151" s="93"/>
    </row>
    <row r="152" spans="1:15" x14ac:dyDescent="0.25">
      <c r="A152" s="1146" t="s">
        <v>115</v>
      </c>
      <c r="B152" s="133"/>
      <c r="C152" s="94"/>
      <c r="D152" s="94"/>
      <c r="E152" s="94"/>
      <c r="F152" s="94"/>
      <c r="G152" s="94"/>
      <c r="H152" s="94"/>
      <c r="I152" s="94"/>
      <c r="J152" s="94"/>
      <c r="K152" s="94"/>
      <c r="L152" s="94"/>
      <c r="M152" s="94"/>
      <c r="N152" s="94"/>
      <c r="O152" s="93"/>
    </row>
    <row r="153" spans="1:15" x14ac:dyDescent="0.25">
      <c r="A153" s="266"/>
      <c r="B153" s="265"/>
      <c r="C153" s="265"/>
      <c r="D153" s="265"/>
      <c r="E153" s="265"/>
      <c r="F153" s="94"/>
      <c r="G153" s="94"/>
      <c r="H153" s="94"/>
      <c r="I153" s="94"/>
      <c r="J153" s="94"/>
      <c r="K153" s="94"/>
      <c r="L153" s="94"/>
      <c r="M153" s="94"/>
      <c r="N153" s="94"/>
      <c r="O153" s="93"/>
    </row>
    <row r="154" spans="1:15" x14ac:dyDescent="0.25">
      <c r="A154" s="1145" t="s">
        <v>67</v>
      </c>
      <c r="B154" s="1144" t="s">
        <v>112</v>
      </c>
      <c r="C154" s="1144" t="s">
        <v>66</v>
      </c>
      <c r="D154" s="1144" t="s">
        <v>65</v>
      </c>
      <c r="E154" s="1144" t="s">
        <v>81</v>
      </c>
      <c r="F154" s="1140" t="s">
        <v>80</v>
      </c>
      <c r="G154" s="1140" t="s">
        <v>79</v>
      </c>
      <c r="H154" s="1140" t="s">
        <v>78</v>
      </c>
      <c r="I154" s="1140" t="s">
        <v>111</v>
      </c>
      <c r="J154" s="1140" t="s">
        <v>110</v>
      </c>
      <c r="K154" s="1140" t="s">
        <v>109</v>
      </c>
      <c r="L154" s="1140" t="s">
        <v>108</v>
      </c>
      <c r="M154" s="1140" t="s">
        <v>40</v>
      </c>
      <c r="N154" s="1140" t="s">
        <v>58</v>
      </c>
      <c r="O154" s="93"/>
    </row>
    <row r="155" spans="1:15" s="250" customFormat="1" ht="30" x14ac:dyDescent="0.25">
      <c r="A155" s="1143">
        <v>10</v>
      </c>
      <c r="B155" s="402" t="s">
        <v>729</v>
      </c>
      <c r="C155" s="296" t="s">
        <v>841</v>
      </c>
      <c r="D155" s="276">
        <v>2.25</v>
      </c>
      <c r="E155" s="296">
        <v>70</v>
      </c>
      <c r="F155" s="296" t="s">
        <v>68</v>
      </c>
      <c r="G155" s="296"/>
      <c r="H155" s="401"/>
      <c r="I155" s="1154" t="s">
        <v>1867</v>
      </c>
      <c r="J155" s="528">
        <f>(E155*10^-3)^2*3.14</f>
        <v>1.5386000000000002E-2</v>
      </c>
      <c r="K155" s="398">
        <v>4.4999999999999997E-3</v>
      </c>
      <c r="L155" s="319">
        <v>7860</v>
      </c>
      <c r="M155" s="397">
        <v>1</v>
      </c>
      <c r="N155" s="276">
        <f>IF(J155="",D155*M155,D155*J155*K155*L155*M155)</f>
        <v>1.2244563449999999</v>
      </c>
      <c r="O155" s="143"/>
    </row>
    <row r="156" spans="1:15" x14ac:dyDescent="0.25">
      <c r="A156" s="98"/>
      <c r="B156" s="95"/>
      <c r="C156" s="95"/>
      <c r="D156" s="95"/>
      <c r="E156" s="95"/>
      <c r="F156" s="95"/>
      <c r="G156" s="95"/>
      <c r="H156" s="95"/>
      <c r="I156" s="95"/>
      <c r="J156" s="95"/>
      <c r="K156" s="95"/>
      <c r="L156" s="95"/>
      <c r="M156" s="1142" t="s">
        <v>58</v>
      </c>
      <c r="N156" s="1136">
        <f>SUM(N155:N155)</f>
        <v>1.2244563449999999</v>
      </c>
      <c r="O156" s="93"/>
    </row>
    <row r="157" spans="1:15" x14ac:dyDescent="0.25">
      <c r="A157" s="107"/>
      <c r="B157" s="94"/>
      <c r="C157" s="94"/>
      <c r="D157" s="94"/>
      <c r="E157" s="94"/>
      <c r="F157" s="94"/>
      <c r="G157" s="94"/>
      <c r="H157" s="94"/>
      <c r="I157" s="94"/>
      <c r="J157" s="94"/>
      <c r="K157" s="94"/>
      <c r="L157" s="94"/>
      <c r="M157" s="94"/>
      <c r="N157" s="94"/>
      <c r="O157" s="93"/>
    </row>
    <row r="158" spans="1:15" x14ac:dyDescent="0.25">
      <c r="A158" s="1141" t="s">
        <v>67</v>
      </c>
      <c r="B158" s="1140" t="s">
        <v>106</v>
      </c>
      <c r="C158" s="1140" t="s">
        <v>66</v>
      </c>
      <c r="D158" s="1140" t="s">
        <v>65</v>
      </c>
      <c r="E158" s="1140" t="s">
        <v>64</v>
      </c>
      <c r="F158" s="1140" t="s">
        <v>40</v>
      </c>
      <c r="G158" s="1140" t="s">
        <v>105</v>
      </c>
      <c r="H158" s="1140" t="s">
        <v>104</v>
      </c>
      <c r="I158" s="1140" t="s">
        <v>58</v>
      </c>
      <c r="J158" s="95"/>
      <c r="K158" s="95"/>
      <c r="L158" s="95"/>
      <c r="M158" s="95"/>
      <c r="N158" s="95"/>
      <c r="O158" s="93"/>
    </row>
    <row r="159" spans="1:15" s="245" customFormat="1" ht="30" x14ac:dyDescent="0.25">
      <c r="A159" s="1139">
        <v>10</v>
      </c>
      <c r="B159" s="564" t="s">
        <v>516</v>
      </c>
      <c r="C159" s="367" t="s">
        <v>802</v>
      </c>
      <c r="D159" s="293">
        <v>1.3</v>
      </c>
      <c r="E159" s="564" t="s">
        <v>64</v>
      </c>
      <c r="F159" s="367">
        <v>1</v>
      </c>
      <c r="G159" s="367"/>
      <c r="H159" s="367"/>
      <c r="I159" s="293">
        <f>IF(H159="",D159*F159,D159*F159*H159)</f>
        <v>1.3</v>
      </c>
      <c r="J159" s="142"/>
      <c r="K159" s="142"/>
      <c r="L159" s="142"/>
      <c r="M159" s="142"/>
      <c r="N159" s="142"/>
      <c r="O159" s="120"/>
    </row>
    <row r="160" spans="1:15" x14ac:dyDescent="0.25">
      <c r="A160" s="1138">
        <v>20</v>
      </c>
      <c r="B160" s="564" t="s">
        <v>541</v>
      </c>
      <c r="C160" s="325" t="s">
        <v>834</v>
      </c>
      <c r="D160" s="276">
        <v>0.01</v>
      </c>
      <c r="E160" s="325" t="s">
        <v>101</v>
      </c>
      <c r="F160" s="565">
        <v>88</v>
      </c>
      <c r="G160" s="367" t="s">
        <v>724</v>
      </c>
      <c r="H160" s="1153">
        <v>3</v>
      </c>
      <c r="I160" s="276">
        <f>IF(H160="",D160*F160,D160*F160*H160)</f>
        <v>2.64</v>
      </c>
      <c r="J160" s="94"/>
      <c r="K160" s="94"/>
      <c r="L160" s="94"/>
      <c r="M160" s="94"/>
      <c r="N160" s="94"/>
      <c r="O160" s="93"/>
    </row>
    <row r="161" spans="1:15" x14ac:dyDescent="0.25">
      <c r="A161" s="98"/>
      <c r="B161" s="95"/>
      <c r="C161" s="95"/>
      <c r="D161" s="95"/>
      <c r="E161" s="95"/>
      <c r="F161" s="95"/>
      <c r="G161" s="95"/>
      <c r="H161" s="1137" t="s">
        <v>58</v>
      </c>
      <c r="I161" s="1136">
        <f>SUM(I159:I160)</f>
        <v>3.9400000000000004</v>
      </c>
      <c r="J161" s="95"/>
      <c r="K161" s="95"/>
      <c r="L161" s="95"/>
      <c r="M161" s="95"/>
      <c r="N161" s="95"/>
      <c r="O161" s="93"/>
    </row>
    <row r="162" spans="1:15" x14ac:dyDescent="0.25">
      <c r="A162" s="107"/>
      <c r="B162" s="94"/>
      <c r="C162" s="94"/>
      <c r="D162" s="94"/>
      <c r="E162" s="94"/>
      <c r="F162" s="94"/>
      <c r="G162" s="94"/>
      <c r="H162" s="94"/>
      <c r="I162" s="99"/>
      <c r="J162" s="94"/>
      <c r="K162" s="94"/>
      <c r="L162" s="94"/>
      <c r="M162" s="94"/>
      <c r="N162" s="94"/>
      <c r="O162" s="93"/>
    </row>
    <row r="163" spans="1:15" ht="15.75" thickBot="1" x14ac:dyDescent="0.3">
      <c r="A163" s="92"/>
      <c r="B163" s="91"/>
      <c r="C163" s="91"/>
      <c r="D163" s="91"/>
      <c r="E163" s="91"/>
      <c r="F163" s="91"/>
      <c r="G163" s="91"/>
      <c r="H163" s="91"/>
      <c r="I163" s="91"/>
      <c r="J163" s="91"/>
      <c r="K163" s="91"/>
      <c r="L163" s="91"/>
      <c r="M163" s="91"/>
      <c r="N163" s="91"/>
      <c r="O163" s="90"/>
    </row>
    <row r="164" spans="1:15" ht="15.75" thickBot="1" x14ac:dyDescent="0.3"/>
    <row r="165" spans="1:15" x14ac:dyDescent="0.25">
      <c r="A165" s="141"/>
      <c r="B165" s="140"/>
      <c r="C165" s="140"/>
      <c r="D165" s="140"/>
      <c r="E165" s="140"/>
      <c r="F165" s="140"/>
      <c r="G165" s="140"/>
      <c r="H165" s="140"/>
      <c r="I165" s="140"/>
      <c r="J165" s="140"/>
      <c r="K165" s="140"/>
      <c r="L165" s="140"/>
      <c r="M165" s="140"/>
      <c r="N165" s="140"/>
      <c r="O165" s="139"/>
    </row>
    <row r="166" spans="1:15" x14ac:dyDescent="0.25">
      <c r="A166" s="1146" t="s">
        <v>57</v>
      </c>
      <c r="B166" s="133" t="s">
        <v>523</v>
      </c>
      <c r="C166" s="94"/>
      <c r="D166" s="94"/>
      <c r="E166" s="94"/>
      <c r="F166" s="94"/>
      <c r="G166" s="94"/>
      <c r="H166" s="94"/>
      <c r="I166" s="94"/>
      <c r="J166" s="1148" t="s">
        <v>51</v>
      </c>
      <c r="K166" s="138">
        <v>81</v>
      </c>
      <c r="L166" s="94"/>
      <c r="M166" s="1146" t="s">
        <v>113</v>
      </c>
      <c r="N166" s="100">
        <f>BR_02003_m</f>
        <v>112.5</v>
      </c>
      <c r="O166" s="93"/>
    </row>
    <row r="167" spans="1:15" x14ac:dyDescent="0.25">
      <c r="A167" s="1146" t="s">
        <v>125</v>
      </c>
      <c r="B167" s="133" t="s">
        <v>11</v>
      </c>
      <c r="C167" s="94"/>
      <c r="D167" s="1146" t="s">
        <v>122</v>
      </c>
      <c r="E167" s="94"/>
      <c r="F167" s="94"/>
      <c r="G167" s="94"/>
      <c r="H167" s="94"/>
      <c r="I167" s="94"/>
      <c r="J167" s="94"/>
      <c r="K167" s="94"/>
      <c r="L167" s="94"/>
      <c r="M167" s="1146" t="s">
        <v>124</v>
      </c>
      <c r="N167" s="136">
        <v>1</v>
      </c>
      <c r="O167" s="93"/>
    </row>
    <row r="168" spans="1:15" x14ac:dyDescent="0.25">
      <c r="A168" s="1146" t="s">
        <v>123</v>
      </c>
      <c r="B168" s="270" t="str">
        <f>'BR Assemblies'!B42</f>
        <v>Rear brake assembly</v>
      </c>
      <c r="C168" s="94"/>
      <c r="D168" s="1146" t="s">
        <v>119</v>
      </c>
      <c r="E168" s="94"/>
      <c r="F168" s="94"/>
      <c r="G168" s="94"/>
      <c r="H168" s="94"/>
      <c r="I168" s="94"/>
      <c r="J168" s="1147" t="s">
        <v>122</v>
      </c>
      <c r="K168" s="94"/>
      <c r="L168" s="94"/>
      <c r="M168" s="94"/>
      <c r="N168" s="94"/>
      <c r="O168" s="93"/>
    </row>
    <row r="169" spans="1:15" x14ac:dyDescent="0.25">
      <c r="A169" s="1146" t="s">
        <v>114</v>
      </c>
      <c r="B169" s="135" t="s">
        <v>1866</v>
      </c>
      <c r="C169" s="94"/>
      <c r="D169" s="1146" t="s">
        <v>116</v>
      </c>
      <c r="E169" s="94"/>
      <c r="F169" s="94"/>
      <c r="G169" s="94"/>
      <c r="H169" s="94"/>
      <c r="I169" s="94"/>
      <c r="J169" s="1147" t="s">
        <v>119</v>
      </c>
      <c r="K169" s="94"/>
      <c r="L169" s="94"/>
      <c r="M169" s="1146" t="s">
        <v>118</v>
      </c>
      <c r="N169" s="100">
        <f>N167*N166</f>
        <v>112.5</v>
      </c>
      <c r="O169" s="93"/>
    </row>
    <row r="170" spans="1:15" x14ac:dyDescent="0.25">
      <c r="A170" s="1146" t="s">
        <v>121</v>
      </c>
      <c r="B170" s="269" t="s">
        <v>1865</v>
      </c>
      <c r="C170" s="94"/>
      <c r="D170" s="94"/>
      <c r="E170" s="94"/>
      <c r="F170" s="94"/>
      <c r="G170" s="94"/>
      <c r="H170" s="94"/>
      <c r="I170" s="94"/>
      <c r="J170" s="1147" t="s">
        <v>116</v>
      </c>
      <c r="K170" s="94"/>
      <c r="L170" s="94"/>
      <c r="M170" s="94"/>
      <c r="N170" s="94"/>
      <c r="O170" s="93"/>
    </row>
    <row r="171" spans="1:15" x14ac:dyDescent="0.25">
      <c r="A171" s="1146" t="s">
        <v>117</v>
      </c>
      <c r="B171" s="133" t="s">
        <v>23</v>
      </c>
      <c r="C171" s="94"/>
      <c r="D171" s="94"/>
      <c r="E171" s="94"/>
      <c r="F171" s="94"/>
      <c r="G171" s="94"/>
      <c r="H171" s="94"/>
      <c r="I171" s="94"/>
      <c r="J171" s="94"/>
      <c r="K171" s="94"/>
      <c r="L171" s="94"/>
      <c r="M171" s="94"/>
      <c r="N171" s="94"/>
      <c r="O171" s="93"/>
    </row>
    <row r="172" spans="1:15" x14ac:dyDescent="0.25">
      <c r="A172" s="1146" t="s">
        <v>115</v>
      </c>
      <c r="B172" s="133"/>
      <c r="C172" s="94"/>
      <c r="D172" s="94"/>
      <c r="E172" s="94"/>
      <c r="F172" s="94"/>
      <c r="G172" s="94"/>
      <c r="H172" s="94"/>
      <c r="I172" s="94"/>
      <c r="J172" s="94"/>
      <c r="K172" s="94"/>
      <c r="L172" s="94"/>
      <c r="M172" s="94"/>
      <c r="N172" s="94"/>
      <c r="O172" s="93"/>
    </row>
    <row r="173" spans="1:15" x14ac:dyDescent="0.25">
      <c r="A173" s="266"/>
      <c r="B173" s="265"/>
      <c r="C173" s="265"/>
      <c r="D173" s="265"/>
      <c r="E173" s="265"/>
      <c r="F173" s="94"/>
      <c r="G173" s="94"/>
      <c r="H173" s="94"/>
      <c r="I173" s="94"/>
      <c r="J173" s="94"/>
      <c r="K173" s="94"/>
      <c r="L173" s="94"/>
      <c r="M173" s="94"/>
      <c r="N173" s="94"/>
      <c r="O173" s="93"/>
    </row>
    <row r="174" spans="1:15" x14ac:dyDescent="0.25">
      <c r="A174" s="1145" t="s">
        <v>67</v>
      </c>
      <c r="B174" s="1144" t="s">
        <v>112</v>
      </c>
      <c r="C174" s="1144" t="s">
        <v>66</v>
      </c>
      <c r="D174" s="1144" t="s">
        <v>65</v>
      </c>
      <c r="E174" s="1144" t="s">
        <v>81</v>
      </c>
      <c r="F174" s="1140" t="s">
        <v>80</v>
      </c>
      <c r="G174" s="1140" t="s">
        <v>79</v>
      </c>
      <c r="H174" s="1140" t="s">
        <v>78</v>
      </c>
      <c r="I174" s="1140" t="s">
        <v>111</v>
      </c>
      <c r="J174" s="1140" t="s">
        <v>110</v>
      </c>
      <c r="K174" s="1140" t="s">
        <v>109</v>
      </c>
      <c r="L174" s="1140" t="s">
        <v>108</v>
      </c>
      <c r="M174" s="1140" t="s">
        <v>40</v>
      </c>
      <c r="N174" s="1140" t="s">
        <v>58</v>
      </c>
      <c r="O174" s="93"/>
    </row>
    <row r="175" spans="1:15" x14ac:dyDescent="0.25">
      <c r="A175" s="1143">
        <v>10</v>
      </c>
      <c r="B175" s="402" t="s">
        <v>1864</v>
      </c>
      <c r="C175" s="296" t="s">
        <v>1863</v>
      </c>
      <c r="D175" s="276">
        <v>112.5</v>
      </c>
      <c r="E175" s="296"/>
      <c r="F175" s="296"/>
      <c r="G175" s="296"/>
      <c r="H175" s="401"/>
      <c r="I175" s="400"/>
      <c r="J175" s="399"/>
      <c r="K175" s="398"/>
      <c r="L175" s="319"/>
      <c r="M175" s="397">
        <v>1</v>
      </c>
      <c r="N175" s="276">
        <f>IF(J175="",D175*M175,D175*J175*K175*L175*M175)</f>
        <v>112.5</v>
      </c>
      <c r="O175" s="143"/>
    </row>
    <row r="176" spans="1:15" x14ac:dyDescent="0.25">
      <c r="A176" s="98"/>
      <c r="B176" s="95"/>
      <c r="C176" s="95"/>
      <c r="D176" s="95"/>
      <c r="E176" s="95"/>
      <c r="F176" s="95"/>
      <c r="G176" s="95"/>
      <c r="H176" s="95"/>
      <c r="I176" s="95"/>
      <c r="J176" s="95"/>
      <c r="K176" s="95"/>
      <c r="L176" s="95"/>
      <c r="M176" s="1142" t="s">
        <v>58</v>
      </c>
      <c r="N176" s="1136">
        <f>SUM(N175:N175)</f>
        <v>112.5</v>
      </c>
      <c r="O176" s="93"/>
    </row>
    <row r="177" spans="1:15" x14ac:dyDescent="0.25">
      <c r="A177" s="98"/>
      <c r="B177" s="95"/>
      <c r="C177" s="95"/>
      <c r="D177" s="95"/>
      <c r="E177" s="95"/>
      <c r="F177" s="95"/>
      <c r="G177" s="95"/>
      <c r="H177" s="95"/>
      <c r="I177" s="95"/>
      <c r="J177" s="95"/>
      <c r="K177" s="95"/>
      <c r="L177" s="95"/>
      <c r="M177" s="523"/>
      <c r="N177" s="522"/>
      <c r="O177" s="93"/>
    </row>
    <row r="178" spans="1:15" x14ac:dyDescent="0.25">
      <c r="A178" s="98"/>
      <c r="B178" s="95"/>
      <c r="C178" s="95"/>
      <c r="D178" s="95"/>
      <c r="E178" s="95"/>
      <c r="F178" s="95"/>
      <c r="G178" s="95"/>
      <c r="H178" s="95"/>
      <c r="I178" s="95"/>
      <c r="J178" s="95"/>
      <c r="K178" s="95"/>
      <c r="L178" s="95"/>
      <c r="M178" s="523"/>
      <c r="N178" s="522"/>
      <c r="O178" s="93"/>
    </row>
    <row r="179" spans="1:15" x14ac:dyDescent="0.25">
      <c r="A179" s="98"/>
      <c r="B179" s="95"/>
      <c r="C179" s="95"/>
      <c r="D179" s="95"/>
      <c r="E179" s="95"/>
      <c r="F179" s="95"/>
      <c r="G179" s="95"/>
      <c r="H179" s="95"/>
      <c r="I179" s="95"/>
      <c r="J179" s="95"/>
      <c r="K179" s="95"/>
      <c r="L179" s="95"/>
      <c r="M179" s="523"/>
      <c r="N179" s="522"/>
      <c r="O179" s="93"/>
    </row>
    <row r="180" spans="1:15" x14ac:dyDescent="0.25">
      <c r="A180" s="98"/>
      <c r="B180" s="95"/>
      <c r="C180" s="95"/>
      <c r="D180" s="95"/>
      <c r="E180" s="95"/>
      <c r="F180" s="95"/>
      <c r="G180" s="95"/>
      <c r="H180" s="95"/>
      <c r="I180" s="95"/>
      <c r="J180" s="95"/>
      <c r="K180" s="95"/>
      <c r="L180" s="95"/>
      <c r="M180" s="523"/>
      <c r="N180" s="522"/>
      <c r="O180" s="93"/>
    </row>
    <row r="181" spans="1:15" x14ac:dyDescent="0.25">
      <c r="A181" s="98"/>
      <c r="B181" s="95"/>
      <c r="C181" s="95"/>
      <c r="D181" s="95"/>
      <c r="E181" s="95"/>
      <c r="F181" s="95"/>
      <c r="G181" s="95"/>
      <c r="H181" s="95"/>
      <c r="I181" s="95"/>
      <c r="J181" s="95"/>
      <c r="K181" s="95"/>
      <c r="L181" s="95"/>
      <c r="M181" s="523"/>
      <c r="N181" s="522"/>
      <c r="O181" s="93"/>
    </row>
    <row r="182" spans="1:15" x14ac:dyDescent="0.25">
      <c r="A182" s="98"/>
      <c r="B182" s="95"/>
      <c r="C182" s="95"/>
      <c r="D182" s="95"/>
      <c r="E182" s="95"/>
      <c r="F182" s="95"/>
      <c r="G182" s="95"/>
      <c r="H182" s="95"/>
      <c r="I182" s="95"/>
      <c r="J182" s="95"/>
      <c r="K182" s="95"/>
      <c r="L182" s="95"/>
      <c r="M182" s="523"/>
      <c r="N182" s="522"/>
      <c r="O182" s="93"/>
    </row>
    <row r="183" spans="1:15" x14ac:dyDescent="0.25">
      <c r="A183" s="107"/>
      <c r="B183" s="94"/>
      <c r="C183" s="94"/>
      <c r="D183" s="94"/>
      <c r="E183" s="94"/>
      <c r="F183" s="94"/>
      <c r="G183" s="94"/>
      <c r="H183" s="94"/>
      <c r="I183" s="94"/>
      <c r="J183" s="94"/>
      <c r="K183" s="94"/>
      <c r="L183" s="94"/>
      <c r="M183" s="94"/>
      <c r="N183" s="94"/>
      <c r="O183" s="93"/>
    </row>
    <row r="184" spans="1:15" ht="15.75" thickBot="1" x14ac:dyDescent="0.3">
      <c r="A184" s="92"/>
      <c r="B184" s="91"/>
      <c r="C184" s="91"/>
      <c r="D184" s="91"/>
      <c r="E184" s="91"/>
      <c r="F184" s="91"/>
      <c r="G184" s="91"/>
      <c r="H184" s="91"/>
      <c r="I184" s="91"/>
      <c r="J184" s="91"/>
      <c r="K184" s="91"/>
      <c r="L184" s="91"/>
      <c r="M184" s="91"/>
      <c r="N184" s="91"/>
      <c r="O184" s="90"/>
    </row>
    <row r="185" spans="1:15" ht="15.75" thickBot="1" x14ac:dyDescent="0.3"/>
    <row r="186" spans="1:15" x14ac:dyDescent="0.25">
      <c r="A186" s="141"/>
      <c r="B186" s="140"/>
      <c r="C186" s="140"/>
      <c r="D186" s="140"/>
      <c r="E186" s="140"/>
      <c r="F186" s="140"/>
      <c r="G186" s="140"/>
      <c r="H186" s="140"/>
      <c r="I186" s="140"/>
      <c r="J186" s="140"/>
      <c r="K186" s="140"/>
      <c r="L186" s="140"/>
      <c r="M186" s="140"/>
      <c r="N186" s="140"/>
      <c r="O186" s="139"/>
    </row>
    <row r="187" spans="1:15" x14ac:dyDescent="0.25">
      <c r="A187" s="1146" t="s">
        <v>57</v>
      </c>
      <c r="B187" s="133" t="s">
        <v>523</v>
      </c>
      <c r="C187" s="94"/>
      <c r="D187" s="94"/>
      <c r="E187" s="94"/>
      <c r="F187" s="94"/>
      <c r="G187" s="94"/>
      <c r="H187" s="94"/>
      <c r="I187" s="94"/>
      <c r="J187" s="1148" t="s">
        <v>51</v>
      </c>
      <c r="K187" s="138">
        <v>81</v>
      </c>
      <c r="L187" s="94"/>
      <c r="M187" s="1146" t="s">
        <v>113</v>
      </c>
      <c r="N187" s="100">
        <f>BR_02004_m</f>
        <v>8.831999999999999</v>
      </c>
      <c r="O187" s="93"/>
    </row>
    <row r="188" spans="1:15" x14ac:dyDescent="0.25">
      <c r="A188" s="1146" t="s">
        <v>125</v>
      </c>
      <c r="B188" s="133" t="s">
        <v>11</v>
      </c>
      <c r="C188" s="94"/>
      <c r="D188" s="1146" t="s">
        <v>122</v>
      </c>
      <c r="E188" s="94"/>
      <c r="F188" s="94"/>
      <c r="G188" s="94"/>
      <c r="H188" s="94"/>
      <c r="I188" s="94"/>
      <c r="J188" s="94"/>
      <c r="K188" s="94"/>
      <c r="L188" s="94"/>
      <c r="M188" s="1146" t="s">
        <v>124</v>
      </c>
      <c r="N188" s="136">
        <v>2</v>
      </c>
      <c r="O188" s="93"/>
    </row>
    <row r="189" spans="1:15" x14ac:dyDescent="0.25">
      <c r="A189" s="1146" t="s">
        <v>123</v>
      </c>
      <c r="B189" s="270" t="str">
        <f>'BR Assemblies'!B42</f>
        <v>Rear brake assembly</v>
      </c>
      <c r="C189" s="94"/>
      <c r="D189" s="1146" t="s">
        <v>119</v>
      </c>
      <c r="E189" s="94"/>
      <c r="F189" s="94"/>
      <c r="G189" s="94"/>
      <c r="H189" s="94"/>
      <c r="I189" s="94"/>
      <c r="J189" s="1147" t="s">
        <v>122</v>
      </c>
      <c r="K189" s="94"/>
      <c r="L189" s="94"/>
      <c r="M189" s="94"/>
      <c r="N189" s="94"/>
      <c r="O189" s="93"/>
    </row>
    <row r="190" spans="1:15" x14ac:dyDescent="0.25">
      <c r="A190" s="1146" t="s">
        <v>114</v>
      </c>
      <c r="B190" s="135" t="s">
        <v>1862</v>
      </c>
      <c r="C190" s="94"/>
      <c r="D190" s="1146" t="s">
        <v>116</v>
      </c>
      <c r="E190" s="94"/>
      <c r="F190" s="94"/>
      <c r="G190" s="94"/>
      <c r="H190" s="94"/>
      <c r="I190" s="94"/>
      <c r="J190" s="1147" t="s">
        <v>119</v>
      </c>
      <c r="K190" s="94"/>
      <c r="L190" s="94"/>
      <c r="M190" s="1146" t="s">
        <v>118</v>
      </c>
      <c r="N190" s="100">
        <f>N188*N187</f>
        <v>17.663999999999998</v>
      </c>
      <c r="O190" s="93"/>
    </row>
    <row r="191" spans="1:15" x14ac:dyDescent="0.25">
      <c r="A191" s="1146" t="s">
        <v>121</v>
      </c>
      <c r="B191" s="269" t="s">
        <v>1861</v>
      </c>
      <c r="C191" s="94"/>
      <c r="D191" s="94"/>
      <c r="E191" s="94"/>
      <c r="F191" s="94"/>
      <c r="G191" s="94"/>
      <c r="H191" s="94"/>
      <c r="I191" s="94"/>
      <c r="J191" s="1147" t="s">
        <v>116</v>
      </c>
      <c r="K191" s="94"/>
      <c r="L191" s="94"/>
      <c r="M191" s="94"/>
      <c r="N191" s="94"/>
      <c r="O191" s="93"/>
    </row>
    <row r="192" spans="1:15" x14ac:dyDescent="0.25">
      <c r="A192" s="1146" t="s">
        <v>117</v>
      </c>
      <c r="B192" s="133" t="s">
        <v>23</v>
      </c>
      <c r="C192" s="94"/>
      <c r="D192" s="94"/>
      <c r="E192" s="94"/>
      <c r="F192" s="94"/>
      <c r="G192" s="94"/>
      <c r="H192" s="94"/>
      <c r="I192" s="94"/>
      <c r="J192" s="94"/>
      <c r="K192" s="94"/>
      <c r="L192" s="94"/>
      <c r="M192" s="94"/>
      <c r="N192" s="94"/>
      <c r="O192" s="93"/>
    </row>
    <row r="193" spans="1:15" x14ac:dyDescent="0.25">
      <c r="A193" s="1146" t="s">
        <v>115</v>
      </c>
      <c r="B193" s="133"/>
      <c r="C193" s="94"/>
      <c r="D193" s="94"/>
      <c r="E193" s="94"/>
      <c r="F193" s="94"/>
      <c r="G193" s="94"/>
      <c r="H193" s="94"/>
      <c r="I193" s="94"/>
      <c r="J193" s="94"/>
      <c r="K193" s="94"/>
      <c r="L193" s="94"/>
      <c r="M193" s="94"/>
      <c r="N193" s="94"/>
      <c r="O193" s="93"/>
    </row>
    <row r="194" spans="1:15" x14ac:dyDescent="0.25">
      <c r="A194" s="266"/>
      <c r="B194" s="265"/>
      <c r="C194" s="265"/>
      <c r="D194" s="265"/>
      <c r="E194" s="265"/>
      <c r="F194" s="94"/>
      <c r="G194" s="94"/>
      <c r="H194" s="94"/>
      <c r="I194" s="94"/>
      <c r="J194" s="94"/>
      <c r="K194" s="94"/>
      <c r="L194" s="94"/>
      <c r="M194" s="94"/>
      <c r="N194" s="94"/>
      <c r="O194" s="93"/>
    </row>
    <row r="195" spans="1:15" x14ac:dyDescent="0.25">
      <c r="A195" s="1145" t="s">
        <v>67</v>
      </c>
      <c r="B195" s="1144" t="s">
        <v>112</v>
      </c>
      <c r="C195" s="1144" t="s">
        <v>66</v>
      </c>
      <c r="D195" s="1144" t="s">
        <v>65</v>
      </c>
      <c r="E195" s="1144" t="s">
        <v>81</v>
      </c>
      <c r="F195" s="1140" t="s">
        <v>80</v>
      </c>
      <c r="G195" s="1140" t="s">
        <v>79</v>
      </c>
      <c r="H195" s="1140" t="s">
        <v>78</v>
      </c>
      <c r="I195" s="1140" t="s">
        <v>111</v>
      </c>
      <c r="J195" s="1140" t="s">
        <v>110</v>
      </c>
      <c r="K195" s="1140" t="s">
        <v>109</v>
      </c>
      <c r="L195" s="1140" t="s">
        <v>108</v>
      </c>
      <c r="M195" s="1140" t="s">
        <v>40</v>
      </c>
      <c r="N195" s="1140" t="s">
        <v>58</v>
      </c>
      <c r="O195" s="93"/>
    </row>
    <row r="196" spans="1:15" ht="30" x14ac:dyDescent="0.25">
      <c r="A196" s="1143">
        <v>10</v>
      </c>
      <c r="B196" s="402" t="s">
        <v>1860</v>
      </c>
      <c r="C196" s="296" t="s">
        <v>1859</v>
      </c>
      <c r="D196" s="1152">
        <v>1.1999999999999999E-3</v>
      </c>
      <c r="E196" s="296">
        <v>40</v>
      </c>
      <c r="F196" s="296" t="s">
        <v>68</v>
      </c>
      <c r="G196" s="296">
        <v>40</v>
      </c>
      <c r="H196" s="401" t="s">
        <v>68</v>
      </c>
      <c r="I196" s="700" t="s">
        <v>1858</v>
      </c>
      <c r="J196" s="1151">
        <f>E196*G196</f>
        <v>1600</v>
      </c>
      <c r="K196" s="398">
        <v>4.5999999999999996</v>
      </c>
      <c r="L196" s="319">
        <v>1</v>
      </c>
      <c r="M196" s="397">
        <v>1</v>
      </c>
      <c r="N196" s="276">
        <f>IF(J196="",D196*M196,D196*J196*K196*L196*M196)</f>
        <v>8.831999999999999</v>
      </c>
      <c r="O196" s="143"/>
    </row>
    <row r="197" spans="1:15" x14ac:dyDescent="0.25">
      <c r="A197" s="98"/>
      <c r="B197" s="95"/>
      <c r="C197" s="95"/>
      <c r="D197" s="95"/>
      <c r="E197" s="95"/>
      <c r="F197" s="95"/>
      <c r="G197" s="95"/>
      <c r="H197" s="95"/>
      <c r="I197" s="95"/>
      <c r="J197" s="95"/>
      <c r="K197" s="95"/>
      <c r="L197" s="95"/>
      <c r="M197" s="1142" t="s">
        <v>58</v>
      </c>
      <c r="N197" s="1136">
        <f>SUM(N196:N196)</f>
        <v>8.831999999999999</v>
      </c>
      <c r="O197" s="93"/>
    </row>
    <row r="198" spans="1:15" x14ac:dyDescent="0.25">
      <c r="A198" s="98"/>
      <c r="B198" s="95"/>
      <c r="C198" s="95"/>
      <c r="D198" s="95"/>
      <c r="E198" s="95"/>
      <c r="F198" s="95"/>
      <c r="G198" s="95"/>
      <c r="H198" s="95"/>
      <c r="I198" s="95"/>
      <c r="J198" s="95"/>
      <c r="K198" s="95"/>
      <c r="L198" s="95"/>
      <c r="M198" s="523"/>
      <c r="N198" s="522"/>
      <c r="O198" s="93"/>
    </row>
    <row r="199" spans="1:15" x14ac:dyDescent="0.25">
      <c r="A199" s="98"/>
      <c r="B199" s="95"/>
      <c r="C199" s="95"/>
      <c r="D199" s="95"/>
      <c r="E199" s="95"/>
      <c r="F199" s="95"/>
      <c r="G199" s="95"/>
      <c r="H199" s="95"/>
      <c r="I199" s="95"/>
      <c r="J199" s="95"/>
      <c r="K199" s="95"/>
      <c r="L199" s="95"/>
      <c r="M199" s="523"/>
      <c r="N199" s="522"/>
      <c r="O199" s="93"/>
    </row>
    <row r="200" spans="1:15" x14ac:dyDescent="0.25">
      <c r="A200" s="98"/>
      <c r="B200" s="95"/>
      <c r="C200" s="95"/>
      <c r="D200" s="95"/>
      <c r="E200" s="95"/>
      <c r="F200" s="95"/>
      <c r="G200" s="95"/>
      <c r="H200" s="95"/>
      <c r="I200" s="95"/>
      <c r="J200" s="95"/>
      <c r="K200" s="95"/>
      <c r="L200" s="95"/>
      <c r="M200" s="523"/>
      <c r="N200" s="522"/>
      <c r="O200" s="93"/>
    </row>
    <row r="201" spans="1:15" x14ac:dyDescent="0.25">
      <c r="A201" s="98"/>
      <c r="B201" s="95"/>
      <c r="C201" s="95"/>
      <c r="D201" s="95"/>
      <c r="E201" s="95"/>
      <c r="F201" s="95"/>
      <c r="G201" s="95"/>
      <c r="H201" s="95"/>
      <c r="I201" s="95"/>
      <c r="J201" s="95"/>
      <c r="K201" s="95"/>
      <c r="L201" s="95"/>
      <c r="M201" s="523"/>
      <c r="N201" s="522"/>
      <c r="O201" s="93"/>
    </row>
    <row r="202" spans="1:15" x14ac:dyDescent="0.25">
      <c r="A202" s="98"/>
      <c r="B202" s="95"/>
      <c r="C202" s="95"/>
      <c r="D202" s="95"/>
      <c r="E202" s="95"/>
      <c r="F202" s="95"/>
      <c r="G202" s="95"/>
      <c r="H202" s="95"/>
      <c r="I202" s="95"/>
      <c r="J202" s="95"/>
      <c r="K202" s="95"/>
      <c r="L202" s="95"/>
      <c r="M202" s="523"/>
      <c r="N202" s="522"/>
      <c r="O202" s="93"/>
    </row>
    <row r="203" spans="1:15" x14ac:dyDescent="0.25">
      <c r="A203" s="98"/>
      <c r="B203" s="95"/>
      <c r="C203" s="95"/>
      <c r="D203" s="95"/>
      <c r="E203" s="95"/>
      <c r="F203" s="95"/>
      <c r="G203" s="95"/>
      <c r="H203" s="95"/>
      <c r="I203" s="95"/>
      <c r="J203" s="95"/>
      <c r="K203" s="95"/>
      <c r="L203" s="95"/>
      <c r="M203" s="523"/>
      <c r="N203" s="522"/>
      <c r="O203" s="93"/>
    </row>
    <row r="204" spans="1:15" x14ac:dyDescent="0.25">
      <c r="A204" s="107"/>
      <c r="B204" s="94"/>
      <c r="C204" s="94"/>
      <c r="D204" s="94"/>
      <c r="E204" s="94"/>
      <c r="F204" s="94"/>
      <c r="G204" s="94"/>
      <c r="H204" s="94"/>
      <c r="I204" s="94"/>
      <c r="J204" s="94"/>
      <c r="K204" s="94"/>
      <c r="L204" s="94"/>
      <c r="M204" s="94"/>
      <c r="N204" s="94"/>
      <c r="O204" s="93"/>
    </row>
    <row r="205" spans="1:15" ht="15.75" thickBot="1" x14ac:dyDescent="0.3">
      <c r="A205" s="92"/>
      <c r="B205" s="91"/>
      <c r="C205" s="91"/>
      <c r="D205" s="91"/>
      <c r="E205" s="91"/>
      <c r="F205" s="91"/>
      <c r="G205" s="91"/>
      <c r="H205" s="91"/>
      <c r="I205" s="91"/>
      <c r="J205" s="91"/>
      <c r="K205" s="91"/>
      <c r="L205" s="91"/>
      <c r="M205" s="91"/>
      <c r="N205" s="91"/>
      <c r="O205" s="90"/>
    </row>
    <row r="206" spans="1:15" ht="15.75" thickBot="1" x14ac:dyDescent="0.3"/>
    <row r="207" spans="1:15" x14ac:dyDescent="0.25">
      <c r="A207" s="141"/>
      <c r="B207" s="140"/>
      <c r="C207" s="140"/>
      <c r="D207" s="140"/>
      <c r="E207" s="140"/>
      <c r="F207" s="140"/>
      <c r="G207" s="140"/>
      <c r="H207" s="140"/>
      <c r="I207" s="140"/>
      <c r="J207" s="140"/>
      <c r="K207" s="140"/>
      <c r="L207" s="140"/>
      <c r="M207" s="140"/>
      <c r="N207" s="140"/>
      <c r="O207" s="139"/>
    </row>
    <row r="208" spans="1:15" x14ac:dyDescent="0.25">
      <c r="A208" s="1146" t="s">
        <v>57</v>
      </c>
      <c r="B208" s="133" t="s">
        <v>523</v>
      </c>
      <c r="C208" s="94"/>
      <c r="D208" s="94"/>
      <c r="E208" s="94"/>
      <c r="F208" s="94"/>
      <c r="G208" s="94"/>
      <c r="H208" s="94"/>
      <c r="I208" s="94"/>
      <c r="J208" s="1148" t="s">
        <v>51</v>
      </c>
      <c r="K208" s="138">
        <v>81</v>
      </c>
      <c r="L208" s="94"/>
      <c r="M208" s="1146" t="s">
        <v>113</v>
      </c>
      <c r="N208" s="100">
        <f>BR_02005_m+BR_02005_p</f>
        <v>1.904507272</v>
      </c>
      <c r="O208" s="93"/>
    </row>
    <row r="209" spans="1:15" x14ac:dyDescent="0.25">
      <c r="A209" s="1146" t="s">
        <v>125</v>
      </c>
      <c r="B209" s="133" t="s">
        <v>11</v>
      </c>
      <c r="C209" s="94"/>
      <c r="D209" s="1146" t="s">
        <v>122</v>
      </c>
      <c r="E209" s="547"/>
      <c r="F209" s="94"/>
      <c r="G209" s="94"/>
      <c r="H209" s="94"/>
      <c r="I209" s="94"/>
      <c r="J209" s="94"/>
      <c r="K209" s="94"/>
      <c r="L209" s="94"/>
      <c r="M209" s="1146" t="s">
        <v>124</v>
      </c>
      <c r="N209" s="136">
        <v>4</v>
      </c>
      <c r="O209" s="93"/>
    </row>
    <row r="210" spans="1:15" x14ac:dyDescent="0.25">
      <c r="A210" s="1146" t="s">
        <v>123</v>
      </c>
      <c r="B210" s="270" t="str">
        <f>'BR Assemblies'!B42</f>
        <v>Rear brake assembly</v>
      </c>
      <c r="C210" s="94"/>
      <c r="D210" s="1146" t="s">
        <v>119</v>
      </c>
      <c r="E210" s="94"/>
      <c r="F210" s="94"/>
      <c r="G210" s="94"/>
      <c r="H210" s="94"/>
      <c r="I210" s="94"/>
      <c r="J210" s="1147" t="s">
        <v>122</v>
      </c>
      <c r="K210" s="94"/>
      <c r="L210" s="94"/>
      <c r="M210" s="94"/>
      <c r="N210" s="94"/>
      <c r="O210" s="93"/>
    </row>
    <row r="211" spans="1:15" x14ac:dyDescent="0.25">
      <c r="A211" s="1146" t="s">
        <v>114</v>
      </c>
      <c r="B211" s="135" t="s">
        <v>1857</v>
      </c>
      <c r="C211" s="94"/>
      <c r="D211" s="1146" t="s">
        <v>116</v>
      </c>
      <c r="E211" s="94"/>
      <c r="F211" s="94"/>
      <c r="G211" s="94"/>
      <c r="H211" s="94"/>
      <c r="I211" s="94"/>
      <c r="J211" s="1147" t="s">
        <v>119</v>
      </c>
      <c r="K211" s="94"/>
      <c r="L211" s="94"/>
      <c r="M211" s="1146" t="s">
        <v>118</v>
      </c>
      <c r="N211" s="100">
        <f>N209*N208</f>
        <v>7.6180290880000001</v>
      </c>
      <c r="O211" s="93"/>
    </row>
    <row r="212" spans="1:15" x14ac:dyDescent="0.25">
      <c r="A212" s="1146" t="s">
        <v>121</v>
      </c>
      <c r="B212" s="269" t="s">
        <v>1856</v>
      </c>
      <c r="C212" s="94"/>
      <c r="D212" s="94"/>
      <c r="E212" s="94"/>
      <c r="F212" s="94"/>
      <c r="G212" s="94"/>
      <c r="H212" s="94"/>
      <c r="I212" s="94"/>
      <c r="J212" s="1147" t="s">
        <v>116</v>
      </c>
      <c r="K212" s="94"/>
      <c r="L212" s="94"/>
      <c r="M212" s="94"/>
      <c r="N212" s="94"/>
      <c r="O212" s="93"/>
    </row>
    <row r="213" spans="1:15" x14ac:dyDescent="0.25">
      <c r="A213" s="1146" t="s">
        <v>117</v>
      </c>
      <c r="B213" s="133" t="s">
        <v>23</v>
      </c>
      <c r="C213" s="94"/>
      <c r="D213" s="94"/>
      <c r="E213" s="94"/>
      <c r="F213" s="94"/>
      <c r="G213" s="94"/>
      <c r="H213" s="94"/>
      <c r="I213" s="94"/>
      <c r="J213" s="94"/>
      <c r="K213" s="94"/>
      <c r="L213" s="94"/>
      <c r="M213" s="94"/>
      <c r="N213" s="94"/>
      <c r="O213" s="93"/>
    </row>
    <row r="214" spans="1:15" x14ac:dyDescent="0.25">
      <c r="A214" s="1146" t="s">
        <v>115</v>
      </c>
      <c r="B214" s="133"/>
      <c r="C214" s="94"/>
      <c r="D214" s="94"/>
      <c r="E214" s="94"/>
      <c r="F214" s="94"/>
      <c r="G214" s="94"/>
      <c r="H214" s="94"/>
      <c r="I214" s="94"/>
      <c r="J214" s="94"/>
      <c r="K214" s="94"/>
      <c r="L214" s="94"/>
      <c r="M214" s="94"/>
      <c r="N214" s="94"/>
      <c r="O214" s="93"/>
    </row>
    <row r="215" spans="1:15" x14ac:dyDescent="0.25">
      <c r="A215" s="266"/>
      <c r="B215" s="265"/>
      <c r="C215" s="265"/>
      <c r="D215" s="265"/>
      <c r="E215" s="265"/>
      <c r="F215" s="94"/>
      <c r="G215" s="94"/>
      <c r="H215" s="94"/>
      <c r="I215" s="94"/>
      <c r="J215" s="94"/>
      <c r="K215" s="94"/>
      <c r="L215" s="94"/>
      <c r="M215" s="94"/>
      <c r="N215" s="94"/>
      <c r="O215" s="93"/>
    </row>
    <row r="216" spans="1:15" x14ac:dyDescent="0.25">
      <c r="A216" s="1145" t="s">
        <v>67</v>
      </c>
      <c r="B216" s="1144" t="s">
        <v>112</v>
      </c>
      <c r="C216" s="1144" t="s">
        <v>66</v>
      </c>
      <c r="D216" s="1144" t="s">
        <v>65</v>
      </c>
      <c r="E216" s="1144" t="s">
        <v>81</v>
      </c>
      <c r="F216" s="1140" t="s">
        <v>80</v>
      </c>
      <c r="G216" s="1140" t="s">
        <v>79</v>
      </c>
      <c r="H216" s="1140" t="s">
        <v>78</v>
      </c>
      <c r="I216" s="1140" t="s">
        <v>111</v>
      </c>
      <c r="J216" s="1140" t="s">
        <v>110</v>
      </c>
      <c r="K216" s="1140" t="s">
        <v>109</v>
      </c>
      <c r="L216" s="1140" t="s">
        <v>108</v>
      </c>
      <c r="M216" s="1140" t="s">
        <v>40</v>
      </c>
      <c r="N216" s="1140" t="s">
        <v>58</v>
      </c>
      <c r="O216" s="93"/>
    </row>
    <row r="217" spans="1:15" s="250" customFormat="1" ht="30" x14ac:dyDescent="0.25">
      <c r="A217" s="1143">
        <v>10</v>
      </c>
      <c r="B217" s="402" t="s">
        <v>852</v>
      </c>
      <c r="C217" s="296" t="s">
        <v>1850</v>
      </c>
      <c r="D217" s="276">
        <v>4.2</v>
      </c>
      <c r="E217" s="296">
        <v>12</v>
      </c>
      <c r="F217" s="296" t="s">
        <v>68</v>
      </c>
      <c r="G217" s="296">
        <v>1</v>
      </c>
      <c r="H217" s="401" t="s">
        <v>68</v>
      </c>
      <c r="I217" s="700" t="s">
        <v>1853</v>
      </c>
      <c r="J217" s="521">
        <f>E217*G217*10^-6</f>
        <v>1.2E-5</v>
      </c>
      <c r="K217" s="398">
        <v>3.3000000000000002E-2</v>
      </c>
      <c r="L217" s="319">
        <v>2710</v>
      </c>
      <c r="M217" s="397">
        <v>1</v>
      </c>
      <c r="N217" s="276">
        <f>IF(J217="",D217*M217,D217*J217*K217*L217*M217)</f>
        <v>4.5072720000000005E-3</v>
      </c>
      <c r="O217" s="143"/>
    </row>
    <row r="218" spans="1:15" x14ac:dyDescent="0.25">
      <c r="A218" s="98"/>
      <c r="B218" s="95"/>
      <c r="C218" s="95"/>
      <c r="D218" s="95"/>
      <c r="E218" s="95"/>
      <c r="F218" s="95"/>
      <c r="G218" s="95"/>
      <c r="H218" s="95"/>
      <c r="I218" s="95"/>
      <c r="J218" s="95"/>
      <c r="K218" s="95"/>
      <c r="L218" s="95"/>
      <c r="M218" s="1142" t="s">
        <v>58</v>
      </c>
      <c r="N218" s="1136">
        <f>SUM(N217:N217)</f>
        <v>4.5072720000000005E-3</v>
      </c>
      <c r="O218" s="93"/>
    </row>
    <row r="219" spans="1:15" x14ac:dyDescent="0.25">
      <c r="A219" s="107"/>
      <c r="B219" s="94"/>
      <c r="C219" s="94"/>
      <c r="D219" s="94"/>
      <c r="E219" s="94"/>
      <c r="F219" s="94"/>
      <c r="G219" s="94"/>
      <c r="H219" s="94"/>
      <c r="I219" s="94"/>
      <c r="J219" s="94"/>
      <c r="K219" s="94"/>
      <c r="L219" s="94"/>
      <c r="M219" s="94"/>
      <c r="N219" s="94"/>
      <c r="O219" s="93"/>
    </row>
    <row r="220" spans="1:15" x14ac:dyDescent="0.25">
      <c r="A220" s="1141" t="s">
        <v>67</v>
      </c>
      <c r="B220" s="1140" t="s">
        <v>106</v>
      </c>
      <c r="C220" s="1140" t="s">
        <v>66</v>
      </c>
      <c r="D220" s="1140" t="s">
        <v>65</v>
      </c>
      <c r="E220" s="1140" t="s">
        <v>64</v>
      </c>
      <c r="F220" s="1140" t="s">
        <v>40</v>
      </c>
      <c r="G220" s="1140" t="s">
        <v>105</v>
      </c>
      <c r="H220" s="1140" t="s">
        <v>104</v>
      </c>
      <c r="I220" s="1140" t="s">
        <v>58</v>
      </c>
      <c r="J220" s="95"/>
      <c r="K220" s="95"/>
      <c r="L220" s="95"/>
      <c r="M220" s="95"/>
      <c r="N220" s="95"/>
      <c r="O220" s="93"/>
    </row>
    <row r="221" spans="1:15" s="245" customFormat="1" ht="30" x14ac:dyDescent="0.25">
      <c r="A221" s="1139">
        <v>10</v>
      </c>
      <c r="B221" s="564" t="s">
        <v>516</v>
      </c>
      <c r="C221" s="367" t="s">
        <v>802</v>
      </c>
      <c r="D221" s="293">
        <v>1.3</v>
      </c>
      <c r="E221" s="564" t="s">
        <v>64</v>
      </c>
      <c r="F221" s="367">
        <v>1</v>
      </c>
      <c r="G221" s="367"/>
      <c r="H221" s="367"/>
      <c r="I221" s="293">
        <f>IF(H221="",D221*F221,D221*F221*H221)</f>
        <v>1.3</v>
      </c>
      <c r="J221" s="142"/>
      <c r="K221" s="142"/>
      <c r="L221" s="142"/>
      <c r="M221" s="142"/>
      <c r="N221" s="142"/>
      <c r="O221" s="120"/>
    </row>
    <row r="222" spans="1:15" ht="30" x14ac:dyDescent="0.25">
      <c r="A222" s="1138">
        <v>20</v>
      </c>
      <c r="B222" s="564" t="s">
        <v>541</v>
      </c>
      <c r="C222" s="325" t="s">
        <v>834</v>
      </c>
      <c r="D222" s="276">
        <v>0.01</v>
      </c>
      <c r="E222" s="325" t="s">
        <v>101</v>
      </c>
      <c r="F222" s="565">
        <v>10</v>
      </c>
      <c r="G222" s="564" t="s">
        <v>1285</v>
      </c>
      <c r="H222" s="299">
        <v>1</v>
      </c>
      <c r="I222" s="276">
        <f>IF(H222="",D222*F222,D222*F222*H222)</f>
        <v>0.1</v>
      </c>
      <c r="J222" s="94"/>
      <c r="K222" s="94"/>
      <c r="L222" s="94"/>
      <c r="M222" s="94"/>
      <c r="N222" s="94"/>
      <c r="O222" s="93"/>
    </row>
    <row r="223" spans="1:15" x14ac:dyDescent="0.25">
      <c r="A223" s="1138">
        <v>30</v>
      </c>
      <c r="B223" s="564" t="s">
        <v>1567</v>
      </c>
      <c r="C223" s="325"/>
      <c r="D223" s="276">
        <v>0.25</v>
      </c>
      <c r="E223" s="325" t="s">
        <v>64</v>
      </c>
      <c r="F223" s="565">
        <v>2</v>
      </c>
      <c r="G223" s="564"/>
      <c r="H223" s="299"/>
      <c r="I223" s="276">
        <f>IF(H223="",D223*F223,D223*F223*H223)</f>
        <v>0.5</v>
      </c>
      <c r="J223" s="94"/>
      <c r="K223" s="94"/>
      <c r="L223" s="94"/>
      <c r="M223" s="94"/>
      <c r="N223" s="94"/>
      <c r="O223" s="93"/>
    </row>
    <row r="224" spans="1:15" x14ac:dyDescent="0.25">
      <c r="A224" s="98"/>
      <c r="B224" s="95"/>
      <c r="C224" s="95"/>
      <c r="D224" s="95"/>
      <c r="E224" s="95"/>
      <c r="F224" s="95"/>
      <c r="G224" s="95"/>
      <c r="H224" s="1137" t="s">
        <v>58</v>
      </c>
      <c r="I224" s="1136">
        <f>SUM(I221:I223)</f>
        <v>1.9000000000000001</v>
      </c>
      <c r="J224" s="95"/>
      <c r="K224" s="95"/>
      <c r="L224" s="95"/>
      <c r="M224" s="95"/>
      <c r="N224" s="95"/>
      <c r="O224" s="93"/>
    </row>
    <row r="225" spans="1:15" x14ac:dyDescent="0.25">
      <c r="A225" s="107"/>
      <c r="B225" s="94"/>
      <c r="C225" s="94"/>
      <c r="D225" s="94"/>
      <c r="E225" s="94"/>
      <c r="F225" s="94"/>
      <c r="G225" s="94"/>
      <c r="H225" s="94"/>
      <c r="I225" s="99"/>
      <c r="J225" s="94"/>
      <c r="K225" s="94"/>
      <c r="L225" s="94"/>
      <c r="M225" s="94"/>
      <c r="N225" s="94"/>
      <c r="O225" s="93"/>
    </row>
    <row r="226" spans="1:15" ht="15.75" thickBot="1" x14ac:dyDescent="0.3">
      <c r="A226" s="92"/>
      <c r="B226" s="91"/>
      <c r="C226" s="91"/>
      <c r="D226" s="91"/>
      <c r="E226" s="91"/>
      <c r="F226" s="91"/>
      <c r="G226" s="91"/>
      <c r="H226" s="91"/>
      <c r="I226" s="91"/>
      <c r="J226" s="91"/>
      <c r="K226" s="91"/>
      <c r="L226" s="91"/>
      <c r="M226" s="91"/>
      <c r="N226" s="91"/>
      <c r="O226" s="90"/>
    </row>
    <row r="227" spans="1:15" ht="15.75" thickBot="1" x14ac:dyDescent="0.3"/>
    <row r="228" spans="1:15" x14ac:dyDescent="0.25">
      <c r="A228" s="141"/>
      <c r="B228" s="140"/>
      <c r="C228" s="140"/>
      <c r="D228" s="140"/>
      <c r="E228" s="140"/>
      <c r="F228" s="140"/>
      <c r="G228" s="140"/>
      <c r="H228" s="140"/>
      <c r="I228" s="140"/>
      <c r="J228" s="140"/>
      <c r="K228" s="140"/>
      <c r="L228" s="140"/>
      <c r="M228" s="140"/>
      <c r="N228" s="140"/>
      <c r="O228" s="139"/>
    </row>
    <row r="229" spans="1:15" x14ac:dyDescent="0.25">
      <c r="A229" s="1146" t="s">
        <v>57</v>
      </c>
      <c r="B229" s="133" t="s">
        <v>523</v>
      </c>
      <c r="C229" s="94"/>
      <c r="D229" s="94"/>
      <c r="E229" s="94"/>
      <c r="F229" s="94"/>
      <c r="G229" s="94"/>
      <c r="H229" s="94"/>
      <c r="I229" s="94"/>
      <c r="J229" s="1148" t="s">
        <v>51</v>
      </c>
      <c r="K229" s="138">
        <v>81</v>
      </c>
      <c r="L229" s="94"/>
      <c r="M229" s="1146" t="s">
        <v>113</v>
      </c>
      <c r="N229" s="100">
        <f>BR_02006_m+BR_02006_p</f>
        <v>1.6336877680000002</v>
      </c>
      <c r="O229" s="93"/>
    </row>
    <row r="230" spans="1:15" x14ac:dyDescent="0.25">
      <c r="A230" s="1146" t="s">
        <v>125</v>
      </c>
      <c r="B230" s="133" t="s">
        <v>11</v>
      </c>
      <c r="C230" s="94"/>
      <c r="D230" s="1146" t="s">
        <v>122</v>
      </c>
      <c r="E230" s="94"/>
      <c r="F230" s="94"/>
      <c r="G230" s="94"/>
      <c r="H230" s="94"/>
      <c r="I230" s="94"/>
      <c r="J230" s="94"/>
      <c r="K230" s="94"/>
      <c r="L230" s="94"/>
      <c r="M230" s="1146" t="s">
        <v>124</v>
      </c>
      <c r="N230" s="136">
        <v>4</v>
      </c>
      <c r="O230" s="93"/>
    </row>
    <row r="231" spans="1:15" x14ac:dyDescent="0.25">
      <c r="A231" s="1146" t="s">
        <v>123</v>
      </c>
      <c r="B231" s="270" t="str">
        <f>'BR Assemblies'!B42</f>
        <v>Rear brake assembly</v>
      </c>
      <c r="C231" s="94"/>
      <c r="D231" s="1146" t="s">
        <v>119</v>
      </c>
      <c r="E231" s="94"/>
      <c r="F231" s="94"/>
      <c r="G231" s="94"/>
      <c r="H231" s="94"/>
      <c r="I231" s="94"/>
      <c r="J231" s="1147" t="s">
        <v>122</v>
      </c>
      <c r="K231" s="94"/>
      <c r="L231" s="94"/>
      <c r="M231" s="94"/>
      <c r="N231" s="94"/>
      <c r="O231" s="93"/>
    </row>
    <row r="232" spans="1:15" x14ac:dyDescent="0.25">
      <c r="A232" s="1146" t="s">
        <v>114</v>
      </c>
      <c r="B232" s="135" t="s">
        <v>1855</v>
      </c>
      <c r="C232" s="94"/>
      <c r="D232" s="1146" t="s">
        <v>116</v>
      </c>
      <c r="E232" s="94"/>
      <c r="F232" s="94"/>
      <c r="G232" s="94"/>
      <c r="H232" s="94"/>
      <c r="I232" s="94"/>
      <c r="J232" s="1147" t="s">
        <v>119</v>
      </c>
      <c r="K232" s="94"/>
      <c r="L232" s="94"/>
      <c r="M232" s="1146" t="s">
        <v>118</v>
      </c>
      <c r="N232" s="100">
        <f>N230*N229</f>
        <v>6.5347510720000006</v>
      </c>
      <c r="O232" s="93"/>
    </row>
    <row r="233" spans="1:15" x14ac:dyDescent="0.25">
      <c r="A233" s="1146" t="s">
        <v>121</v>
      </c>
      <c r="B233" s="269" t="s">
        <v>1854</v>
      </c>
      <c r="C233" s="94"/>
      <c r="D233" s="94"/>
      <c r="E233" s="94"/>
      <c r="F233" s="94"/>
      <c r="G233" s="94"/>
      <c r="H233" s="94"/>
      <c r="I233" s="94"/>
      <c r="J233" s="1147" t="s">
        <v>116</v>
      </c>
      <c r="K233" s="94"/>
      <c r="L233" s="94"/>
      <c r="M233" s="94"/>
      <c r="N233" s="94"/>
      <c r="O233" s="93"/>
    </row>
    <row r="234" spans="1:15" x14ac:dyDescent="0.25">
      <c r="A234" s="1146" t="s">
        <v>117</v>
      </c>
      <c r="B234" s="133" t="s">
        <v>23</v>
      </c>
      <c r="C234" s="94"/>
      <c r="D234" s="94"/>
      <c r="E234" s="94"/>
      <c r="F234" s="94"/>
      <c r="G234" s="94"/>
      <c r="H234" s="94"/>
      <c r="I234" s="94"/>
      <c r="J234" s="94"/>
      <c r="K234" s="94"/>
      <c r="L234" s="94"/>
      <c r="M234" s="94"/>
      <c r="N234" s="94"/>
      <c r="O234" s="93"/>
    </row>
    <row r="235" spans="1:15" x14ac:dyDescent="0.25">
      <c r="A235" s="1146" t="s">
        <v>115</v>
      </c>
      <c r="B235" s="133"/>
      <c r="C235" s="94"/>
      <c r="D235" s="94"/>
      <c r="E235" s="94"/>
      <c r="F235" s="94"/>
      <c r="G235" s="94"/>
      <c r="H235" s="94"/>
      <c r="I235" s="94"/>
      <c r="J235" s="94"/>
      <c r="K235" s="94"/>
      <c r="L235" s="94"/>
      <c r="M235" s="94"/>
      <c r="N235" s="94"/>
      <c r="O235" s="93"/>
    </row>
    <row r="236" spans="1:15" x14ac:dyDescent="0.25">
      <c r="A236" s="266"/>
      <c r="B236" s="265"/>
      <c r="C236" s="265"/>
      <c r="D236" s="265"/>
      <c r="E236" s="265"/>
      <c r="F236" s="94"/>
      <c r="G236" s="94"/>
      <c r="H236" s="94"/>
      <c r="I236" s="94"/>
      <c r="J236" s="94"/>
      <c r="K236" s="94"/>
      <c r="L236" s="94"/>
      <c r="M236" s="94"/>
      <c r="N236" s="94"/>
      <c r="O236" s="93"/>
    </row>
    <row r="237" spans="1:15" x14ac:dyDescent="0.25">
      <c r="A237" s="1145" t="s">
        <v>67</v>
      </c>
      <c r="B237" s="1144" t="s">
        <v>112</v>
      </c>
      <c r="C237" s="1144" t="s">
        <v>66</v>
      </c>
      <c r="D237" s="1144" t="s">
        <v>65</v>
      </c>
      <c r="E237" s="1144" t="s">
        <v>81</v>
      </c>
      <c r="F237" s="1140" t="s">
        <v>80</v>
      </c>
      <c r="G237" s="1140" t="s">
        <v>79</v>
      </c>
      <c r="H237" s="1140" t="s">
        <v>78</v>
      </c>
      <c r="I237" s="1140" t="s">
        <v>111</v>
      </c>
      <c r="J237" s="1140" t="s">
        <v>110</v>
      </c>
      <c r="K237" s="1140" t="s">
        <v>109</v>
      </c>
      <c r="L237" s="1140" t="s">
        <v>108</v>
      </c>
      <c r="M237" s="1140" t="s">
        <v>40</v>
      </c>
      <c r="N237" s="1140" t="s">
        <v>58</v>
      </c>
      <c r="O237" s="93"/>
    </row>
    <row r="238" spans="1:15" ht="30" x14ac:dyDescent="0.25">
      <c r="A238" s="1143">
        <v>10</v>
      </c>
      <c r="B238" s="402" t="s">
        <v>852</v>
      </c>
      <c r="C238" s="296" t="s">
        <v>1850</v>
      </c>
      <c r="D238" s="276">
        <v>4.2</v>
      </c>
      <c r="E238" s="296">
        <v>12</v>
      </c>
      <c r="F238" s="296" t="s">
        <v>68</v>
      </c>
      <c r="G238" s="296">
        <v>1</v>
      </c>
      <c r="H238" s="401" t="s">
        <v>68</v>
      </c>
      <c r="I238" s="700" t="s">
        <v>1853</v>
      </c>
      <c r="J238" s="528">
        <f>E238*G238*10^-6</f>
        <v>1.2E-5</v>
      </c>
      <c r="K238" s="398">
        <v>2.7E-2</v>
      </c>
      <c r="L238" s="319">
        <v>2710</v>
      </c>
      <c r="M238" s="397">
        <v>1</v>
      </c>
      <c r="N238" s="276">
        <f>IF(J238="",D238*M238,D238*J238*K238*L238*M238)</f>
        <v>3.6877680000000006E-3</v>
      </c>
      <c r="O238" s="143"/>
    </row>
    <row r="239" spans="1:15" x14ac:dyDescent="0.25">
      <c r="A239" s="98"/>
      <c r="B239" s="95"/>
      <c r="C239" s="95"/>
      <c r="D239" s="95"/>
      <c r="E239" s="95"/>
      <c r="F239" s="95"/>
      <c r="G239" s="95"/>
      <c r="H239" s="95"/>
      <c r="I239" s="95"/>
      <c r="J239" s="95"/>
      <c r="K239" s="95"/>
      <c r="L239" s="95"/>
      <c r="M239" s="1142" t="s">
        <v>58</v>
      </c>
      <c r="N239" s="1136">
        <f>SUM(N238:N238)</f>
        <v>3.6877680000000006E-3</v>
      </c>
      <c r="O239" s="93"/>
    </row>
    <row r="240" spans="1:15" x14ac:dyDescent="0.25">
      <c r="A240" s="107"/>
      <c r="B240" s="94"/>
      <c r="C240" s="94"/>
      <c r="D240" s="94"/>
      <c r="E240" s="94"/>
      <c r="F240" s="94"/>
      <c r="G240" s="94"/>
      <c r="H240" s="94"/>
      <c r="I240" s="94"/>
      <c r="J240" s="94"/>
      <c r="K240" s="94"/>
      <c r="L240" s="94"/>
      <c r="M240" s="94"/>
      <c r="N240" s="94"/>
      <c r="O240" s="93"/>
    </row>
    <row r="241" spans="1:15" x14ac:dyDescent="0.25">
      <c r="A241" s="1141" t="s">
        <v>67</v>
      </c>
      <c r="B241" s="1140" t="s">
        <v>106</v>
      </c>
      <c r="C241" s="1140" t="s">
        <v>66</v>
      </c>
      <c r="D241" s="1140" t="s">
        <v>65</v>
      </c>
      <c r="E241" s="1140" t="s">
        <v>64</v>
      </c>
      <c r="F241" s="1140" t="s">
        <v>40</v>
      </c>
      <c r="G241" s="1140" t="s">
        <v>105</v>
      </c>
      <c r="H241" s="1140" t="s">
        <v>104</v>
      </c>
      <c r="I241" s="1140" t="s">
        <v>58</v>
      </c>
      <c r="J241" s="95"/>
      <c r="K241" s="95"/>
      <c r="L241" s="95"/>
      <c r="M241" s="95"/>
      <c r="N241" s="95"/>
      <c r="O241" s="93"/>
    </row>
    <row r="242" spans="1:15" ht="30" x14ac:dyDescent="0.25">
      <c r="A242" s="1139">
        <v>10</v>
      </c>
      <c r="B242" s="564" t="s">
        <v>516</v>
      </c>
      <c r="C242" s="367" t="s">
        <v>802</v>
      </c>
      <c r="D242" s="293">
        <v>1.3</v>
      </c>
      <c r="E242" s="564" t="s">
        <v>64</v>
      </c>
      <c r="F242" s="367">
        <v>1</v>
      </c>
      <c r="G242" s="367"/>
      <c r="H242" s="367"/>
      <c r="I242" s="293">
        <f>IF(H242="",D242*F242,D242*F242*H242)</f>
        <v>1.3</v>
      </c>
      <c r="J242" s="142"/>
      <c r="K242" s="142"/>
      <c r="L242" s="142"/>
      <c r="M242" s="142"/>
      <c r="N242" s="142"/>
      <c r="O242" s="120"/>
    </row>
    <row r="243" spans="1:15" ht="30" x14ac:dyDescent="0.25">
      <c r="A243" s="1138">
        <v>20</v>
      </c>
      <c r="B243" s="564" t="s">
        <v>541</v>
      </c>
      <c r="C243" s="325" t="s">
        <v>834</v>
      </c>
      <c r="D243" s="276">
        <v>0.01</v>
      </c>
      <c r="E243" s="325" t="s">
        <v>101</v>
      </c>
      <c r="F243" s="565">
        <v>8</v>
      </c>
      <c r="G243" s="564" t="s">
        <v>1285</v>
      </c>
      <c r="H243" s="299">
        <v>1</v>
      </c>
      <c r="I243" s="276">
        <f>IF(H243="",D243*F243,D243*F243*H243)</f>
        <v>0.08</v>
      </c>
      <c r="J243" s="94"/>
      <c r="K243" s="94"/>
      <c r="L243" s="94"/>
      <c r="M243" s="94"/>
      <c r="N243" s="94"/>
      <c r="O243" s="93"/>
    </row>
    <row r="244" spans="1:15" x14ac:dyDescent="0.25">
      <c r="A244" s="1138">
        <v>30</v>
      </c>
      <c r="B244" s="564" t="s">
        <v>1567</v>
      </c>
      <c r="C244" s="325"/>
      <c r="D244" s="276">
        <v>0.25</v>
      </c>
      <c r="E244" s="325" t="s">
        <v>64</v>
      </c>
      <c r="F244" s="565">
        <v>1</v>
      </c>
      <c r="G244" s="564"/>
      <c r="H244" s="299"/>
      <c r="I244" s="276">
        <f>IF(H244="",D244*F244,D244*F244*H244)</f>
        <v>0.25</v>
      </c>
      <c r="J244" s="94"/>
      <c r="K244" s="94"/>
      <c r="L244" s="94"/>
      <c r="M244" s="94"/>
      <c r="N244" s="94"/>
      <c r="O244" s="93"/>
    </row>
    <row r="245" spans="1:15" x14ac:dyDescent="0.25">
      <c r="A245" s="98"/>
      <c r="B245" s="95"/>
      <c r="C245" s="95"/>
      <c r="D245" s="95"/>
      <c r="E245" s="95"/>
      <c r="F245" s="95"/>
      <c r="G245" s="95"/>
      <c r="H245" s="1137" t="s">
        <v>58</v>
      </c>
      <c r="I245" s="1136">
        <f>SUM(I242:I244)</f>
        <v>1.6300000000000001</v>
      </c>
      <c r="J245" s="95"/>
      <c r="K245" s="95"/>
      <c r="L245" s="95"/>
      <c r="M245" s="95"/>
      <c r="N245" s="95"/>
      <c r="O245" s="93"/>
    </row>
    <row r="246" spans="1:15" x14ac:dyDescent="0.25">
      <c r="A246" s="107"/>
      <c r="B246" s="94"/>
      <c r="C246" s="94"/>
      <c r="D246" s="94"/>
      <c r="E246" s="94"/>
      <c r="F246" s="94"/>
      <c r="G246" s="94"/>
      <c r="H246" s="94"/>
      <c r="I246" s="99"/>
      <c r="J246" s="94"/>
      <c r="K246" s="94"/>
      <c r="L246" s="94"/>
      <c r="M246" s="94"/>
      <c r="N246" s="94"/>
      <c r="O246" s="93"/>
    </row>
    <row r="247" spans="1:15" ht="15.75" thickBot="1" x14ac:dyDescent="0.3">
      <c r="A247" s="92"/>
      <c r="B247" s="91"/>
      <c r="C247" s="91"/>
      <c r="D247" s="91"/>
      <c r="E247" s="91"/>
      <c r="F247" s="91"/>
      <c r="G247" s="91"/>
      <c r="H247" s="91"/>
      <c r="I247" s="91"/>
      <c r="J247" s="91"/>
      <c r="K247" s="91"/>
      <c r="L247" s="91"/>
      <c r="M247" s="91"/>
      <c r="N247" s="91"/>
      <c r="O247" s="90"/>
    </row>
    <row r="248" spans="1:15" ht="15.75" thickBot="1" x14ac:dyDescent="0.3"/>
    <row r="249" spans="1:15" x14ac:dyDescent="0.25">
      <c r="A249" s="141"/>
      <c r="B249" s="140"/>
      <c r="C249" s="140"/>
      <c r="D249" s="140"/>
      <c r="E249" s="140"/>
      <c r="F249" s="140"/>
      <c r="G249" s="140"/>
      <c r="H249" s="140"/>
      <c r="I249" s="140"/>
      <c r="J249" s="140"/>
      <c r="K249" s="140"/>
      <c r="L249" s="140"/>
      <c r="M249" s="140"/>
      <c r="N249" s="140"/>
      <c r="O249" s="139"/>
    </row>
    <row r="250" spans="1:15" x14ac:dyDescent="0.25">
      <c r="A250" s="1146" t="s">
        <v>57</v>
      </c>
      <c r="B250" s="133" t="s">
        <v>523</v>
      </c>
      <c r="C250" s="94"/>
      <c r="D250" s="94"/>
      <c r="E250" s="94"/>
      <c r="F250" s="94"/>
      <c r="G250" s="94"/>
      <c r="H250" s="94"/>
      <c r="I250" s="94"/>
      <c r="J250" s="1148" t="s">
        <v>51</v>
      </c>
      <c r="K250" s="138">
        <v>81</v>
      </c>
      <c r="L250" s="94"/>
      <c r="M250" s="1146" t="s">
        <v>113</v>
      </c>
      <c r="N250" s="100">
        <f>BR_03001_m+BR_03001_p</f>
        <v>2.00936556</v>
      </c>
      <c r="O250" s="93"/>
    </row>
    <row r="251" spans="1:15" x14ac:dyDescent="0.25">
      <c r="A251" s="1146" t="s">
        <v>125</v>
      </c>
      <c r="B251" s="133" t="s">
        <v>11</v>
      </c>
      <c r="C251" s="94"/>
      <c r="D251" s="1146" t="s">
        <v>122</v>
      </c>
      <c r="E251" s="94"/>
      <c r="F251" s="94"/>
      <c r="G251" s="94"/>
      <c r="H251" s="94"/>
      <c r="I251" s="94"/>
      <c r="J251" s="94"/>
      <c r="K251" s="94"/>
      <c r="L251" s="94"/>
      <c r="M251" s="1146" t="s">
        <v>124</v>
      </c>
      <c r="N251" s="136">
        <v>1</v>
      </c>
      <c r="O251" s="93"/>
    </row>
    <row r="252" spans="1:15" x14ac:dyDescent="0.25">
      <c r="A252" s="1146" t="s">
        <v>123</v>
      </c>
      <c r="B252" s="270" t="str">
        <f>'BR Assemblies'!B80</f>
        <v>Brake line assembly</v>
      </c>
      <c r="C252" s="94"/>
      <c r="D252" s="1146" t="s">
        <v>119</v>
      </c>
      <c r="E252" s="94"/>
      <c r="F252" s="94"/>
      <c r="G252" s="94"/>
      <c r="H252" s="94"/>
      <c r="I252" s="94"/>
      <c r="J252" s="1147" t="s">
        <v>122</v>
      </c>
      <c r="K252" s="94"/>
      <c r="L252" s="94"/>
      <c r="M252" s="94"/>
      <c r="N252" s="94"/>
      <c r="O252" s="93"/>
    </row>
    <row r="253" spans="1:15" x14ac:dyDescent="0.25">
      <c r="A253" s="1146" t="s">
        <v>114</v>
      </c>
      <c r="B253" s="135" t="s">
        <v>1852</v>
      </c>
      <c r="C253" s="94"/>
      <c r="D253" s="1146" t="s">
        <v>116</v>
      </c>
      <c r="E253" s="94"/>
      <c r="F253" s="94"/>
      <c r="G253" s="94"/>
      <c r="H253" s="94"/>
      <c r="I253" s="94"/>
      <c r="J253" s="1147" t="s">
        <v>119</v>
      </c>
      <c r="K253" s="94"/>
      <c r="L253" s="94"/>
      <c r="M253" s="1146" t="s">
        <v>118</v>
      </c>
      <c r="N253" s="100">
        <f>N251*N250</f>
        <v>2.00936556</v>
      </c>
      <c r="O253" s="93"/>
    </row>
    <row r="254" spans="1:15" x14ac:dyDescent="0.25">
      <c r="A254" s="1146" t="s">
        <v>121</v>
      </c>
      <c r="B254" s="269" t="s">
        <v>1851</v>
      </c>
      <c r="C254" s="94"/>
      <c r="D254" s="94"/>
      <c r="E254" s="94"/>
      <c r="F254" s="94"/>
      <c r="G254" s="94"/>
      <c r="H254" s="94"/>
      <c r="I254" s="94"/>
      <c r="J254" s="1147" t="s">
        <v>116</v>
      </c>
      <c r="K254" s="94"/>
      <c r="L254" s="94"/>
      <c r="M254" s="94"/>
      <c r="N254" s="94"/>
      <c r="O254" s="93"/>
    </row>
    <row r="255" spans="1:15" x14ac:dyDescent="0.25">
      <c r="A255" s="1146" t="s">
        <v>117</v>
      </c>
      <c r="B255" s="133" t="s">
        <v>23</v>
      </c>
      <c r="C255" s="94"/>
      <c r="D255" s="94"/>
      <c r="E255" s="94"/>
      <c r="F255" s="94"/>
      <c r="G255" s="94"/>
      <c r="H255" s="94"/>
      <c r="I255" s="94"/>
      <c r="J255" s="94"/>
      <c r="K255" s="94"/>
      <c r="L255" s="94"/>
      <c r="M255" s="94"/>
      <c r="N255" s="94"/>
      <c r="O255" s="93"/>
    </row>
    <row r="256" spans="1:15" x14ac:dyDescent="0.25">
      <c r="A256" s="1146" t="s">
        <v>115</v>
      </c>
      <c r="B256" s="133"/>
      <c r="C256" s="94"/>
      <c r="D256" s="94"/>
      <c r="E256" s="94"/>
      <c r="F256" s="94"/>
      <c r="G256" s="94"/>
      <c r="H256" s="94"/>
      <c r="I256" s="94"/>
      <c r="J256" s="94"/>
      <c r="K256" s="94"/>
      <c r="L256" s="94"/>
      <c r="M256" s="94"/>
      <c r="N256" s="94"/>
      <c r="O256" s="93"/>
    </row>
    <row r="257" spans="1:15" x14ac:dyDescent="0.25">
      <c r="A257" s="266"/>
      <c r="B257" s="265"/>
      <c r="C257" s="265"/>
      <c r="D257" s="265"/>
      <c r="E257" s="265"/>
      <c r="F257" s="94"/>
      <c r="G257" s="94"/>
      <c r="H257" s="94"/>
      <c r="I257" s="94"/>
      <c r="J257" s="94"/>
      <c r="K257" s="94"/>
      <c r="L257" s="94"/>
      <c r="M257" s="94"/>
      <c r="N257" s="94"/>
      <c r="O257" s="93"/>
    </row>
    <row r="258" spans="1:15" x14ac:dyDescent="0.25">
      <c r="A258" s="1145" t="s">
        <v>67</v>
      </c>
      <c r="B258" s="1144" t="s">
        <v>112</v>
      </c>
      <c r="C258" s="1144" t="s">
        <v>66</v>
      </c>
      <c r="D258" s="1144" t="s">
        <v>65</v>
      </c>
      <c r="E258" s="1144" t="s">
        <v>81</v>
      </c>
      <c r="F258" s="1140" t="s">
        <v>80</v>
      </c>
      <c r="G258" s="1140" t="s">
        <v>79</v>
      </c>
      <c r="H258" s="1140" t="s">
        <v>78</v>
      </c>
      <c r="I258" s="1140" t="s">
        <v>111</v>
      </c>
      <c r="J258" s="1140" t="s">
        <v>110</v>
      </c>
      <c r="K258" s="1140" t="s">
        <v>109</v>
      </c>
      <c r="L258" s="1140" t="s">
        <v>108</v>
      </c>
      <c r="M258" s="1140" t="s">
        <v>40</v>
      </c>
      <c r="N258" s="1140" t="s">
        <v>58</v>
      </c>
      <c r="O258" s="93"/>
    </row>
    <row r="259" spans="1:15" ht="30" x14ac:dyDescent="0.25">
      <c r="A259" s="1143">
        <v>10</v>
      </c>
      <c r="B259" s="402" t="s">
        <v>852</v>
      </c>
      <c r="C259" s="296" t="s">
        <v>1850</v>
      </c>
      <c r="D259" s="276">
        <v>4.2</v>
      </c>
      <c r="E259" s="296">
        <v>30</v>
      </c>
      <c r="F259" s="296" t="s">
        <v>68</v>
      </c>
      <c r="G259" s="296">
        <v>2</v>
      </c>
      <c r="H259" s="401" t="s">
        <v>68</v>
      </c>
      <c r="I259" s="700" t="s">
        <v>1849</v>
      </c>
      <c r="J259" s="528">
        <f>E259*G259*10^(-6)</f>
        <v>5.9999999999999995E-5</v>
      </c>
      <c r="K259" s="398">
        <v>4.2999999999999997E-2</v>
      </c>
      <c r="L259" s="319">
        <v>2710</v>
      </c>
      <c r="M259" s="397">
        <v>1</v>
      </c>
      <c r="N259" s="276">
        <f>IF(J259="",D259*M259,D259*J259*K259*L259*M259)</f>
        <v>2.9365559999999999E-2</v>
      </c>
      <c r="O259" s="143"/>
    </row>
    <row r="260" spans="1:15" x14ac:dyDescent="0.25">
      <c r="A260" s="98"/>
      <c r="B260" s="95"/>
      <c r="C260" s="95"/>
      <c r="D260" s="95"/>
      <c r="E260" s="95"/>
      <c r="F260" s="95"/>
      <c r="G260" s="95"/>
      <c r="H260" s="95"/>
      <c r="I260" s="95"/>
      <c r="J260" s="95"/>
      <c r="K260" s="95"/>
      <c r="L260" s="95"/>
      <c r="M260" s="1142" t="s">
        <v>58</v>
      </c>
      <c r="N260" s="1136">
        <f>SUM(N259:N259)</f>
        <v>2.9365559999999999E-2</v>
      </c>
      <c r="O260" s="93"/>
    </row>
    <row r="261" spans="1:15" x14ac:dyDescent="0.25">
      <c r="A261" s="107"/>
      <c r="B261" s="94"/>
      <c r="C261" s="94"/>
      <c r="D261" s="94"/>
      <c r="E261" s="94"/>
      <c r="F261" s="94"/>
      <c r="G261" s="94"/>
      <c r="H261" s="94"/>
      <c r="I261" s="94"/>
      <c r="J261" s="94"/>
      <c r="K261" s="94"/>
      <c r="L261" s="94"/>
      <c r="M261" s="94"/>
      <c r="N261" s="94"/>
      <c r="O261" s="93"/>
    </row>
    <row r="262" spans="1:15" x14ac:dyDescent="0.25">
      <c r="A262" s="1141" t="s">
        <v>67</v>
      </c>
      <c r="B262" s="1140" t="s">
        <v>106</v>
      </c>
      <c r="C262" s="1140" t="s">
        <v>66</v>
      </c>
      <c r="D262" s="1140" t="s">
        <v>65</v>
      </c>
      <c r="E262" s="1140" t="s">
        <v>64</v>
      </c>
      <c r="F262" s="1140" t="s">
        <v>40</v>
      </c>
      <c r="G262" s="1140" t="s">
        <v>105</v>
      </c>
      <c r="H262" s="1140" t="s">
        <v>104</v>
      </c>
      <c r="I262" s="1140" t="s">
        <v>58</v>
      </c>
      <c r="J262" s="95"/>
      <c r="K262" s="95"/>
      <c r="L262" s="95"/>
      <c r="M262" s="95"/>
      <c r="N262" s="95"/>
      <c r="O262" s="93"/>
    </row>
    <row r="263" spans="1:15" ht="30" x14ac:dyDescent="0.25">
      <c r="A263" s="1139">
        <v>10</v>
      </c>
      <c r="B263" s="564" t="s">
        <v>516</v>
      </c>
      <c r="C263" s="367" t="s">
        <v>802</v>
      </c>
      <c r="D263" s="293">
        <v>1.3</v>
      </c>
      <c r="E263" s="564" t="s">
        <v>64</v>
      </c>
      <c r="F263" s="367">
        <v>1</v>
      </c>
      <c r="G263" s="367"/>
      <c r="H263" s="367"/>
      <c r="I263" s="293">
        <f>IF(H263="",D263*F263,D263*F263*H263)</f>
        <v>1.3</v>
      </c>
      <c r="J263" s="142"/>
      <c r="K263" s="142"/>
      <c r="L263" s="142"/>
      <c r="M263" s="142"/>
      <c r="N263" s="142"/>
      <c r="O263" s="120"/>
    </row>
    <row r="264" spans="1:15" ht="30" x14ac:dyDescent="0.25">
      <c r="A264" s="1138">
        <v>20</v>
      </c>
      <c r="B264" s="564" t="s">
        <v>541</v>
      </c>
      <c r="C264" s="325" t="s">
        <v>1845</v>
      </c>
      <c r="D264" s="276">
        <v>0.01</v>
      </c>
      <c r="E264" s="325" t="s">
        <v>101</v>
      </c>
      <c r="F264" s="565">
        <v>18</v>
      </c>
      <c r="G264" s="564" t="s">
        <v>1285</v>
      </c>
      <c r="H264" s="299"/>
      <c r="I264" s="276">
        <f>IF(H264="",D264*F264,D264*F264*H264)</f>
        <v>0.18</v>
      </c>
      <c r="J264" s="94"/>
      <c r="K264" s="94"/>
      <c r="L264" s="94"/>
      <c r="M264" s="94"/>
      <c r="N264" s="94"/>
      <c r="O264" s="93"/>
    </row>
    <row r="265" spans="1:15" x14ac:dyDescent="0.25">
      <c r="A265" s="1150">
        <v>30</v>
      </c>
      <c r="B265" s="564" t="s">
        <v>539</v>
      </c>
      <c r="C265" s="299" t="s">
        <v>801</v>
      </c>
      <c r="D265" s="276">
        <v>0.25</v>
      </c>
      <c r="E265" s="564"/>
      <c r="F265" s="299">
        <v>2</v>
      </c>
      <c r="G265" s="299"/>
      <c r="H265" s="299"/>
      <c r="I265" s="276">
        <f>IF(H265="",D265*F265,D265*F265*H265)</f>
        <v>0.5</v>
      </c>
      <c r="J265" s="99"/>
      <c r="K265" s="99"/>
      <c r="L265" s="99"/>
      <c r="M265" s="99"/>
      <c r="N265" s="99"/>
      <c r="O265" s="130"/>
    </row>
    <row r="266" spans="1:15" x14ac:dyDescent="0.25">
      <c r="A266" s="98"/>
      <c r="B266" s="95"/>
      <c r="C266" s="95"/>
      <c r="D266" s="95"/>
      <c r="E266" s="95"/>
      <c r="F266" s="95"/>
      <c r="G266" s="95"/>
      <c r="H266" s="1137" t="s">
        <v>58</v>
      </c>
      <c r="I266" s="1136">
        <f>SUM(I263:I265)</f>
        <v>1.98</v>
      </c>
      <c r="J266" s="95"/>
      <c r="K266" s="95"/>
      <c r="L266" s="95"/>
      <c r="M266" s="95"/>
      <c r="N266" s="95"/>
      <c r="O266" s="93"/>
    </row>
    <row r="267" spans="1:15" x14ac:dyDescent="0.25">
      <c r="A267" s="107"/>
      <c r="B267" s="94"/>
      <c r="C267" s="94"/>
      <c r="D267" s="94"/>
      <c r="E267" s="94"/>
      <c r="F267" s="94"/>
      <c r="G267" s="94"/>
      <c r="H267" s="94"/>
      <c r="I267" s="99"/>
      <c r="J267" s="94"/>
      <c r="K267" s="94"/>
      <c r="L267" s="94"/>
      <c r="M267" s="94"/>
      <c r="N267" s="94"/>
      <c r="O267" s="93"/>
    </row>
    <row r="268" spans="1:15" ht="15.75" thickBot="1" x14ac:dyDescent="0.3">
      <c r="A268" s="92"/>
      <c r="B268" s="91"/>
      <c r="C268" s="91"/>
      <c r="D268" s="91"/>
      <c r="E268" s="91"/>
      <c r="F268" s="91"/>
      <c r="G268" s="91"/>
      <c r="H268" s="91"/>
      <c r="I268" s="91"/>
      <c r="J268" s="91"/>
      <c r="K268" s="91"/>
      <c r="L268" s="91"/>
      <c r="M268" s="91"/>
      <c r="N268" s="91"/>
      <c r="O268" s="90"/>
    </row>
    <row r="269" spans="1:15" ht="15.75" thickBot="1" x14ac:dyDescent="0.3"/>
    <row r="270" spans="1:15" x14ac:dyDescent="0.25">
      <c r="A270" s="141"/>
      <c r="B270" s="140"/>
      <c r="C270" s="140"/>
      <c r="D270" s="140"/>
      <c r="E270" s="140"/>
      <c r="F270" s="140"/>
      <c r="G270" s="140"/>
      <c r="H270" s="140"/>
      <c r="I270" s="140"/>
      <c r="J270" s="140"/>
      <c r="K270" s="140"/>
      <c r="L270" s="140"/>
      <c r="M270" s="140"/>
      <c r="N270" s="140"/>
      <c r="O270" s="139"/>
    </row>
    <row r="271" spans="1:15" x14ac:dyDescent="0.25">
      <c r="A271" s="1146" t="s">
        <v>57</v>
      </c>
      <c r="B271" s="133" t="s">
        <v>523</v>
      </c>
      <c r="C271" s="94"/>
      <c r="D271" s="94"/>
      <c r="E271" s="94"/>
      <c r="F271" s="94"/>
      <c r="G271" s="94"/>
      <c r="H271" s="94"/>
      <c r="I271" s="94"/>
      <c r="J271" s="1148" t="s">
        <v>51</v>
      </c>
      <c r="K271" s="138">
        <v>81</v>
      </c>
      <c r="L271" s="94"/>
      <c r="M271" s="1146" t="s">
        <v>113</v>
      </c>
      <c r="N271" s="100">
        <f>BR_03002_m+BR_03002_p</f>
        <v>3.0261610400000003</v>
      </c>
      <c r="O271" s="93"/>
    </row>
    <row r="272" spans="1:15" x14ac:dyDescent="0.25">
      <c r="A272" s="1146" t="s">
        <v>125</v>
      </c>
      <c r="B272" s="133" t="s">
        <v>11</v>
      </c>
      <c r="C272" s="94"/>
      <c r="D272" s="1146" t="s">
        <v>122</v>
      </c>
      <c r="E272" s="94"/>
      <c r="F272" s="94"/>
      <c r="G272" s="94"/>
      <c r="H272" s="94"/>
      <c r="I272" s="94"/>
      <c r="J272" s="94"/>
      <c r="K272" s="94"/>
      <c r="L272" s="94"/>
      <c r="M272" s="1146" t="s">
        <v>124</v>
      </c>
      <c r="N272" s="136">
        <v>1</v>
      </c>
      <c r="O272" s="93"/>
    </row>
    <row r="273" spans="1:15" x14ac:dyDescent="0.25">
      <c r="A273" s="1146" t="s">
        <v>123</v>
      </c>
      <c r="B273" s="270" t="str">
        <f>'BR Assemblies'!B80</f>
        <v>Brake line assembly</v>
      </c>
      <c r="C273" s="94"/>
      <c r="D273" s="1146" t="s">
        <v>119</v>
      </c>
      <c r="E273" s="94"/>
      <c r="F273" s="94"/>
      <c r="G273" s="94"/>
      <c r="H273" s="94"/>
      <c r="I273" s="94"/>
      <c r="J273" s="1147" t="s">
        <v>122</v>
      </c>
      <c r="K273" s="94"/>
      <c r="L273" s="94"/>
      <c r="M273" s="94"/>
      <c r="N273" s="94"/>
      <c r="O273" s="93"/>
    </row>
    <row r="274" spans="1:15" x14ac:dyDescent="0.25">
      <c r="A274" s="1146" t="s">
        <v>114</v>
      </c>
      <c r="B274" s="135" t="s">
        <v>1848</v>
      </c>
      <c r="C274" s="94"/>
      <c r="D274" s="1146" t="s">
        <v>116</v>
      </c>
      <c r="E274" s="94"/>
      <c r="F274" s="94"/>
      <c r="G274" s="94"/>
      <c r="H274" s="94"/>
      <c r="I274" s="94"/>
      <c r="J274" s="1147" t="s">
        <v>119</v>
      </c>
      <c r="K274" s="94"/>
      <c r="L274" s="94"/>
      <c r="M274" s="1146" t="s">
        <v>118</v>
      </c>
      <c r="N274" s="100">
        <f>N272*N271</f>
        <v>3.0261610400000003</v>
      </c>
      <c r="O274" s="93"/>
    </row>
    <row r="275" spans="1:15" x14ac:dyDescent="0.25">
      <c r="A275" s="1146" t="s">
        <v>121</v>
      </c>
      <c r="B275" s="269" t="s">
        <v>1847</v>
      </c>
      <c r="C275" s="94"/>
      <c r="D275" s="94"/>
      <c r="E275" s="94"/>
      <c r="F275" s="94"/>
      <c r="G275" s="94"/>
      <c r="H275" s="94"/>
      <c r="I275" s="94"/>
      <c r="J275" s="1147" t="s">
        <v>116</v>
      </c>
      <c r="K275" s="94"/>
      <c r="L275" s="94"/>
      <c r="M275" s="94"/>
      <c r="N275" s="94"/>
      <c r="O275" s="93"/>
    </row>
    <row r="276" spans="1:15" x14ac:dyDescent="0.25">
      <c r="A276" s="1146" t="s">
        <v>117</v>
      </c>
      <c r="B276" s="133" t="s">
        <v>23</v>
      </c>
      <c r="C276" s="94"/>
      <c r="D276" s="94"/>
      <c r="E276" s="94"/>
      <c r="F276" s="94"/>
      <c r="G276" s="94"/>
      <c r="H276" s="94"/>
      <c r="I276" s="94"/>
      <c r="J276" s="94"/>
      <c r="K276" s="94"/>
      <c r="L276" s="94"/>
      <c r="M276" s="94"/>
      <c r="N276" s="94"/>
      <c r="O276" s="93"/>
    </row>
    <row r="277" spans="1:15" x14ac:dyDescent="0.25">
      <c r="A277" s="1146" t="s">
        <v>115</v>
      </c>
      <c r="B277" s="133"/>
      <c r="C277" s="94"/>
      <c r="D277" s="94"/>
      <c r="E277" s="94"/>
      <c r="F277" s="94"/>
      <c r="G277" s="94"/>
      <c r="H277" s="94"/>
      <c r="I277" s="94"/>
      <c r="J277" s="94"/>
      <c r="K277" s="94"/>
      <c r="L277" s="94"/>
      <c r="M277" s="94"/>
      <c r="N277" s="94"/>
      <c r="O277" s="93"/>
    </row>
    <row r="278" spans="1:15" x14ac:dyDescent="0.25">
      <c r="A278" s="266"/>
      <c r="B278" s="265"/>
      <c r="C278" s="265"/>
      <c r="D278" s="265"/>
      <c r="E278" s="265"/>
      <c r="F278" s="94"/>
      <c r="G278" s="94"/>
      <c r="H278" s="94"/>
      <c r="I278" s="94"/>
      <c r="J278" s="94"/>
      <c r="K278" s="94"/>
      <c r="L278" s="94"/>
      <c r="M278" s="94"/>
      <c r="N278" s="94"/>
      <c r="O278" s="93"/>
    </row>
    <row r="279" spans="1:15" x14ac:dyDescent="0.25">
      <c r="A279" s="1145" t="s">
        <v>67</v>
      </c>
      <c r="B279" s="1144" t="s">
        <v>112</v>
      </c>
      <c r="C279" s="1144" t="s">
        <v>66</v>
      </c>
      <c r="D279" s="1144" t="s">
        <v>65</v>
      </c>
      <c r="E279" s="1144" t="s">
        <v>81</v>
      </c>
      <c r="F279" s="1140" t="s">
        <v>80</v>
      </c>
      <c r="G279" s="1140" t="s">
        <v>79</v>
      </c>
      <c r="H279" s="1140" t="s">
        <v>78</v>
      </c>
      <c r="I279" s="1140" t="s">
        <v>111</v>
      </c>
      <c r="J279" s="1140" t="s">
        <v>110</v>
      </c>
      <c r="K279" s="1140" t="s">
        <v>109</v>
      </c>
      <c r="L279" s="1140" t="s">
        <v>108</v>
      </c>
      <c r="M279" s="1140" t="s">
        <v>40</v>
      </c>
      <c r="N279" s="1140" t="s">
        <v>58</v>
      </c>
      <c r="O279" s="93"/>
    </row>
    <row r="280" spans="1:15" ht="30" x14ac:dyDescent="0.25">
      <c r="A280" s="1143">
        <v>10</v>
      </c>
      <c r="B280" s="402" t="s">
        <v>852</v>
      </c>
      <c r="C280" s="296" t="s">
        <v>841</v>
      </c>
      <c r="D280" s="276">
        <v>4.2</v>
      </c>
      <c r="E280" s="296">
        <v>70</v>
      </c>
      <c r="F280" s="296" t="s">
        <v>68</v>
      </c>
      <c r="G280" s="296">
        <v>1</v>
      </c>
      <c r="H280" s="401" t="s">
        <v>68</v>
      </c>
      <c r="I280" s="700" t="s">
        <v>1846</v>
      </c>
      <c r="J280" s="528">
        <f>(E280*10^-3)*(G280*10^-3)</f>
        <v>7.0000000000000007E-5</v>
      </c>
      <c r="K280" s="398">
        <v>0.19600000000000001</v>
      </c>
      <c r="L280" s="319">
        <v>2710</v>
      </c>
      <c r="M280" s="397">
        <v>1</v>
      </c>
      <c r="N280" s="276">
        <f>IF(J280="",D280*M280,D280*J280*K280*L280*M280)</f>
        <v>0.15616104000000003</v>
      </c>
      <c r="O280" s="143"/>
    </row>
    <row r="281" spans="1:15" x14ac:dyDescent="0.25">
      <c r="A281" s="98"/>
      <c r="B281" s="95"/>
      <c r="C281" s="95"/>
      <c r="D281" s="95"/>
      <c r="E281" s="95"/>
      <c r="F281" s="95"/>
      <c r="G281" s="95"/>
      <c r="H281" s="95"/>
      <c r="I281" s="95"/>
      <c r="J281" s="95"/>
      <c r="K281" s="95"/>
      <c r="L281" s="95"/>
      <c r="M281" s="1142" t="s">
        <v>58</v>
      </c>
      <c r="N281" s="1136">
        <f>SUM(N280:N280)</f>
        <v>0.15616104000000003</v>
      </c>
      <c r="O281" s="93"/>
    </row>
    <row r="282" spans="1:15" x14ac:dyDescent="0.25">
      <c r="A282" s="107"/>
      <c r="B282" s="94"/>
      <c r="C282" s="94"/>
      <c r="D282" s="94"/>
      <c r="E282" s="94"/>
      <c r="F282" s="94"/>
      <c r="G282" s="94"/>
      <c r="H282" s="94"/>
      <c r="I282" s="94"/>
      <c r="J282" s="94"/>
      <c r="K282" s="94"/>
      <c r="L282" s="94"/>
      <c r="M282" s="94"/>
      <c r="N282" s="94"/>
      <c r="O282" s="93"/>
    </row>
    <row r="283" spans="1:15" x14ac:dyDescent="0.25">
      <c r="A283" s="1141" t="s">
        <v>67</v>
      </c>
      <c r="B283" s="1140" t="s">
        <v>106</v>
      </c>
      <c r="C283" s="1140" t="s">
        <v>66</v>
      </c>
      <c r="D283" s="1140" t="s">
        <v>65</v>
      </c>
      <c r="E283" s="1140" t="s">
        <v>64</v>
      </c>
      <c r="F283" s="1140" t="s">
        <v>40</v>
      </c>
      <c r="G283" s="1140" t="s">
        <v>105</v>
      </c>
      <c r="H283" s="1140" t="s">
        <v>104</v>
      </c>
      <c r="I283" s="1140" t="s">
        <v>58</v>
      </c>
      <c r="J283" s="95"/>
      <c r="K283" s="95"/>
      <c r="L283" s="95"/>
      <c r="M283" s="95"/>
      <c r="N283" s="95"/>
      <c r="O283" s="93"/>
    </row>
    <row r="284" spans="1:15" ht="30" x14ac:dyDescent="0.25">
      <c r="A284" s="1139">
        <v>10</v>
      </c>
      <c r="B284" s="564" t="s">
        <v>516</v>
      </c>
      <c r="C284" s="367" t="s">
        <v>802</v>
      </c>
      <c r="D284" s="293">
        <v>1.3</v>
      </c>
      <c r="E284" s="564" t="s">
        <v>64</v>
      </c>
      <c r="F284" s="367">
        <v>1</v>
      </c>
      <c r="G284" s="367"/>
      <c r="H284" s="367"/>
      <c r="I284" s="293">
        <f>IF(H284="",D284*F284,D284*F284*H284)</f>
        <v>1.3</v>
      </c>
      <c r="J284" s="142"/>
      <c r="K284" s="142"/>
      <c r="L284" s="142"/>
      <c r="M284" s="142"/>
      <c r="N284" s="142"/>
      <c r="O284" s="120"/>
    </row>
    <row r="285" spans="1:15" ht="30" x14ac:dyDescent="0.25">
      <c r="A285" s="1138">
        <v>20</v>
      </c>
      <c r="B285" s="564" t="s">
        <v>541</v>
      </c>
      <c r="C285" s="325" t="s">
        <v>1845</v>
      </c>
      <c r="D285" s="276">
        <v>0.01</v>
      </c>
      <c r="E285" s="325" t="s">
        <v>101</v>
      </c>
      <c r="F285" s="565">
        <v>57</v>
      </c>
      <c r="G285" s="564" t="s">
        <v>1285</v>
      </c>
      <c r="H285" s="299">
        <v>1</v>
      </c>
      <c r="I285" s="293">
        <f>IF(H285="",D285*F285,D285*F285*H285)</f>
        <v>0.57000000000000006</v>
      </c>
      <c r="J285" s="94"/>
      <c r="K285" s="94"/>
      <c r="L285" s="94"/>
      <c r="M285" s="94"/>
      <c r="N285" s="94"/>
      <c r="O285" s="93"/>
    </row>
    <row r="286" spans="1:15" x14ac:dyDescent="0.25">
      <c r="A286" s="1138">
        <v>30</v>
      </c>
      <c r="B286" s="564" t="s">
        <v>539</v>
      </c>
      <c r="C286" s="299" t="s">
        <v>801</v>
      </c>
      <c r="D286" s="276">
        <v>0.25</v>
      </c>
      <c r="E286" s="564"/>
      <c r="F286" s="299">
        <v>4</v>
      </c>
      <c r="G286" s="299"/>
      <c r="H286" s="299"/>
      <c r="I286" s="276">
        <f>IF(H286="",D286*F286,D286*F286*H286)</f>
        <v>1</v>
      </c>
      <c r="J286" s="94"/>
      <c r="K286" s="94"/>
      <c r="L286" s="94"/>
      <c r="M286" s="94"/>
      <c r="N286" s="94"/>
      <c r="O286" s="93"/>
    </row>
    <row r="287" spans="1:15" x14ac:dyDescent="0.25">
      <c r="A287" s="98"/>
      <c r="B287" s="95"/>
      <c r="C287" s="95"/>
      <c r="D287" s="95"/>
      <c r="E287" s="95"/>
      <c r="F287" s="95"/>
      <c r="G287" s="95"/>
      <c r="H287" s="1137" t="s">
        <v>58</v>
      </c>
      <c r="I287" s="1136">
        <f>SUM(I284:I286)</f>
        <v>2.87</v>
      </c>
      <c r="J287" s="95"/>
      <c r="K287" s="95"/>
      <c r="L287" s="95"/>
      <c r="M287" s="95"/>
      <c r="N287" s="95"/>
      <c r="O287" s="93"/>
    </row>
    <row r="288" spans="1:15" x14ac:dyDescent="0.25">
      <c r="A288" s="107"/>
      <c r="B288" s="94"/>
      <c r="C288" s="94"/>
      <c r="D288" s="94"/>
      <c r="E288" s="94"/>
      <c r="F288" s="94"/>
      <c r="G288" s="94"/>
      <c r="H288" s="94"/>
      <c r="I288" s="99"/>
      <c r="J288" s="94"/>
      <c r="K288" s="94"/>
      <c r="L288" s="94"/>
      <c r="M288" s="94"/>
      <c r="N288" s="94"/>
      <c r="O288" s="93"/>
    </row>
    <row r="289" spans="1:15" ht="15.75" thickBot="1" x14ac:dyDescent="0.3">
      <c r="A289" s="92"/>
      <c r="B289" s="91"/>
      <c r="C289" s="91"/>
      <c r="D289" s="91"/>
      <c r="E289" s="91"/>
      <c r="F289" s="91"/>
      <c r="G289" s="91"/>
      <c r="H289" s="91"/>
      <c r="I289" s="91"/>
      <c r="J289" s="91"/>
      <c r="K289" s="91"/>
      <c r="L289" s="91"/>
      <c r="M289" s="91"/>
      <c r="N289" s="91"/>
      <c r="O289" s="90"/>
    </row>
    <row r="290" spans="1:15" ht="15.75" thickBot="1" x14ac:dyDescent="0.3"/>
    <row r="291" spans="1:15" x14ac:dyDescent="0.25">
      <c r="A291" s="141"/>
      <c r="B291" s="140"/>
      <c r="C291" s="140"/>
      <c r="D291" s="140"/>
      <c r="E291" s="140"/>
      <c r="F291" s="140"/>
      <c r="G291" s="140"/>
      <c r="H291" s="140"/>
      <c r="I291" s="140"/>
      <c r="J291" s="140"/>
      <c r="K291" s="140"/>
      <c r="L291" s="140"/>
      <c r="M291" s="140"/>
      <c r="N291" s="140"/>
      <c r="O291" s="139"/>
    </row>
    <row r="292" spans="1:15" x14ac:dyDescent="0.25">
      <c r="A292" s="1146" t="s">
        <v>57</v>
      </c>
      <c r="B292" s="133" t="s">
        <v>523</v>
      </c>
      <c r="C292" s="94"/>
      <c r="D292" s="94"/>
      <c r="E292" s="94"/>
      <c r="F292" s="94"/>
      <c r="G292" s="94"/>
      <c r="H292" s="94"/>
      <c r="I292" s="94"/>
      <c r="J292" s="1148" t="s">
        <v>51</v>
      </c>
      <c r="K292" s="138">
        <v>81</v>
      </c>
      <c r="L292" s="94"/>
      <c r="M292" s="1146" t="s">
        <v>113</v>
      </c>
      <c r="N292" s="100">
        <f>BR_03003_m</f>
        <v>97</v>
      </c>
      <c r="O292" s="93"/>
    </row>
    <row r="293" spans="1:15" x14ac:dyDescent="0.25">
      <c r="A293" s="1146" t="s">
        <v>125</v>
      </c>
      <c r="B293" s="133" t="s">
        <v>11</v>
      </c>
      <c r="C293" s="94"/>
      <c r="D293" s="1146" t="s">
        <v>122</v>
      </c>
      <c r="E293" s="547"/>
      <c r="F293" s="94"/>
      <c r="G293" s="94"/>
      <c r="H293" s="94"/>
      <c r="I293" s="94"/>
      <c r="J293" s="94"/>
      <c r="K293" s="94"/>
      <c r="L293" s="94"/>
      <c r="M293" s="1146" t="s">
        <v>124</v>
      </c>
      <c r="N293" s="136">
        <v>2</v>
      </c>
      <c r="O293" s="93"/>
    </row>
    <row r="294" spans="1:15" x14ac:dyDescent="0.25">
      <c r="A294" s="1146" t="s">
        <v>123</v>
      </c>
      <c r="B294" s="270" t="str">
        <f>'BR Assemblies'!B80</f>
        <v>Brake line assembly</v>
      </c>
      <c r="C294" s="94"/>
      <c r="D294" s="1146" t="s">
        <v>119</v>
      </c>
      <c r="E294" s="94"/>
      <c r="F294" s="94"/>
      <c r="G294" s="94"/>
      <c r="H294" s="94"/>
      <c r="I294" s="94"/>
      <c r="J294" s="1147" t="s">
        <v>122</v>
      </c>
      <c r="K294" s="94"/>
      <c r="L294" s="94"/>
      <c r="M294" s="94"/>
      <c r="N294" s="94"/>
      <c r="O294" s="93"/>
    </row>
    <row r="295" spans="1:15" x14ac:dyDescent="0.25">
      <c r="A295" s="1146" t="s">
        <v>114</v>
      </c>
      <c r="B295" s="135" t="s">
        <v>1844</v>
      </c>
      <c r="C295" s="94"/>
      <c r="D295" s="1146" t="s">
        <v>116</v>
      </c>
      <c r="E295" s="94"/>
      <c r="F295" s="94"/>
      <c r="G295" s="94"/>
      <c r="H295" s="94"/>
      <c r="I295" s="94"/>
      <c r="J295" s="1147" t="s">
        <v>119</v>
      </c>
      <c r="K295" s="94"/>
      <c r="L295" s="94"/>
      <c r="M295" s="1146" t="s">
        <v>118</v>
      </c>
      <c r="N295" s="100">
        <f>N293*N292</f>
        <v>194</v>
      </c>
      <c r="O295" s="93"/>
    </row>
    <row r="296" spans="1:15" x14ac:dyDescent="0.25">
      <c r="A296" s="1146" t="s">
        <v>121</v>
      </c>
      <c r="B296" s="269" t="s">
        <v>1843</v>
      </c>
      <c r="C296" s="94"/>
      <c r="D296" s="94"/>
      <c r="E296" s="94"/>
      <c r="F296" s="94"/>
      <c r="G296" s="94"/>
      <c r="H296" s="94"/>
      <c r="I296" s="94"/>
      <c r="J296" s="1147" t="s">
        <v>116</v>
      </c>
      <c r="K296" s="94"/>
      <c r="L296" s="94"/>
      <c r="M296" s="94"/>
      <c r="N296" s="94"/>
      <c r="O296" s="93"/>
    </row>
    <row r="297" spans="1:15" x14ac:dyDescent="0.25">
      <c r="A297" s="1146" t="s">
        <v>117</v>
      </c>
      <c r="B297" s="133" t="s">
        <v>23</v>
      </c>
      <c r="C297" s="94"/>
      <c r="D297" s="94"/>
      <c r="E297" s="94"/>
      <c r="F297" s="94"/>
      <c r="G297" s="94"/>
      <c r="H297" s="94"/>
      <c r="I297" s="94"/>
      <c r="J297" s="94"/>
      <c r="K297" s="94"/>
      <c r="L297" s="94"/>
      <c r="M297" s="94"/>
      <c r="N297" s="94"/>
      <c r="O297" s="93"/>
    </row>
    <row r="298" spans="1:15" ht="90" x14ac:dyDescent="0.25">
      <c r="A298" s="1146" t="s">
        <v>115</v>
      </c>
      <c r="B298" s="1149" t="s">
        <v>1842</v>
      </c>
      <c r="C298" s="94"/>
      <c r="D298" s="94"/>
      <c r="E298" s="94"/>
      <c r="F298" s="94"/>
      <c r="G298" s="94"/>
      <c r="H298" s="94"/>
      <c r="I298" s="94"/>
      <c r="J298" s="94"/>
      <c r="K298" s="94"/>
      <c r="L298" s="94"/>
      <c r="M298" s="94"/>
      <c r="N298" s="94"/>
      <c r="O298" s="93"/>
    </row>
    <row r="299" spans="1:15" x14ac:dyDescent="0.25">
      <c r="A299" s="266"/>
      <c r="B299" s="265"/>
      <c r="C299" s="265"/>
      <c r="D299" s="265"/>
      <c r="E299" s="265"/>
      <c r="F299" s="94"/>
      <c r="G299" s="94"/>
      <c r="H299" s="94"/>
      <c r="I299" s="94"/>
      <c r="J299" s="94"/>
      <c r="K299" s="94"/>
      <c r="L299" s="94"/>
      <c r="M299" s="94"/>
      <c r="N299" s="94"/>
      <c r="O299" s="93"/>
    </row>
    <row r="300" spans="1:15" x14ac:dyDescent="0.25">
      <c r="A300" s="1145" t="s">
        <v>67</v>
      </c>
      <c r="B300" s="1144" t="s">
        <v>112</v>
      </c>
      <c r="C300" s="1144" t="s">
        <v>66</v>
      </c>
      <c r="D300" s="1144" t="s">
        <v>65</v>
      </c>
      <c r="E300" s="1144" t="s">
        <v>81</v>
      </c>
      <c r="F300" s="1140" t="s">
        <v>80</v>
      </c>
      <c r="G300" s="1140" t="s">
        <v>79</v>
      </c>
      <c r="H300" s="1140" t="s">
        <v>78</v>
      </c>
      <c r="I300" s="1140" t="s">
        <v>111</v>
      </c>
      <c r="J300" s="1140" t="s">
        <v>110</v>
      </c>
      <c r="K300" s="1140" t="s">
        <v>109</v>
      </c>
      <c r="L300" s="1140" t="s">
        <v>108</v>
      </c>
      <c r="M300" s="1140" t="s">
        <v>40</v>
      </c>
      <c r="N300" s="1140" t="s">
        <v>58</v>
      </c>
      <c r="O300" s="93"/>
    </row>
    <row r="301" spans="1:15" s="250" customFormat="1" x14ac:dyDescent="0.25">
      <c r="A301" s="1143">
        <v>10</v>
      </c>
      <c r="B301" s="402" t="s">
        <v>1841</v>
      </c>
      <c r="C301" s="296" t="s">
        <v>1840</v>
      </c>
      <c r="D301" s="276">
        <v>97</v>
      </c>
      <c r="E301" s="296"/>
      <c r="F301" s="296"/>
      <c r="G301" s="296"/>
      <c r="H301" s="401"/>
      <c r="I301" s="400"/>
      <c r="J301" s="399"/>
      <c r="K301" s="398"/>
      <c r="L301" s="319"/>
      <c r="M301" s="397">
        <v>1</v>
      </c>
      <c r="N301" s="276">
        <f>IF(J301="",D301*M301,D301*J301*K301*L301*M301)</f>
        <v>97</v>
      </c>
      <c r="O301" s="143"/>
    </row>
    <row r="302" spans="1:15" x14ac:dyDescent="0.25">
      <c r="A302" s="98"/>
      <c r="B302" s="95"/>
      <c r="C302" s="95"/>
      <c r="D302" s="95"/>
      <c r="E302" s="95"/>
      <c r="F302" s="95"/>
      <c r="G302" s="95"/>
      <c r="H302" s="95"/>
      <c r="I302" s="95"/>
      <c r="J302" s="95"/>
      <c r="K302" s="95"/>
      <c r="L302" s="95"/>
      <c r="M302" s="1142" t="s">
        <v>58</v>
      </c>
      <c r="N302" s="1136">
        <f>SUM(N301:N301)</f>
        <v>97</v>
      </c>
      <c r="O302" s="93"/>
    </row>
    <row r="303" spans="1:15" x14ac:dyDescent="0.25">
      <c r="A303" s="107"/>
      <c r="B303" s="94"/>
      <c r="C303" s="94"/>
      <c r="D303" s="94"/>
      <c r="E303" s="94"/>
      <c r="F303" s="94"/>
      <c r="G303" s="94"/>
      <c r="H303" s="94"/>
      <c r="I303" s="94"/>
      <c r="J303" s="94"/>
      <c r="K303" s="94"/>
      <c r="L303" s="94"/>
      <c r="M303" s="94"/>
      <c r="N303" s="94"/>
      <c r="O303" s="93"/>
    </row>
    <row r="304" spans="1:15" ht="15.75" thickBot="1" x14ac:dyDescent="0.3">
      <c r="A304" s="92"/>
      <c r="B304" s="91"/>
      <c r="C304" s="91"/>
      <c r="D304" s="91"/>
      <c r="E304" s="91"/>
      <c r="F304" s="91"/>
      <c r="G304" s="91"/>
      <c r="H304" s="91"/>
      <c r="I304" s="91"/>
      <c r="J304" s="91"/>
      <c r="K304" s="91"/>
      <c r="L304" s="91"/>
      <c r="M304" s="91"/>
      <c r="N304" s="91"/>
      <c r="O304" s="90"/>
    </row>
    <row r="305" spans="1:15" ht="15.75" thickBot="1" x14ac:dyDescent="0.3"/>
    <row r="306" spans="1:15" x14ac:dyDescent="0.25">
      <c r="A306" s="141"/>
      <c r="B306" s="140"/>
      <c r="C306" s="140"/>
      <c r="D306" s="140"/>
      <c r="E306" s="140"/>
      <c r="F306" s="140"/>
      <c r="G306" s="140"/>
      <c r="H306" s="140"/>
      <c r="I306" s="140"/>
      <c r="J306" s="140"/>
      <c r="K306" s="140"/>
      <c r="L306" s="140"/>
      <c r="M306" s="140"/>
      <c r="N306" s="140"/>
      <c r="O306" s="139"/>
    </row>
    <row r="307" spans="1:15" x14ac:dyDescent="0.25">
      <c r="A307" s="1146" t="s">
        <v>57</v>
      </c>
      <c r="B307" s="133" t="s">
        <v>523</v>
      </c>
      <c r="C307" s="94"/>
      <c r="D307" s="94"/>
      <c r="E307" s="94"/>
      <c r="F307" s="94"/>
      <c r="G307" s="94"/>
      <c r="H307" s="94"/>
      <c r="I307" s="94"/>
      <c r="J307" s="1148" t="s">
        <v>51</v>
      </c>
      <c r="K307" s="138">
        <v>81</v>
      </c>
      <c r="L307" s="94"/>
      <c r="M307" s="1146" t="s">
        <v>113</v>
      </c>
      <c r="N307" s="100">
        <f>BR_03004_m</f>
        <v>30</v>
      </c>
      <c r="O307" s="93"/>
    </row>
    <row r="308" spans="1:15" x14ac:dyDescent="0.25">
      <c r="A308" s="1146" t="s">
        <v>125</v>
      </c>
      <c r="B308" s="133" t="s">
        <v>11</v>
      </c>
      <c r="C308" s="94"/>
      <c r="D308" s="1146" t="s">
        <v>122</v>
      </c>
      <c r="E308" s="94"/>
      <c r="F308" s="94"/>
      <c r="G308" s="94"/>
      <c r="H308" s="94"/>
      <c r="I308" s="94"/>
      <c r="J308" s="94"/>
      <c r="K308" s="94"/>
      <c r="L308" s="94"/>
      <c r="M308" s="1146" t="s">
        <v>124</v>
      </c>
      <c r="N308" s="136">
        <v>1</v>
      </c>
      <c r="O308" s="93"/>
    </row>
    <row r="309" spans="1:15" x14ac:dyDescent="0.25">
      <c r="A309" s="1146" t="s">
        <v>123</v>
      </c>
      <c r="B309" s="270" t="str">
        <f>'BR Assemblies'!B80</f>
        <v>Brake line assembly</v>
      </c>
      <c r="C309" s="94"/>
      <c r="D309" s="1146" t="s">
        <v>119</v>
      </c>
      <c r="E309" s="94"/>
      <c r="F309" s="94"/>
      <c r="G309" s="94"/>
      <c r="H309" s="94"/>
      <c r="I309" s="94"/>
      <c r="J309" s="1147" t="s">
        <v>122</v>
      </c>
      <c r="K309" s="94"/>
      <c r="L309" s="94"/>
      <c r="M309" s="94"/>
      <c r="N309" s="94"/>
      <c r="O309" s="93"/>
    </row>
    <row r="310" spans="1:15" x14ac:dyDescent="0.25">
      <c r="A310" s="1146" t="s">
        <v>114</v>
      </c>
      <c r="B310" s="135" t="s">
        <v>1839</v>
      </c>
      <c r="C310" s="94"/>
      <c r="D310" s="1146" t="s">
        <v>116</v>
      </c>
      <c r="E310" s="94"/>
      <c r="F310" s="94"/>
      <c r="G310" s="94"/>
      <c r="H310" s="94"/>
      <c r="I310" s="94"/>
      <c r="J310" s="1147" t="s">
        <v>119</v>
      </c>
      <c r="K310" s="94"/>
      <c r="L310" s="94"/>
      <c r="M310" s="1146" t="s">
        <v>118</v>
      </c>
      <c r="N310" s="100">
        <f>N308*N307</f>
        <v>30</v>
      </c>
      <c r="O310" s="93"/>
    </row>
    <row r="311" spans="1:15" x14ac:dyDescent="0.25">
      <c r="A311" s="1146" t="s">
        <v>121</v>
      </c>
      <c r="B311" s="269" t="s">
        <v>1838</v>
      </c>
      <c r="C311" s="94"/>
      <c r="D311" s="94"/>
      <c r="E311" s="94"/>
      <c r="F311" s="94"/>
      <c r="G311" s="94"/>
      <c r="H311" s="94"/>
      <c r="I311" s="94"/>
      <c r="J311" s="1147" t="s">
        <v>116</v>
      </c>
      <c r="K311" s="94"/>
      <c r="L311" s="94"/>
      <c r="M311" s="94"/>
      <c r="N311" s="94"/>
      <c r="O311" s="93"/>
    </row>
    <row r="312" spans="1:15" x14ac:dyDescent="0.25">
      <c r="A312" s="1146" t="s">
        <v>117</v>
      </c>
      <c r="B312" s="133" t="s">
        <v>23</v>
      </c>
      <c r="C312" s="94"/>
      <c r="D312" s="94"/>
      <c r="E312" s="94"/>
      <c r="F312" s="94"/>
      <c r="G312" s="94"/>
      <c r="H312" s="94"/>
      <c r="I312" s="94"/>
      <c r="J312" s="94"/>
      <c r="K312" s="94"/>
      <c r="L312" s="94"/>
      <c r="M312" s="94"/>
      <c r="N312" s="94"/>
      <c r="O312" s="93"/>
    </row>
    <row r="313" spans="1:15" x14ac:dyDescent="0.25">
      <c r="A313" s="1146" t="s">
        <v>115</v>
      </c>
      <c r="B313" s="133" t="s">
        <v>1837</v>
      </c>
      <c r="C313" s="94"/>
      <c r="D313" s="94"/>
      <c r="E313" s="94"/>
      <c r="F313" s="94"/>
      <c r="G313" s="94"/>
      <c r="H313" s="94"/>
      <c r="I313" s="94"/>
      <c r="J313" s="94"/>
      <c r="K313" s="94"/>
      <c r="L313" s="94"/>
      <c r="M313" s="94"/>
      <c r="N313" s="94"/>
      <c r="O313" s="93"/>
    </row>
    <row r="314" spans="1:15" x14ac:dyDescent="0.25">
      <c r="A314" s="266"/>
      <c r="B314" s="265"/>
      <c r="C314" s="265"/>
      <c r="D314" s="265"/>
      <c r="E314" s="265"/>
      <c r="F314" s="94"/>
      <c r="G314" s="94"/>
      <c r="H314" s="94"/>
      <c r="I314" s="94"/>
      <c r="J314" s="94"/>
      <c r="K314" s="94"/>
      <c r="L314" s="94"/>
      <c r="M314" s="94"/>
      <c r="N314" s="94"/>
      <c r="O314" s="93"/>
    </row>
    <row r="315" spans="1:15" x14ac:dyDescent="0.25">
      <c r="A315" s="1145" t="s">
        <v>67</v>
      </c>
      <c r="B315" s="1144" t="s">
        <v>112</v>
      </c>
      <c r="C315" s="1144" t="s">
        <v>66</v>
      </c>
      <c r="D315" s="1144" t="s">
        <v>65</v>
      </c>
      <c r="E315" s="1144" t="s">
        <v>81</v>
      </c>
      <c r="F315" s="1140" t="s">
        <v>80</v>
      </c>
      <c r="G315" s="1140" t="s">
        <v>79</v>
      </c>
      <c r="H315" s="1140" t="s">
        <v>78</v>
      </c>
      <c r="I315" s="1140" t="s">
        <v>111</v>
      </c>
      <c r="J315" s="1140" t="s">
        <v>110</v>
      </c>
      <c r="K315" s="1140" t="s">
        <v>109</v>
      </c>
      <c r="L315" s="1140" t="s">
        <v>108</v>
      </c>
      <c r="M315" s="1140" t="s">
        <v>40</v>
      </c>
      <c r="N315" s="1140" t="s">
        <v>58</v>
      </c>
      <c r="O315" s="93"/>
    </row>
    <row r="316" spans="1:15" x14ac:dyDescent="0.25">
      <c r="A316" s="1143">
        <v>10</v>
      </c>
      <c r="B316" s="402" t="s">
        <v>1836</v>
      </c>
      <c r="C316" s="331" t="s">
        <v>1835</v>
      </c>
      <c r="D316" s="276">
        <v>30</v>
      </c>
      <c r="E316" s="296"/>
      <c r="F316" s="296"/>
      <c r="G316" s="296"/>
      <c r="H316" s="401"/>
      <c r="I316" s="400"/>
      <c r="J316" s="399"/>
      <c r="K316" s="398"/>
      <c r="L316" s="319"/>
      <c r="M316" s="397">
        <v>1</v>
      </c>
      <c r="N316" s="276">
        <f>IF(J316="",D316*M316,D316*J316*K316*L316*M316)</f>
        <v>30</v>
      </c>
      <c r="O316" s="143"/>
    </row>
    <row r="317" spans="1:15" x14ac:dyDescent="0.25">
      <c r="A317" s="98"/>
      <c r="B317" s="95"/>
      <c r="C317" s="95"/>
      <c r="D317" s="95"/>
      <c r="E317" s="95"/>
      <c r="F317" s="95"/>
      <c r="G317" s="95"/>
      <c r="H317" s="95"/>
      <c r="I317" s="95"/>
      <c r="J317" s="95"/>
      <c r="K317" s="95"/>
      <c r="L317" s="95"/>
      <c r="M317" s="1142" t="s">
        <v>58</v>
      </c>
      <c r="N317" s="1136">
        <f>SUM(N316:N316)</f>
        <v>30</v>
      </c>
      <c r="O317" s="93"/>
    </row>
    <row r="318" spans="1:15" x14ac:dyDescent="0.25">
      <c r="A318" s="107"/>
      <c r="B318" s="94"/>
      <c r="C318" s="94"/>
      <c r="D318" s="94"/>
      <c r="E318" s="94"/>
      <c r="F318" s="94"/>
      <c r="G318" s="94"/>
      <c r="H318" s="94"/>
      <c r="I318" s="94"/>
      <c r="J318" s="94"/>
      <c r="K318" s="94"/>
      <c r="L318" s="94"/>
      <c r="M318" s="94"/>
      <c r="N318" s="94"/>
      <c r="O318" s="93"/>
    </row>
    <row r="319" spans="1:15" ht="15.75" thickBot="1" x14ac:dyDescent="0.3">
      <c r="A319" s="92"/>
      <c r="B319" s="91"/>
      <c r="C319" s="91"/>
      <c r="D319" s="91"/>
      <c r="E319" s="91"/>
      <c r="F319" s="91"/>
      <c r="G319" s="91"/>
      <c r="H319" s="91"/>
      <c r="I319" s="91"/>
      <c r="J319" s="91"/>
      <c r="K319" s="91"/>
      <c r="L319" s="91"/>
      <c r="M319" s="91"/>
      <c r="N319" s="91"/>
      <c r="O319" s="90"/>
    </row>
    <row r="320" spans="1:15" ht="15.75" thickBot="1" x14ac:dyDescent="0.3"/>
    <row r="321" spans="1:15" x14ac:dyDescent="0.25">
      <c r="A321" s="141"/>
      <c r="B321" s="140"/>
      <c r="C321" s="140"/>
      <c r="D321" s="140"/>
      <c r="E321" s="140"/>
      <c r="F321" s="140"/>
      <c r="G321" s="140"/>
      <c r="H321" s="140"/>
      <c r="I321" s="140"/>
      <c r="J321" s="140"/>
      <c r="K321" s="140"/>
      <c r="L321" s="140"/>
      <c r="M321" s="140"/>
      <c r="N321" s="140"/>
      <c r="O321" s="139"/>
    </row>
    <row r="322" spans="1:15" x14ac:dyDescent="0.25">
      <c r="A322" s="1146" t="s">
        <v>57</v>
      </c>
      <c r="B322" s="133" t="s">
        <v>523</v>
      </c>
      <c r="C322" s="94"/>
      <c r="D322" s="94"/>
      <c r="E322" s="94"/>
      <c r="F322" s="94"/>
      <c r="G322" s="94"/>
      <c r="H322" s="94"/>
      <c r="I322" s="94"/>
      <c r="J322" s="1148" t="s">
        <v>51</v>
      </c>
      <c r="K322" s="138">
        <v>81</v>
      </c>
      <c r="L322" s="94"/>
      <c r="M322" s="1146" t="s">
        <v>113</v>
      </c>
      <c r="N322" s="100">
        <f>BR_03005_m+BR_03005_p</f>
        <v>1.615017216</v>
      </c>
      <c r="O322" s="93"/>
    </row>
    <row r="323" spans="1:15" x14ac:dyDescent="0.25">
      <c r="A323" s="1146" t="s">
        <v>125</v>
      </c>
      <c r="B323" s="133" t="s">
        <v>11</v>
      </c>
      <c r="C323" s="94"/>
      <c r="D323" s="1146" t="s">
        <v>122</v>
      </c>
      <c r="E323" s="94"/>
      <c r="F323" s="94"/>
      <c r="G323" s="94"/>
      <c r="H323" s="94"/>
      <c r="I323" s="94"/>
      <c r="J323" s="94"/>
      <c r="K323" s="94"/>
      <c r="L323" s="94"/>
      <c r="M323" s="1146" t="s">
        <v>124</v>
      </c>
      <c r="N323" s="136">
        <v>1</v>
      </c>
      <c r="O323" s="93"/>
    </row>
    <row r="324" spans="1:15" x14ac:dyDescent="0.25">
      <c r="A324" s="1146" t="s">
        <v>123</v>
      </c>
      <c r="B324" s="270" t="str">
        <f>'BR Assemblies'!B80</f>
        <v>Brake line assembly</v>
      </c>
      <c r="C324" s="94"/>
      <c r="D324" s="1146" t="s">
        <v>119</v>
      </c>
      <c r="E324" s="94"/>
      <c r="F324" s="94"/>
      <c r="G324" s="94"/>
      <c r="H324" s="94"/>
      <c r="I324" s="94"/>
      <c r="J324" s="1147" t="s">
        <v>122</v>
      </c>
      <c r="K324" s="94"/>
      <c r="L324" s="94"/>
      <c r="M324" s="94"/>
      <c r="N324" s="94"/>
      <c r="O324" s="93"/>
    </row>
    <row r="325" spans="1:15" x14ac:dyDescent="0.25">
      <c r="A325" s="1146" t="s">
        <v>114</v>
      </c>
      <c r="B325" s="135" t="s">
        <v>1</v>
      </c>
      <c r="C325" s="94"/>
      <c r="D325" s="1146" t="s">
        <v>116</v>
      </c>
      <c r="E325" s="94"/>
      <c r="F325" s="94"/>
      <c r="G325" s="94"/>
      <c r="H325" s="94"/>
      <c r="I325" s="94"/>
      <c r="J325" s="1147" t="s">
        <v>119</v>
      </c>
      <c r="K325" s="94"/>
      <c r="L325" s="94"/>
      <c r="M325" s="1146" t="s">
        <v>118</v>
      </c>
      <c r="N325" s="100">
        <f>N323*N322</f>
        <v>1.615017216</v>
      </c>
      <c r="O325" s="93"/>
    </row>
    <row r="326" spans="1:15" x14ac:dyDescent="0.25">
      <c r="A326" s="1146" t="s">
        <v>121</v>
      </c>
      <c r="B326" s="269" t="s">
        <v>1834</v>
      </c>
      <c r="C326" s="94"/>
      <c r="D326" s="94"/>
      <c r="E326" s="94"/>
      <c r="F326" s="94"/>
      <c r="G326" s="94"/>
      <c r="H326" s="94"/>
      <c r="I326" s="94"/>
      <c r="J326" s="1147" t="s">
        <v>116</v>
      </c>
      <c r="K326" s="94"/>
      <c r="L326" s="94"/>
      <c r="M326" s="94"/>
      <c r="N326" s="94"/>
      <c r="O326" s="93"/>
    </row>
    <row r="327" spans="1:15" x14ac:dyDescent="0.25">
      <c r="A327" s="1146" t="s">
        <v>117</v>
      </c>
      <c r="B327" s="133" t="s">
        <v>23</v>
      </c>
      <c r="C327" s="94"/>
      <c r="D327" s="94"/>
      <c r="E327" s="94"/>
      <c r="F327" s="94"/>
      <c r="G327" s="94"/>
      <c r="H327" s="94"/>
      <c r="I327" s="94"/>
      <c r="J327" s="94"/>
      <c r="K327" s="94"/>
      <c r="L327" s="94"/>
      <c r="M327" s="94"/>
      <c r="N327" s="94"/>
      <c r="O327" s="93"/>
    </row>
    <row r="328" spans="1:15" x14ac:dyDescent="0.25">
      <c r="A328" s="1146" t="s">
        <v>115</v>
      </c>
      <c r="B328" s="133"/>
      <c r="C328" s="94"/>
      <c r="D328" s="94"/>
      <c r="E328" s="94"/>
      <c r="F328" s="94"/>
      <c r="G328" s="94"/>
      <c r="H328" s="94"/>
      <c r="I328" s="94"/>
      <c r="J328" s="94"/>
      <c r="K328" s="94"/>
      <c r="L328" s="94"/>
      <c r="M328" s="94"/>
      <c r="N328" s="94"/>
      <c r="O328" s="93"/>
    </row>
    <row r="329" spans="1:15" x14ac:dyDescent="0.25">
      <c r="A329" s="266"/>
      <c r="B329" s="265"/>
      <c r="C329" s="265"/>
      <c r="D329" s="265"/>
      <c r="E329" s="265"/>
      <c r="F329" s="94"/>
      <c r="G329" s="94"/>
      <c r="H329" s="94"/>
      <c r="I329" s="94"/>
      <c r="J329" s="94"/>
      <c r="K329" s="94"/>
      <c r="L329" s="94"/>
      <c r="M329" s="94"/>
      <c r="N329" s="94"/>
      <c r="O329" s="93"/>
    </row>
    <row r="330" spans="1:15" x14ac:dyDescent="0.25">
      <c r="A330" s="1145" t="s">
        <v>67</v>
      </c>
      <c r="B330" s="1144" t="s">
        <v>112</v>
      </c>
      <c r="C330" s="1144" t="s">
        <v>66</v>
      </c>
      <c r="D330" s="1144" t="s">
        <v>65</v>
      </c>
      <c r="E330" s="1144" t="s">
        <v>81</v>
      </c>
      <c r="F330" s="1140" t="s">
        <v>80</v>
      </c>
      <c r="G330" s="1140" t="s">
        <v>79</v>
      </c>
      <c r="H330" s="1140" t="s">
        <v>78</v>
      </c>
      <c r="I330" s="1140" t="s">
        <v>111</v>
      </c>
      <c r="J330" s="1140" t="s">
        <v>110</v>
      </c>
      <c r="K330" s="1140" t="s">
        <v>109</v>
      </c>
      <c r="L330" s="1140" t="s">
        <v>108</v>
      </c>
      <c r="M330" s="1140" t="s">
        <v>40</v>
      </c>
      <c r="N330" s="1140" t="s">
        <v>58</v>
      </c>
      <c r="O330" s="93"/>
    </row>
    <row r="331" spans="1:15" ht="30" x14ac:dyDescent="0.25">
      <c r="A331" s="1143">
        <v>10</v>
      </c>
      <c r="B331" s="402" t="s">
        <v>1551</v>
      </c>
      <c r="C331" s="296" t="s">
        <v>1830</v>
      </c>
      <c r="D331" s="276">
        <v>4.2</v>
      </c>
      <c r="E331" s="296">
        <v>32</v>
      </c>
      <c r="F331" s="296" t="s">
        <v>68</v>
      </c>
      <c r="G331" s="296">
        <v>2</v>
      </c>
      <c r="H331" s="401" t="s">
        <v>68</v>
      </c>
      <c r="I331" s="700" t="s">
        <v>1833</v>
      </c>
      <c r="J331" s="521">
        <f>E331*G331*10^-6</f>
        <v>6.3999999999999997E-5</v>
      </c>
      <c r="K331" s="398">
        <v>9.1999999999999998E-2</v>
      </c>
      <c r="L331" s="319">
        <v>2710</v>
      </c>
      <c r="M331" s="397">
        <v>1</v>
      </c>
      <c r="N331" s="276">
        <f>IF(J331="",D331*M331,D331*J331*K331*L331*M331)</f>
        <v>6.7017215999999991E-2</v>
      </c>
      <c r="O331" s="143"/>
    </row>
    <row r="332" spans="1:15" x14ac:dyDescent="0.25">
      <c r="A332" s="98"/>
      <c r="B332" s="95"/>
      <c r="C332" s="95"/>
      <c r="D332" s="95"/>
      <c r="E332" s="95"/>
      <c r="F332" s="95"/>
      <c r="G332" s="95"/>
      <c r="H332" s="95"/>
      <c r="I332" s="95"/>
      <c r="J332" s="95"/>
      <c r="K332" s="95"/>
      <c r="L332" s="95"/>
      <c r="M332" s="1142" t="s">
        <v>58</v>
      </c>
      <c r="N332" s="1136">
        <f>SUM(N331:N331)</f>
        <v>6.7017215999999991E-2</v>
      </c>
      <c r="O332" s="93"/>
    </row>
    <row r="333" spans="1:15" x14ac:dyDescent="0.25">
      <c r="A333" s="107"/>
      <c r="B333" s="94"/>
      <c r="C333" s="94"/>
      <c r="D333" s="94"/>
      <c r="E333" s="94"/>
      <c r="F333" s="94"/>
      <c r="G333" s="94"/>
      <c r="H333" s="94"/>
      <c r="I333" s="94"/>
      <c r="J333" s="94"/>
      <c r="K333" s="94"/>
      <c r="L333" s="94"/>
      <c r="M333" s="94"/>
      <c r="N333" s="94"/>
      <c r="O333" s="93"/>
    </row>
    <row r="334" spans="1:15" x14ac:dyDescent="0.25">
      <c r="A334" s="1141" t="s">
        <v>67</v>
      </c>
      <c r="B334" s="1140" t="s">
        <v>106</v>
      </c>
      <c r="C334" s="1140" t="s">
        <v>66</v>
      </c>
      <c r="D334" s="1140" t="s">
        <v>65</v>
      </c>
      <c r="E334" s="1140" t="s">
        <v>64</v>
      </c>
      <c r="F334" s="1140" t="s">
        <v>40</v>
      </c>
      <c r="G334" s="1140" t="s">
        <v>105</v>
      </c>
      <c r="H334" s="1140" t="s">
        <v>104</v>
      </c>
      <c r="I334" s="1140" t="s">
        <v>58</v>
      </c>
      <c r="J334" s="95"/>
      <c r="K334" s="95"/>
      <c r="L334" s="95"/>
      <c r="M334" s="95"/>
      <c r="N334" s="95"/>
      <c r="O334" s="93"/>
    </row>
    <row r="335" spans="1:15" ht="30" x14ac:dyDescent="0.25">
      <c r="A335" s="1139">
        <v>10</v>
      </c>
      <c r="B335" s="564" t="s">
        <v>516</v>
      </c>
      <c r="C335" s="367"/>
      <c r="D335" s="293">
        <v>1.3</v>
      </c>
      <c r="E335" s="564" t="s">
        <v>64</v>
      </c>
      <c r="F335" s="367">
        <v>1</v>
      </c>
      <c r="G335" s="367"/>
      <c r="H335" s="367"/>
      <c r="I335" s="293">
        <f>IF(H335="",D335*F335,D335*F335*H335)</f>
        <v>1.3</v>
      </c>
      <c r="J335" s="142"/>
      <c r="K335" s="142"/>
      <c r="L335" s="142"/>
      <c r="M335" s="142"/>
      <c r="N335" s="142"/>
      <c r="O335" s="120"/>
    </row>
    <row r="336" spans="1:15" ht="30" x14ac:dyDescent="0.25">
      <c r="A336" s="1138">
        <v>20</v>
      </c>
      <c r="B336" s="564" t="s">
        <v>541</v>
      </c>
      <c r="C336" s="325" t="s">
        <v>1828</v>
      </c>
      <c r="D336" s="276">
        <v>0.01</v>
      </c>
      <c r="E336" s="325" t="s">
        <v>101</v>
      </c>
      <c r="F336" s="565">
        <v>24.8</v>
      </c>
      <c r="G336" s="564" t="s">
        <v>1285</v>
      </c>
      <c r="H336" s="299">
        <v>1</v>
      </c>
      <c r="I336" s="293">
        <f>IF(H336="",D336*F336,D336*F336*H336)</f>
        <v>0.24800000000000003</v>
      </c>
      <c r="J336" s="94"/>
      <c r="K336" s="94"/>
      <c r="L336" s="94"/>
      <c r="M336" s="94"/>
      <c r="N336" s="94"/>
      <c r="O336" s="93"/>
    </row>
    <row r="337" spans="1:15" x14ac:dyDescent="0.25">
      <c r="A337" s="98"/>
      <c r="B337" s="95"/>
      <c r="C337" s="95"/>
      <c r="D337" s="95"/>
      <c r="E337" s="95"/>
      <c r="F337" s="95"/>
      <c r="G337" s="95"/>
      <c r="H337" s="1137" t="s">
        <v>58</v>
      </c>
      <c r="I337" s="1136">
        <f>SUM(I335:I336)</f>
        <v>1.548</v>
      </c>
      <c r="J337" s="95"/>
      <c r="K337" s="95"/>
      <c r="L337" s="95"/>
      <c r="M337" s="95"/>
      <c r="N337" s="95"/>
      <c r="O337" s="93"/>
    </row>
    <row r="338" spans="1:15" x14ac:dyDescent="0.25">
      <c r="A338" s="107"/>
      <c r="B338" s="94"/>
      <c r="C338" s="94"/>
      <c r="D338" s="94"/>
      <c r="E338" s="94"/>
      <c r="F338" s="94"/>
      <c r="G338" s="94"/>
      <c r="H338" s="94"/>
      <c r="I338" s="99"/>
      <c r="J338" s="94"/>
      <c r="K338" s="94"/>
      <c r="L338" s="94"/>
      <c r="M338" s="94"/>
      <c r="N338" s="94"/>
      <c r="O338" s="93"/>
    </row>
    <row r="339" spans="1:15" ht="15.75" thickBot="1" x14ac:dyDescent="0.3">
      <c r="A339" s="92"/>
      <c r="B339" s="91"/>
      <c r="C339" s="91"/>
      <c r="D339" s="91"/>
      <c r="E339" s="91"/>
      <c r="F339" s="91"/>
      <c r="G339" s="91"/>
      <c r="H339" s="91"/>
      <c r="I339" s="91"/>
      <c r="J339" s="91"/>
      <c r="K339" s="91"/>
      <c r="L339" s="91"/>
      <c r="M339" s="91"/>
      <c r="N339" s="91"/>
      <c r="O339" s="90"/>
    </row>
    <row r="340" spans="1:15" ht="15.75" thickBot="1" x14ac:dyDescent="0.3"/>
    <row r="341" spans="1:15" x14ac:dyDescent="0.25">
      <c r="A341" s="141"/>
      <c r="B341" s="140"/>
      <c r="C341" s="140"/>
      <c r="D341" s="140"/>
      <c r="E341" s="140"/>
      <c r="F341" s="140"/>
      <c r="G341" s="140"/>
      <c r="H341" s="140"/>
      <c r="I341" s="140"/>
      <c r="J341" s="140"/>
      <c r="K341" s="140"/>
      <c r="L341" s="140"/>
      <c r="M341" s="140"/>
      <c r="N341" s="140"/>
      <c r="O341" s="139"/>
    </row>
    <row r="342" spans="1:15" x14ac:dyDescent="0.25">
      <c r="A342" s="1146" t="s">
        <v>57</v>
      </c>
      <c r="B342" s="133" t="s">
        <v>523</v>
      </c>
      <c r="C342" s="94"/>
      <c r="D342" s="94"/>
      <c r="E342" s="94"/>
      <c r="F342" s="94"/>
      <c r="G342" s="94"/>
      <c r="H342" s="94"/>
      <c r="I342" s="94"/>
      <c r="J342" s="1148" t="s">
        <v>51</v>
      </c>
      <c r="K342" s="138">
        <v>81</v>
      </c>
      <c r="L342" s="94"/>
      <c r="M342" s="1146" t="s">
        <v>113</v>
      </c>
      <c r="N342" s="100">
        <f>BR_03006_m+BR_03006_p</f>
        <v>2.4387796000000002</v>
      </c>
      <c r="O342" s="93"/>
    </row>
    <row r="343" spans="1:15" x14ac:dyDescent="0.25">
      <c r="A343" s="1146" t="s">
        <v>125</v>
      </c>
      <c r="B343" s="133" t="s">
        <v>11</v>
      </c>
      <c r="C343" s="94"/>
      <c r="D343" s="1146" t="s">
        <v>122</v>
      </c>
      <c r="E343" s="94"/>
      <c r="F343" s="94"/>
      <c r="G343" s="94"/>
      <c r="H343" s="94"/>
      <c r="I343" s="94"/>
      <c r="J343" s="94"/>
      <c r="K343" s="94"/>
      <c r="L343" s="94"/>
      <c r="M343" s="1146" t="s">
        <v>124</v>
      </c>
      <c r="N343" s="136">
        <v>1</v>
      </c>
      <c r="O343" s="93"/>
    </row>
    <row r="344" spans="1:15" x14ac:dyDescent="0.25">
      <c r="A344" s="1146" t="s">
        <v>123</v>
      </c>
      <c r="B344" s="270" t="str">
        <f>'BR Assemblies'!B80</f>
        <v>Brake line assembly</v>
      </c>
      <c r="C344" s="94"/>
      <c r="D344" s="1146" t="s">
        <v>119</v>
      </c>
      <c r="E344" s="94"/>
      <c r="F344" s="94"/>
      <c r="G344" s="94"/>
      <c r="H344" s="94"/>
      <c r="I344" s="94"/>
      <c r="J344" s="1147" t="s">
        <v>122</v>
      </c>
      <c r="K344" s="94"/>
      <c r="L344" s="94"/>
      <c r="M344" s="94"/>
      <c r="N344" s="94"/>
      <c r="O344" s="93"/>
    </row>
    <row r="345" spans="1:15" x14ac:dyDescent="0.25">
      <c r="A345" s="1146" t="s">
        <v>114</v>
      </c>
      <c r="B345" s="135" t="s">
        <v>1832</v>
      </c>
      <c r="C345" s="94"/>
      <c r="D345" s="1146" t="s">
        <v>116</v>
      </c>
      <c r="E345" s="94"/>
      <c r="F345" s="94"/>
      <c r="G345" s="94"/>
      <c r="H345" s="94"/>
      <c r="I345" s="94"/>
      <c r="J345" s="1147" t="s">
        <v>119</v>
      </c>
      <c r="K345" s="94"/>
      <c r="L345" s="94"/>
      <c r="M345" s="1146" t="s">
        <v>118</v>
      </c>
      <c r="N345" s="100">
        <f>N343*N342</f>
        <v>2.4387796000000002</v>
      </c>
      <c r="O345" s="93"/>
    </row>
    <row r="346" spans="1:15" x14ac:dyDescent="0.25">
      <c r="A346" s="1146" t="s">
        <v>121</v>
      </c>
      <c r="B346" s="269" t="s">
        <v>1831</v>
      </c>
      <c r="C346" s="94"/>
      <c r="D346" s="94"/>
      <c r="E346" s="94"/>
      <c r="F346" s="94"/>
      <c r="G346" s="94"/>
      <c r="H346" s="94"/>
      <c r="I346" s="94"/>
      <c r="J346" s="1147" t="s">
        <v>116</v>
      </c>
      <c r="K346" s="94"/>
      <c r="L346" s="94"/>
      <c r="M346" s="94"/>
      <c r="N346" s="94"/>
      <c r="O346" s="93"/>
    </row>
    <row r="347" spans="1:15" x14ac:dyDescent="0.25">
      <c r="A347" s="1146" t="s">
        <v>117</v>
      </c>
      <c r="B347" s="133" t="s">
        <v>23</v>
      </c>
      <c r="C347" s="94"/>
      <c r="D347" s="94"/>
      <c r="E347" s="94"/>
      <c r="F347" s="94"/>
      <c r="G347" s="94"/>
      <c r="H347" s="94"/>
      <c r="I347" s="94"/>
      <c r="J347" s="94"/>
      <c r="K347" s="94"/>
      <c r="L347" s="94"/>
      <c r="M347" s="94"/>
      <c r="N347" s="94"/>
      <c r="O347" s="93"/>
    </row>
    <row r="348" spans="1:15" x14ac:dyDescent="0.25">
      <c r="A348" s="1146" t="s">
        <v>115</v>
      </c>
      <c r="B348" s="133" t="s">
        <v>697</v>
      </c>
      <c r="C348" s="94"/>
      <c r="D348" s="94"/>
      <c r="E348" s="94"/>
      <c r="F348" s="94"/>
      <c r="G348" s="94"/>
      <c r="H348" s="94"/>
      <c r="I348" s="94"/>
      <c r="J348" s="94"/>
      <c r="K348" s="94"/>
      <c r="L348" s="94"/>
      <c r="M348" s="94"/>
      <c r="N348" s="94"/>
      <c r="O348" s="93"/>
    </row>
    <row r="349" spans="1:15" x14ac:dyDescent="0.25">
      <c r="A349" s="266"/>
      <c r="B349" s="265"/>
      <c r="C349" s="265"/>
      <c r="D349" s="265"/>
      <c r="E349" s="265"/>
      <c r="F349" s="94"/>
      <c r="G349" s="94"/>
      <c r="H349" s="94"/>
      <c r="I349" s="94"/>
      <c r="J349" s="94"/>
      <c r="K349" s="94"/>
      <c r="L349" s="94"/>
      <c r="M349" s="94"/>
      <c r="N349" s="94"/>
      <c r="O349" s="93"/>
    </row>
    <row r="350" spans="1:15" x14ac:dyDescent="0.25">
      <c r="A350" s="1145" t="s">
        <v>67</v>
      </c>
      <c r="B350" s="1144" t="s">
        <v>112</v>
      </c>
      <c r="C350" s="1144" t="s">
        <v>66</v>
      </c>
      <c r="D350" s="1144" t="s">
        <v>65</v>
      </c>
      <c r="E350" s="1144" t="s">
        <v>81</v>
      </c>
      <c r="F350" s="1140" t="s">
        <v>80</v>
      </c>
      <c r="G350" s="1140" t="s">
        <v>79</v>
      </c>
      <c r="H350" s="1140" t="s">
        <v>78</v>
      </c>
      <c r="I350" s="1140" t="s">
        <v>111</v>
      </c>
      <c r="J350" s="1140" t="s">
        <v>110</v>
      </c>
      <c r="K350" s="1140" t="s">
        <v>109</v>
      </c>
      <c r="L350" s="1140" t="s">
        <v>108</v>
      </c>
      <c r="M350" s="1140" t="s">
        <v>40</v>
      </c>
      <c r="N350" s="1140" t="s">
        <v>58</v>
      </c>
      <c r="O350" s="93"/>
    </row>
    <row r="351" spans="1:15" ht="30" x14ac:dyDescent="0.25">
      <c r="A351" s="1143">
        <v>10</v>
      </c>
      <c r="B351" s="402" t="s">
        <v>1551</v>
      </c>
      <c r="C351" s="296" t="s">
        <v>1830</v>
      </c>
      <c r="D351" s="276">
        <v>4.2</v>
      </c>
      <c r="E351" s="296">
        <v>52</v>
      </c>
      <c r="F351" s="296" t="s">
        <v>68</v>
      </c>
      <c r="G351" s="296">
        <v>2</v>
      </c>
      <c r="H351" s="401" t="s">
        <v>68</v>
      </c>
      <c r="I351" s="700" t="s">
        <v>1829</v>
      </c>
      <c r="J351" s="528">
        <f>E351*G351*10^-6</f>
        <v>1.0399999999999999E-4</v>
      </c>
      <c r="K351" s="398">
        <v>7.4999999999999997E-2</v>
      </c>
      <c r="L351" s="319">
        <v>2710</v>
      </c>
      <c r="M351" s="397">
        <v>1</v>
      </c>
      <c r="N351" s="276">
        <f>IF(J351="",D351*M351,D351*J351*K351*L351*M351)</f>
        <v>8.87796E-2</v>
      </c>
      <c r="O351" s="143"/>
    </row>
    <row r="352" spans="1:15" x14ac:dyDescent="0.25">
      <c r="A352" s="98"/>
      <c r="B352" s="95"/>
      <c r="C352" s="95"/>
      <c r="D352" s="95"/>
      <c r="E352" s="95"/>
      <c r="F352" s="95"/>
      <c r="G352" s="95"/>
      <c r="H352" s="95"/>
      <c r="I352" s="95"/>
      <c r="J352" s="95"/>
      <c r="K352" s="95"/>
      <c r="L352" s="95"/>
      <c r="M352" s="1142" t="s">
        <v>58</v>
      </c>
      <c r="N352" s="1136">
        <f>SUM(N351:N351)</f>
        <v>8.87796E-2</v>
      </c>
      <c r="O352" s="93"/>
    </row>
    <row r="353" spans="1:15" x14ac:dyDescent="0.25">
      <c r="A353" s="107"/>
      <c r="B353" s="94"/>
      <c r="C353" s="94"/>
      <c r="D353" s="94"/>
      <c r="E353" s="94"/>
      <c r="F353" s="94"/>
      <c r="G353" s="94"/>
      <c r="H353" s="94"/>
      <c r="I353" s="94"/>
      <c r="J353" s="94"/>
      <c r="K353" s="94"/>
      <c r="L353" s="94"/>
      <c r="M353" s="94"/>
      <c r="N353" s="94"/>
      <c r="O353" s="93"/>
    </row>
    <row r="354" spans="1:15" x14ac:dyDescent="0.25">
      <c r="A354" s="1141" t="s">
        <v>67</v>
      </c>
      <c r="B354" s="1140" t="s">
        <v>106</v>
      </c>
      <c r="C354" s="1140" t="s">
        <v>66</v>
      </c>
      <c r="D354" s="1140" t="s">
        <v>65</v>
      </c>
      <c r="E354" s="1140" t="s">
        <v>64</v>
      </c>
      <c r="F354" s="1140" t="s">
        <v>40</v>
      </c>
      <c r="G354" s="1140" t="s">
        <v>105</v>
      </c>
      <c r="H354" s="1140" t="s">
        <v>104</v>
      </c>
      <c r="I354" s="1140" t="s">
        <v>58</v>
      </c>
      <c r="J354" s="95"/>
      <c r="K354" s="95"/>
      <c r="L354" s="95"/>
      <c r="M354" s="95"/>
      <c r="N354" s="95"/>
      <c r="O354" s="93"/>
    </row>
    <row r="355" spans="1:15" ht="30" x14ac:dyDescent="0.25">
      <c r="A355" s="1139">
        <v>10</v>
      </c>
      <c r="B355" s="564" t="s">
        <v>516</v>
      </c>
      <c r="C355" s="367"/>
      <c r="D355" s="293">
        <v>1.3</v>
      </c>
      <c r="E355" s="564" t="s">
        <v>64</v>
      </c>
      <c r="F355" s="367">
        <v>1</v>
      </c>
      <c r="G355" s="367"/>
      <c r="H355" s="367"/>
      <c r="I355" s="293">
        <f>IF(H355="",D355*F355,D355*F355*H355)</f>
        <v>1.3</v>
      </c>
      <c r="J355" s="142"/>
      <c r="K355" s="142"/>
      <c r="L355" s="142"/>
      <c r="M355" s="142"/>
      <c r="N355" s="142"/>
      <c r="O355" s="120"/>
    </row>
    <row r="356" spans="1:15" ht="30" x14ac:dyDescent="0.25">
      <c r="A356" s="1138">
        <v>20</v>
      </c>
      <c r="B356" s="564" t="s">
        <v>541</v>
      </c>
      <c r="C356" s="325" t="s">
        <v>1828</v>
      </c>
      <c r="D356" s="276">
        <v>0.01</v>
      </c>
      <c r="E356" s="325" t="s">
        <v>101</v>
      </c>
      <c r="F356" s="565">
        <v>30</v>
      </c>
      <c r="G356" s="564" t="s">
        <v>1246</v>
      </c>
      <c r="H356" s="299">
        <v>1</v>
      </c>
      <c r="I356" s="293">
        <f>IF(H356="",D356*F356,D356*F356*H356)</f>
        <v>0.3</v>
      </c>
      <c r="J356" s="94"/>
      <c r="K356" s="94"/>
      <c r="L356" s="94"/>
      <c r="M356" s="94"/>
      <c r="N356" s="94"/>
      <c r="O356" s="93"/>
    </row>
    <row r="357" spans="1:15" x14ac:dyDescent="0.25">
      <c r="A357" s="1138">
        <v>30</v>
      </c>
      <c r="B357" s="564" t="s">
        <v>539</v>
      </c>
      <c r="C357" s="299" t="s">
        <v>1827</v>
      </c>
      <c r="D357" s="276">
        <v>0.25</v>
      </c>
      <c r="E357" s="564"/>
      <c r="F357" s="299">
        <v>3</v>
      </c>
      <c r="G357" s="299"/>
      <c r="H357" s="299"/>
      <c r="I357" s="276">
        <f>IF(H357="",D357*F357,D357*F357*H357)</f>
        <v>0.75</v>
      </c>
      <c r="J357" s="94"/>
      <c r="K357" s="94"/>
      <c r="L357" s="94"/>
      <c r="M357" s="94"/>
      <c r="N357" s="94"/>
      <c r="O357" s="93"/>
    </row>
    <row r="358" spans="1:15" x14ac:dyDescent="0.25">
      <c r="A358" s="98"/>
      <c r="B358" s="95"/>
      <c r="C358" s="95"/>
      <c r="D358" s="95"/>
      <c r="E358" s="95"/>
      <c r="F358" s="95"/>
      <c r="G358" s="95"/>
      <c r="H358" s="1137" t="s">
        <v>58</v>
      </c>
      <c r="I358" s="1136">
        <f>SUM(I355:I357)</f>
        <v>2.35</v>
      </c>
      <c r="J358" s="95"/>
      <c r="K358" s="95"/>
      <c r="L358" s="95"/>
      <c r="M358" s="95"/>
      <c r="N358" s="95"/>
      <c r="O358" s="93"/>
    </row>
    <row r="359" spans="1:15" x14ac:dyDescent="0.25">
      <c r="A359" s="107"/>
      <c r="B359" s="94"/>
      <c r="C359" s="94"/>
      <c r="D359" s="94"/>
      <c r="E359" s="94"/>
      <c r="F359" s="94"/>
      <c r="G359" s="94"/>
      <c r="H359" s="94"/>
      <c r="I359" s="99"/>
      <c r="J359" s="94"/>
      <c r="K359" s="94"/>
      <c r="L359" s="94"/>
      <c r="M359" s="94"/>
      <c r="N359" s="94"/>
      <c r="O359" s="93"/>
    </row>
    <row r="360" spans="1:15" ht="15.75" thickBot="1" x14ac:dyDescent="0.3">
      <c r="A360" s="92"/>
      <c r="B360" s="91"/>
      <c r="C360" s="91"/>
      <c r="D360" s="91"/>
      <c r="E360" s="91"/>
      <c r="F360" s="91"/>
      <c r="G360" s="91"/>
      <c r="H360" s="91"/>
      <c r="I360" s="91"/>
      <c r="J360" s="91"/>
      <c r="K360" s="91"/>
      <c r="L360" s="91"/>
      <c r="M360" s="91"/>
      <c r="N360" s="91"/>
      <c r="O360" s="90"/>
    </row>
  </sheetData>
  <hyperlinks>
    <hyperlink ref="B4" location="BR_A0001" display="BR_A0001"/>
    <hyperlink ref="B44" location="BR_A0001" display="BR_A0001"/>
    <hyperlink ref="B24" location="BR_A0001" display="BR_A0001"/>
    <hyperlink ref="B65" location="BR_A0001" display="BR_A0001"/>
    <hyperlink ref="B128" location="BR_A0002" display="BR_A0002"/>
    <hyperlink ref="B86" location="BR_A0001" display="BR_A0001"/>
    <hyperlink ref="B148" location="BR_A0002" display="BR_A0002"/>
    <hyperlink ref="B189" location="BR_A0002" display="BR_A0002"/>
    <hyperlink ref="B168" location="BR_A0002" display="BR_A0002"/>
    <hyperlink ref="B210" location="BR_A0002" display="BR_A0002"/>
    <hyperlink ref="B273" location="BR_A0003" display="BR_A0003"/>
    <hyperlink ref="B252" location="BR_A0003" display="BR_A0003"/>
    <hyperlink ref="B294" location="BR_A0003" display="BR_A0003"/>
    <hyperlink ref="B324" location="BR_A0003" display="BR_A0003"/>
    <hyperlink ref="B309" location="BR_A0003" display="BR_A0003"/>
    <hyperlink ref="B107" location="BR_A0001" display="BR_A0001"/>
    <hyperlink ref="B231" location="BR_A0002" display="BR_A0002"/>
    <hyperlink ref="B344" location="BR_A0003" display="BR_A0003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17" manualBreakCount="17">
    <brk id="19" max="16383" man="1"/>
    <brk id="39" max="16383" man="1"/>
    <brk id="60" max="16383" man="1"/>
    <brk id="81" max="14" man="1"/>
    <brk id="102" max="16383" man="1"/>
    <brk id="123" max="16383" man="1"/>
    <brk id="143" max="14" man="1"/>
    <brk id="163" max="16383" man="1"/>
    <brk id="184" max="16383" man="1"/>
    <brk id="205" max="16383" man="1"/>
    <brk id="226" max="16383" man="1"/>
    <brk id="247" max="16383" man="1"/>
    <brk id="268" max="16383" man="1"/>
    <brk id="289" max="16383" man="1"/>
    <brk id="304" max="16383" man="1"/>
    <brk id="319" max="16383" man="1"/>
    <brk id="339" max="16383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  <pageSetUpPr fitToPage="1"/>
  </sheetPr>
  <dimension ref="A1:O688"/>
  <sheetViews>
    <sheetView zoomScale="80" zoomScaleNormal="80" zoomScaleSheetLayoutView="90" workbookViewId="0"/>
  </sheetViews>
  <sheetFormatPr baseColWidth="10" defaultColWidth="9.140625" defaultRowHeight="15" x14ac:dyDescent="0.25"/>
  <cols>
    <col min="1" max="1" width="9.140625" style="89"/>
    <col min="2" max="2" width="28.85546875" style="89" customWidth="1"/>
    <col min="3" max="3" width="39.28515625" style="89" customWidth="1"/>
    <col min="4" max="4" width="11.85546875" style="89" customWidth="1"/>
    <col min="5" max="5" width="13.140625" style="89" customWidth="1"/>
    <col min="6" max="6" width="9.140625" style="89"/>
    <col min="7" max="7" width="16.42578125" style="89" customWidth="1"/>
    <col min="8" max="13" width="9.140625" style="89"/>
    <col min="14" max="14" width="10.42578125" style="89" customWidth="1"/>
    <col min="15" max="15" width="5.28515625" style="89" customWidth="1"/>
    <col min="16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106" t="s">
        <v>57</v>
      </c>
      <c r="B2" s="133" t="s">
        <v>127</v>
      </c>
      <c r="C2" s="94"/>
      <c r="D2" s="94"/>
      <c r="E2" s="94"/>
      <c r="F2" s="94"/>
      <c r="G2" s="94"/>
      <c r="H2" s="94"/>
      <c r="I2" s="94"/>
      <c r="J2" s="106" t="s">
        <v>51</v>
      </c>
      <c r="K2" s="138">
        <v>81</v>
      </c>
      <c r="L2" s="94"/>
      <c r="M2" s="106" t="s">
        <v>126</v>
      </c>
      <c r="N2" s="137">
        <f>E16+EN_A0001_m+EN_A0001_p+EN_A0001_f+EN_A0001_t</f>
        <v>1731.6849380066667</v>
      </c>
      <c r="O2" s="93"/>
    </row>
    <row r="3" spans="1:15" x14ac:dyDescent="0.25">
      <c r="A3" s="106" t="s">
        <v>125</v>
      </c>
      <c r="B3" s="133" t="s">
        <v>21</v>
      </c>
      <c r="C3" s="94"/>
      <c r="D3" s="94"/>
      <c r="E3" s="94"/>
      <c r="F3" s="94"/>
      <c r="G3" s="94"/>
      <c r="H3" s="94"/>
      <c r="I3" s="94"/>
      <c r="J3" s="94"/>
      <c r="K3" s="94"/>
      <c r="L3" s="94"/>
      <c r="M3" s="106" t="s">
        <v>124</v>
      </c>
      <c r="N3" s="136">
        <v>1</v>
      </c>
      <c r="O3" s="93"/>
    </row>
    <row r="4" spans="1:15" x14ac:dyDescent="0.25">
      <c r="A4" s="106" t="s">
        <v>123</v>
      </c>
      <c r="B4" s="99" t="s">
        <v>510</v>
      </c>
      <c r="C4" s="94"/>
      <c r="D4" s="94"/>
      <c r="E4" s="94"/>
      <c r="F4" s="94"/>
      <c r="G4" s="94"/>
      <c r="H4" s="94"/>
      <c r="I4" s="94"/>
      <c r="J4" s="134" t="s">
        <v>122</v>
      </c>
      <c r="K4" s="94"/>
      <c r="L4" s="94"/>
      <c r="M4" s="94"/>
      <c r="N4" s="94"/>
      <c r="O4" s="93"/>
    </row>
    <row r="5" spans="1:15" x14ac:dyDescent="0.25">
      <c r="A5" s="106" t="s">
        <v>121</v>
      </c>
      <c r="B5" s="135" t="s">
        <v>509</v>
      </c>
      <c r="C5" s="94"/>
      <c r="D5" s="94"/>
      <c r="E5" s="94"/>
      <c r="F5" s="94"/>
      <c r="G5" s="94"/>
      <c r="H5" s="94"/>
      <c r="I5" s="94"/>
      <c r="J5" s="134" t="s">
        <v>119</v>
      </c>
      <c r="K5" s="94"/>
      <c r="L5" s="94"/>
      <c r="M5" s="106" t="s">
        <v>118</v>
      </c>
      <c r="N5" s="100">
        <f>N2*N3</f>
        <v>1731.6849380066667</v>
      </c>
      <c r="O5" s="93"/>
    </row>
    <row r="6" spans="1:15" x14ac:dyDescent="0.25">
      <c r="A6" s="106" t="s">
        <v>117</v>
      </c>
      <c r="B6" s="133" t="s">
        <v>23</v>
      </c>
      <c r="C6" s="94"/>
      <c r="D6" s="94"/>
      <c r="E6" s="94"/>
      <c r="F6" s="94"/>
      <c r="G6" s="94"/>
      <c r="H6" s="94"/>
      <c r="I6" s="94"/>
      <c r="J6" s="134" t="s">
        <v>116</v>
      </c>
      <c r="K6" s="94"/>
      <c r="L6" s="94"/>
      <c r="M6" s="94"/>
      <c r="N6" s="94"/>
      <c r="O6" s="93"/>
    </row>
    <row r="7" spans="1:15" x14ac:dyDescent="0.25">
      <c r="A7" s="106" t="s">
        <v>115</v>
      </c>
      <c r="B7" s="133" t="s">
        <v>508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107"/>
      <c r="B8" s="94"/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106" t="s">
        <v>67</v>
      </c>
      <c r="B9" s="106" t="s">
        <v>114</v>
      </c>
      <c r="C9" s="106" t="s">
        <v>113</v>
      </c>
      <c r="D9" s="106" t="s">
        <v>40</v>
      </c>
      <c r="E9" s="106" t="s">
        <v>58</v>
      </c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129">
        <v>10</v>
      </c>
      <c r="B10" s="132" t="str">
        <f>'EN Parts'!B5</f>
        <v>Engine part</v>
      </c>
      <c r="C10" s="100">
        <f>'EN Parts'!N2</f>
        <v>1500</v>
      </c>
      <c r="D10" s="127">
        <f>'EN Parts'!N3</f>
        <v>1</v>
      </c>
      <c r="E10" s="100">
        <f t="shared" ref="E10:E15" si="0">C10*D10</f>
        <v>1500</v>
      </c>
      <c r="F10" s="94"/>
      <c r="G10" s="94"/>
      <c r="H10" s="94"/>
      <c r="I10" s="94"/>
      <c r="J10" s="94"/>
      <c r="K10" s="94"/>
      <c r="L10" s="94"/>
      <c r="M10" s="94"/>
      <c r="N10" s="94"/>
      <c r="O10" s="93"/>
    </row>
    <row r="11" spans="1:15" x14ac:dyDescent="0.25">
      <c r="A11" s="129">
        <v>20</v>
      </c>
      <c r="B11" s="132" t="str">
        <f>'EN Parts'!B33</f>
        <v>Front mount</v>
      </c>
      <c r="C11" s="100">
        <f>'EN Parts'!N30</f>
        <v>2.3536202500000001</v>
      </c>
      <c r="D11" s="127">
        <f>'EN Parts'!N31</f>
        <v>2</v>
      </c>
      <c r="E11" s="100">
        <f t="shared" si="0"/>
        <v>4.7072405000000002</v>
      </c>
      <c r="F11" s="99"/>
      <c r="G11" s="99"/>
      <c r="H11" s="99"/>
      <c r="I11" s="99"/>
      <c r="J11" s="99"/>
      <c r="K11" s="99"/>
      <c r="L11" s="99"/>
      <c r="M11" s="99"/>
      <c r="N11" s="99"/>
      <c r="O11" s="93"/>
    </row>
    <row r="12" spans="1:15" x14ac:dyDescent="0.25">
      <c r="A12" s="129">
        <v>30</v>
      </c>
      <c r="B12" s="132" t="str">
        <f>'EN Parts'!B62</f>
        <v>Upper mount</v>
      </c>
      <c r="C12" s="100">
        <f>'EN Parts'!N59</f>
        <v>13.09403672</v>
      </c>
      <c r="D12" s="127">
        <f>'EN Parts'!N60</f>
        <v>2</v>
      </c>
      <c r="E12" s="100">
        <f t="shared" si="0"/>
        <v>26.18807344</v>
      </c>
      <c r="F12" s="99"/>
      <c r="G12" s="99"/>
      <c r="H12" s="99"/>
      <c r="I12" s="99"/>
      <c r="J12" s="99"/>
      <c r="K12" s="99"/>
      <c r="L12" s="99"/>
      <c r="M12" s="99"/>
      <c r="N12" s="99"/>
      <c r="O12" s="131"/>
    </row>
    <row r="13" spans="1:15" s="254" customFormat="1" x14ac:dyDescent="0.25">
      <c r="A13" s="129">
        <v>40</v>
      </c>
      <c r="B13" s="132" t="str">
        <f>'EN Parts'!B88</f>
        <v>Upper axle</v>
      </c>
      <c r="C13" s="100">
        <f>'EN Parts'!N85</f>
        <v>3.1153423</v>
      </c>
      <c r="D13" s="127">
        <f>'EN Parts'!N86</f>
        <v>1</v>
      </c>
      <c r="E13" s="100">
        <f t="shared" si="0"/>
        <v>3.1153423</v>
      </c>
      <c r="F13" s="99"/>
      <c r="G13" s="99"/>
      <c r="H13" s="99"/>
      <c r="I13" s="99"/>
      <c r="J13" s="99"/>
      <c r="K13" s="99"/>
      <c r="L13" s="99"/>
      <c r="M13" s="99"/>
      <c r="N13" s="99"/>
      <c r="O13" s="131"/>
    </row>
    <row r="14" spans="1:15" s="254" customFormat="1" x14ac:dyDescent="0.25">
      <c r="A14" s="129">
        <v>50</v>
      </c>
      <c r="B14" s="128" t="str">
        <f>'EN Parts'!B112</f>
        <v>Flat sump</v>
      </c>
      <c r="C14" s="100">
        <f>'EN Parts'!N109</f>
        <v>56.263297633333337</v>
      </c>
      <c r="D14" s="127">
        <f>'EN Parts'!N110</f>
        <v>1</v>
      </c>
      <c r="E14" s="100">
        <f t="shared" si="0"/>
        <v>56.263297633333337</v>
      </c>
      <c r="F14" s="99"/>
      <c r="G14" s="99"/>
      <c r="H14" s="99"/>
      <c r="I14" s="99"/>
      <c r="J14" s="99"/>
      <c r="K14" s="99"/>
      <c r="L14" s="99"/>
      <c r="M14" s="99"/>
      <c r="N14" s="99"/>
      <c r="O14" s="130"/>
    </row>
    <row r="15" spans="1:15" x14ac:dyDescent="0.25">
      <c r="A15" s="129">
        <v>60</v>
      </c>
      <c r="B15" s="128" t="str">
        <f>'EN Parts'!B148</f>
        <v>Obstrution plate</v>
      </c>
      <c r="C15" s="100">
        <f>'EN Parts'!N145</f>
        <v>5.8769504000000001</v>
      </c>
      <c r="D15" s="127">
        <f>'EN Parts'!N146</f>
        <v>2</v>
      </c>
      <c r="E15" s="100">
        <f t="shared" si="0"/>
        <v>11.7539008</v>
      </c>
      <c r="F15" s="94"/>
      <c r="G15" s="94"/>
      <c r="H15" s="94"/>
      <c r="I15" s="94"/>
      <c r="J15" s="94"/>
      <c r="K15" s="94"/>
      <c r="L15" s="94"/>
      <c r="M15" s="94"/>
      <c r="N15" s="94"/>
      <c r="O15" s="93"/>
    </row>
    <row r="16" spans="1:15" x14ac:dyDescent="0.25">
      <c r="A16" s="107"/>
      <c r="B16" s="94"/>
      <c r="C16" s="94"/>
      <c r="D16" s="97" t="s">
        <v>58</v>
      </c>
      <c r="E16" s="96">
        <f>SUM(E10:E15)</f>
        <v>1602.0278546733334</v>
      </c>
      <c r="F16" s="99"/>
      <c r="G16" s="99"/>
      <c r="H16" s="99"/>
      <c r="I16" s="99"/>
      <c r="J16" s="99"/>
      <c r="K16" s="99"/>
      <c r="L16" s="99"/>
      <c r="M16" s="99"/>
      <c r="N16" s="99"/>
      <c r="O16" s="93"/>
    </row>
    <row r="17" spans="1:15" x14ac:dyDescent="0.25">
      <c r="A17" s="107"/>
      <c r="B17" s="94"/>
      <c r="C17" s="94"/>
      <c r="D17" s="94"/>
      <c r="E17" s="94"/>
      <c r="F17" s="94"/>
      <c r="G17" s="94"/>
      <c r="H17" s="94"/>
      <c r="I17" s="94"/>
      <c r="J17" s="94"/>
      <c r="K17" s="94"/>
      <c r="L17" s="94"/>
      <c r="M17" s="94"/>
      <c r="N17" s="94"/>
      <c r="O17" s="93"/>
    </row>
    <row r="18" spans="1:15" x14ac:dyDescent="0.25">
      <c r="A18" s="106" t="s">
        <v>67</v>
      </c>
      <c r="B18" s="106" t="s">
        <v>112</v>
      </c>
      <c r="C18" s="106" t="s">
        <v>66</v>
      </c>
      <c r="D18" s="106" t="s">
        <v>65</v>
      </c>
      <c r="E18" s="106" t="s">
        <v>81</v>
      </c>
      <c r="F18" s="106" t="s">
        <v>80</v>
      </c>
      <c r="G18" s="106" t="s">
        <v>79</v>
      </c>
      <c r="H18" s="106" t="s">
        <v>78</v>
      </c>
      <c r="I18" s="106" t="s">
        <v>111</v>
      </c>
      <c r="J18" s="106" t="s">
        <v>110</v>
      </c>
      <c r="K18" s="106" t="s">
        <v>109</v>
      </c>
      <c r="L18" s="106" t="s">
        <v>108</v>
      </c>
      <c r="M18" s="106" t="s">
        <v>40</v>
      </c>
      <c r="N18" s="106" t="s">
        <v>58</v>
      </c>
      <c r="O18" s="93"/>
    </row>
    <row r="19" spans="1:15" x14ac:dyDescent="0.25">
      <c r="A19" s="129">
        <v>10</v>
      </c>
      <c r="B19" s="115" t="s">
        <v>175</v>
      </c>
      <c r="C19" s="115" t="s">
        <v>507</v>
      </c>
      <c r="D19" s="100">
        <v>0.75</v>
      </c>
      <c r="E19" s="129">
        <v>3.5</v>
      </c>
      <c r="F19" s="129" t="s">
        <v>274</v>
      </c>
      <c r="G19" s="129"/>
      <c r="H19" s="200"/>
      <c r="I19" s="202"/>
      <c r="J19" s="201"/>
      <c r="K19" s="200"/>
      <c r="L19" s="200"/>
      <c r="M19" s="200">
        <v>3.5</v>
      </c>
      <c r="N19" s="100">
        <f>M19*D19</f>
        <v>2.625</v>
      </c>
      <c r="O19" s="93"/>
    </row>
    <row r="20" spans="1:15" s="250" customFormat="1" ht="30" x14ac:dyDescent="0.25">
      <c r="A20" s="234">
        <v>20</v>
      </c>
      <c r="B20" s="242" t="s">
        <v>246</v>
      </c>
      <c r="C20" s="115" t="s">
        <v>506</v>
      </c>
      <c r="D20" s="100">
        <v>6.75</v>
      </c>
      <c r="E20" s="253"/>
      <c r="F20" s="253"/>
      <c r="G20" s="253"/>
      <c r="H20" s="200"/>
      <c r="I20" s="252"/>
      <c r="J20" s="249"/>
      <c r="K20" s="246"/>
      <c r="L20" s="251"/>
      <c r="M20" s="248">
        <v>4</v>
      </c>
      <c r="N20" s="100">
        <f>M20*D20</f>
        <v>27</v>
      </c>
      <c r="O20" s="143"/>
    </row>
    <row r="21" spans="1:15" x14ac:dyDescent="0.25">
      <c r="A21" s="129">
        <v>30</v>
      </c>
      <c r="B21" s="242" t="s">
        <v>383</v>
      </c>
      <c r="C21" s="115" t="s">
        <v>382</v>
      </c>
      <c r="D21" s="100">
        <v>0</v>
      </c>
      <c r="E21" s="129"/>
      <c r="F21" s="129"/>
      <c r="G21" s="129"/>
      <c r="H21" s="200"/>
      <c r="I21" s="248"/>
      <c r="J21" s="247"/>
      <c r="K21" s="200"/>
      <c r="L21" s="249"/>
      <c r="M21" s="200">
        <v>1</v>
      </c>
      <c r="N21" s="100">
        <f>M21*D21</f>
        <v>0</v>
      </c>
      <c r="O21" s="93"/>
    </row>
    <row r="22" spans="1:15" x14ac:dyDescent="0.25">
      <c r="A22" s="234">
        <v>40</v>
      </c>
      <c r="B22" s="242" t="s">
        <v>402</v>
      </c>
      <c r="C22" s="115" t="s">
        <v>505</v>
      </c>
      <c r="D22" s="100">
        <v>0.5</v>
      </c>
      <c r="E22" s="129"/>
      <c r="F22" s="129"/>
      <c r="G22" s="129"/>
      <c r="H22" s="200"/>
      <c r="I22" s="248"/>
      <c r="J22" s="247"/>
      <c r="K22" s="200"/>
      <c r="L22" s="200"/>
      <c r="M22" s="200">
        <v>1</v>
      </c>
      <c r="N22" s="100">
        <f>M22*D22</f>
        <v>0.5</v>
      </c>
      <c r="O22" s="93"/>
    </row>
    <row r="23" spans="1:15" x14ac:dyDescent="0.25">
      <c r="A23" s="234">
        <v>50</v>
      </c>
      <c r="B23" s="115" t="s">
        <v>250</v>
      </c>
      <c r="C23" s="115" t="s">
        <v>502</v>
      </c>
      <c r="D23" s="100">
        <v>10</v>
      </c>
      <c r="E23" s="129">
        <v>5.0000000000000001E-3</v>
      </c>
      <c r="F23" s="129" t="s">
        <v>299</v>
      </c>
      <c r="G23" s="129"/>
      <c r="H23" s="200"/>
      <c r="I23" s="248"/>
      <c r="J23" s="247"/>
      <c r="K23" s="200"/>
      <c r="L23" s="200"/>
      <c r="M23" s="246">
        <v>5.0000000000000001E-3</v>
      </c>
      <c r="N23" s="100">
        <f>M23*D23</f>
        <v>0.05</v>
      </c>
      <c r="O23" s="93"/>
    </row>
    <row r="24" spans="1:15" x14ac:dyDescent="0.25">
      <c r="A24" s="98"/>
      <c r="B24" s="95"/>
      <c r="C24" s="95"/>
      <c r="D24" s="95"/>
      <c r="E24" s="95"/>
      <c r="F24" s="95"/>
      <c r="G24" s="95"/>
      <c r="H24" s="95"/>
      <c r="I24" s="95"/>
      <c r="J24" s="95"/>
      <c r="K24" s="95"/>
      <c r="L24" s="95"/>
      <c r="M24" s="106" t="s">
        <v>58</v>
      </c>
      <c r="N24" s="96">
        <f>SUM(N19:N23)</f>
        <v>30.175000000000001</v>
      </c>
      <c r="O24" s="93"/>
    </row>
    <row r="25" spans="1:15" x14ac:dyDescent="0.25">
      <c r="A25" s="107"/>
      <c r="B25" s="94"/>
      <c r="C25" s="94"/>
      <c r="D25" s="94"/>
      <c r="E25" s="94"/>
      <c r="F25" s="94"/>
      <c r="G25" s="94"/>
      <c r="H25" s="94"/>
      <c r="I25" s="94"/>
      <c r="J25" s="94"/>
      <c r="K25" s="94"/>
      <c r="L25" s="94"/>
      <c r="M25" s="94"/>
      <c r="N25" s="94"/>
      <c r="O25" s="93"/>
    </row>
    <row r="26" spans="1:15" s="245" customFormat="1" x14ac:dyDescent="0.25">
      <c r="A26" s="106" t="s">
        <v>67</v>
      </c>
      <c r="B26" s="106" t="s">
        <v>106</v>
      </c>
      <c r="C26" s="106" t="s">
        <v>66</v>
      </c>
      <c r="D26" s="106" t="s">
        <v>65</v>
      </c>
      <c r="E26" s="106" t="s">
        <v>64</v>
      </c>
      <c r="F26" s="106" t="s">
        <v>40</v>
      </c>
      <c r="G26" s="106" t="s">
        <v>105</v>
      </c>
      <c r="H26" s="106" t="s">
        <v>104</v>
      </c>
      <c r="I26" s="106" t="s">
        <v>58</v>
      </c>
      <c r="J26" s="95"/>
      <c r="K26" s="95"/>
      <c r="L26" s="95"/>
      <c r="M26" s="95"/>
      <c r="N26" s="95"/>
      <c r="O26" s="120"/>
    </row>
    <row r="27" spans="1:15" x14ac:dyDescent="0.25">
      <c r="A27" s="129">
        <v>10</v>
      </c>
      <c r="B27" s="173" t="s">
        <v>103</v>
      </c>
      <c r="C27" s="173" t="s">
        <v>504</v>
      </c>
      <c r="D27" s="197">
        <v>0.15</v>
      </c>
      <c r="E27" s="115" t="s">
        <v>101</v>
      </c>
      <c r="F27" s="115">
        <v>19</v>
      </c>
      <c r="G27" s="244"/>
      <c r="H27" s="244">
        <v>1</v>
      </c>
      <c r="I27" s="100">
        <f t="shared" ref="I27:I39" si="1">IF(H27="",D27*F27,D27*F27*H27)</f>
        <v>2.85</v>
      </c>
      <c r="J27" s="94"/>
      <c r="K27" s="94"/>
      <c r="L27" s="94"/>
      <c r="M27" s="94"/>
      <c r="N27" s="94"/>
      <c r="O27" s="93"/>
    </row>
    <row r="28" spans="1:15" x14ac:dyDescent="0.25">
      <c r="A28" s="129">
        <v>20</v>
      </c>
      <c r="B28" s="173" t="s">
        <v>103</v>
      </c>
      <c r="C28" s="173" t="s">
        <v>503</v>
      </c>
      <c r="D28" s="197">
        <v>0.15</v>
      </c>
      <c r="E28" s="115" t="s">
        <v>101</v>
      </c>
      <c r="F28" s="115">
        <v>38.9</v>
      </c>
      <c r="G28" s="129"/>
      <c r="H28" s="129">
        <v>1</v>
      </c>
      <c r="I28" s="100">
        <f t="shared" si="1"/>
        <v>5.835</v>
      </c>
      <c r="J28" s="94"/>
      <c r="K28" s="94"/>
      <c r="L28" s="94"/>
      <c r="M28" s="94"/>
      <c r="N28" s="94"/>
      <c r="O28" s="93"/>
    </row>
    <row r="29" spans="1:15" x14ac:dyDescent="0.25">
      <c r="A29" s="129">
        <v>30</v>
      </c>
      <c r="B29" s="173" t="s">
        <v>243</v>
      </c>
      <c r="C29" s="173" t="s">
        <v>502</v>
      </c>
      <c r="D29" s="197">
        <v>5.25</v>
      </c>
      <c r="E29" s="115" t="s">
        <v>299</v>
      </c>
      <c r="F29" s="115">
        <v>5.0000000000000001E-3</v>
      </c>
      <c r="G29" s="129"/>
      <c r="H29" s="129">
        <v>1</v>
      </c>
      <c r="I29" s="100">
        <f t="shared" si="1"/>
        <v>2.6249999999999999E-2</v>
      </c>
      <c r="J29" s="94"/>
      <c r="K29" s="94"/>
      <c r="L29" s="94"/>
      <c r="M29" s="94"/>
      <c r="N29" s="94"/>
      <c r="O29" s="93"/>
    </row>
    <row r="30" spans="1:15" x14ac:dyDescent="0.25">
      <c r="A30" s="234">
        <v>40</v>
      </c>
      <c r="B30" s="173" t="s">
        <v>285</v>
      </c>
      <c r="C30" s="177" t="s">
        <v>501</v>
      </c>
      <c r="D30" s="197">
        <v>0.19</v>
      </c>
      <c r="E30" s="115" t="s">
        <v>64</v>
      </c>
      <c r="F30" s="115">
        <v>4</v>
      </c>
      <c r="G30" s="115"/>
      <c r="H30" s="115">
        <v>1</v>
      </c>
      <c r="I30" s="100">
        <f t="shared" si="1"/>
        <v>0.76</v>
      </c>
      <c r="J30" s="94"/>
      <c r="K30" s="94"/>
      <c r="L30" s="94"/>
      <c r="M30" s="94"/>
      <c r="N30" s="94"/>
      <c r="O30" s="93"/>
    </row>
    <row r="31" spans="1:15" ht="45" x14ac:dyDescent="0.25">
      <c r="A31" s="234">
        <v>50</v>
      </c>
      <c r="B31" s="198" t="s">
        <v>500</v>
      </c>
      <c r="C31" s="173" t="s">
        <v>499</v>
      </c>
      <c r="D31" s="197">
        <v>5.63</v>
      </c>
      <c r="E31" s="115" t="s">
        <v>64</v>
      </c>
      <c r="F31" s="115">
        <v>1</v>
      </c>
      <c r="G31" s="198" t="s">
        <v>189</v>
      </c>
      <c r="H31" s="115">
        <v>1.5</v>
      </c>
      <c r="I31" s="100">
        <f t="shared" si="1"/>
        <v>8.4450000000000003</v>
      </c>
      <c r="J31" s="94"/>
      <c r="K31" s="94"/>
      <c r="L31" s="94"/>
      <c r="M31" s="94"/>
      <c r="N31" s="94"/>
      <c r="O31" s="93"/>
    </row>
    <row r="32" spans="1:15" ht="45" x14ac:dyDescent="0.25">
      <c r="A32" s="129">
        <v>60</v>
      </c>
      <c r="B32" s="173" t="s">
        <v>498</v>
      </c>
      <c r="C32" s="173" t="s">
        <v>497</v>
      </c>
      <c r="D32" s="197">
        <v>0.13</v>
      </c>
      <c r="E32" s="115" t="s">
        <v>64</v>
      </c>
      <c r="F32" s="115">
        <v>1</v>
      </c>
      <c r="G32" s="198" t="s">
        <v>189</v>
      </c>
      <c r="H32" s="115">
        <v>1.5</v>
      </c>
      <c r="I32" s="100">
        <f t="shared" si="1"/>
        <v>0.19500000000000001</v>
      </c>
      <c r="J32" s="94"/>
      <c r="K32" s="94"/>
      <c r="L32" s="94"/>
      <c r="M32" s="94"/>
      <c r="N32" s="94"/>
      <c r="O32" s="93"/>
    </row>
    <row r="33" spans="1:15" x14ac:dyDescent="0.25">
      <c r="A33" s="129">
        <v>70</v>
      </c>
      <c r="B33" s="173" t="s">
        <v>443</v>
      </c>
      <c r="C33" s="173" t="s">
        <v>496</v>
      </c>
      <c r="D33" s="197">
        <v>0.75</v>
      </c>
      <c r="E33" s="115" t="s">
        <v>64</v>
      </c>
      <c r="F33" s="115">
        <v>2</v>
      </c>
      <c r="G33" s="115"/>
      <c r="H33" s="115">
        <v>1</v>
      </c>
      <c r="I33" s="100">
        <f t="shared" si="1"/>
        <v>1.5</v>
      </c>
      <c r="J33" s="94"/>
      <c r="K33" s="94"/>
      <c r="L33" s="94"/>
      <c r="M33" s="94"/>
      <c r="N33" s="94"/>
      <c r="O33" s="93"/>
    </row>
    <row r="34" spans="1:15" x14ac:dyDescent="0.25">
      <c r="A34" s="129">
        <v>80</v>
      </c>
      <c r="B34" s="173" t="s">
        <v>494</v>
      </c>
      <c r="C34" s="173" t="s">
        <v>493</v>
      </c>
      <c r="D34" s="197">
        <v>0.25</v>
      </c>
      <c r="E34" s="115" t="s">
        <v>64</v>
      </c>
      <c r="F34" s="115">
        <v>2</v>
      </c>
      <c r="G34" s="115"/>
      <c r="H34" s="115">
        <v>1</v>
      </c>
      <c r="I34" s="100">
        <f t="shared" si="1"/>
        <v>0.5</v>
      </c>
      <c r="J34" s="94"/>
      <c r="K34" s="94"/>
      <c r="L34" s="94"/>
      <c r="M34" s="94"/>
      <c r="N34" s="94"/>
      <c r="O34" s="93"/>
    </row>
    <row r="35" spans="1:15" x14ac:dyDescent="0.25">
      <c r="A35" s="129">
        <v>90</v>
      </c>
      <c r="B35" s="173" t="s">
        <v>443</v>
      </c>
      <c r="C35" s="173" t="s">
        <v>495</v>
      </c>
      <c r="D35" s="197">
        <v>0.75</v>
      </c>
      <c r="E35" s="115" t="s">
        <v>64</v>
      </c>
      <c r="F35" s="115">
        <v>2</v>
      </c>
      <c r="G35" s="115"/>
      <c r="H35" s="115">
        <v>1</v>
      </c>
      <c r="I35" s="100">
        <f t="shared" si="1"/>
        <v>1.5</v>
      </c>
      <c r="J35" s="94"/>
      <c r="K35" s="94"/>
      <c r="L35" s="94"/>
      <c r="M35" s="94"/>
      <c r="N35" s="94"/>
      <c r="O35" s="93"/>
    </row>
    <row r="36" spans="1:15" x14ac:dyDescent="0.25">
      <c r="A36" s="129">
        <v>100</v>
      </c>
      <c r="B36" s="173" t="s">
        <v>494</v>
      </c>
      <c r="C36" s="173" t="s">
        <v>493</v>
      </c>
      <c r="D36" s="197">
        <v>0.25</v>
      </c>
      <c r="E36" s="115" t="s">
        <v>64</v>
      </c>
      <c r="F36" s="115">
        <v>2</v>
      </c>
      <c r="G36" s="115"/>
      <c r="H36" s="115">
        <v>1</v>
      </c>
      <c r="I36" s="100">
        <f t="shared" si="1"/>
        <v>0.5</v>
      </c>
      <c r="J36" s="94"/>
      <c r="K36" s="94"/>
      <c r="L36" s="94"/>
      <c r="M36" s="94"/>
      <c r="N36" s="94"/>
      <c r="O36" s="93"/>
    </row>
    <row r="37" spans="1:15" ht="30" x14ac:dyDescent="0.25">
      <c r="A37" s="234">
        <v>110</v>
      </c>
      <c r="B37" s="173" t="s">
        <v>463</v>
      </c>
      <c r="C37" s="177" t="s">
        <v>492</v>
      </c>
      <c r="D37" s="197">
        <v>0.15</v>
      </c>
      <c r="E37" s="115" t="s">
        <v>101</v>
      </c>
      <c r="F37" s="115">
        <v>7.85</v>
      </c>
      <c r="G37" s="115"/>
      <c r="H37" s="115">
        <v>1</v>
      </c>
      <c r="I37" s="100">
        <f t="shared" si="1"/>
        <v>1.1775</v>
      </c>
      <c r="J37" s="94"/>
      <c r="K37" s="94"/>
      <c r="L37" s="94"/>
      <c r="M37" s="94"/>
      <c r="N37" s="94"/>
      <c r="O37" s="93"/>
    </row>
    <row r="38" spans="1:15" x14ac:dyDescent="0.25">
      <c r="A38" s="129">
        <v>120</v>
      </c>
      <c r="B38" s="243" t="s">
        <v>491</v>
      </c>
      <c r="C38" s="173" t="s">
        <v>490</v>
      </c>
      <c r="D38" s="197">
        <v>0.2</v>
      </c>
      <c r="E38" s="115" t="s">
        <v>101</v>
      </c>
      <c r="F38" s="115">
        <v>108</v>
      </c>
      <c r="G38" s="115"/>
      <c r="H38" s="115"/>
      <c r="I38" s="100">
        <f t="shared" si="1"/>
        <v>21.6</v>
      </c>
      <c r="J38" s="94"/>
      <c r="K38" s="94"/>
      <c r="L38" s="94"/>
      <c r="M38" s="94"/>
      <c r="N38" s="94"/>
      <c r="O38" s="93"/>
    </row>
    <row r="39" spans="1:15" x14ac:dyDescent="0.25">
      <c r="A39" s="234">
        <v>130</v>
      </c>
      <c r="B39" s="198" t="s">
        <v>489</v>
      </c>
      <c r="C39" s="173"/>
      <c r="D39" s="197">
        <v>50</v>
      </c>
      <c r="E39" s="115" t="s">
        <v>64</v>
      </c>
      <c r="F39" s="115">
        <v>1</v>
      </c>
      <c r="G39" s="115"/>
      <c r="H39" s="115">
        <v>1</v>
      </c>
      <c r="I39" s="100">
        <f t="shared" si="1"/>
        <v>50</v>
      </c>
      <c r="J39" s="94"/>
      <c r="K39" s="94"/>
      <c r="L39" s="94"/>
      <c r="M39" s="94"/>
      <c r="N39" s="94"/>
      <c r="O39" s="93"/>
    </row>
    <row r="40" spans="1:15" x14ac:dyDescent="0.25">
      <c r="A40" s="98"/>
      <c r="B40" s="95"/>
      <c r="C40" s="95"/>
      <c r="D40" s="95"/>
      <c r="E40" s="95"/>
      <c r="F40" s="95"/>
      <c r="G40" s="95"/>
      <c r="H40" s="97" t="s">
        <v>58</v>
      </c>
      <c r="I40" s="96">
        <f>SUM(I27:I39)</f>
        <v>94.888750000000002</v>
      </c>
      <c r="J40" s="94"/>
      <c r="K40" s="94"/>
      <c r="L40" s="94"/>
      <c r="M40" s="94"/>
      <c r="N40" s="94"/>
      <c r="O40" s="93"/>
    </row>
    <row r="41" spans="1:15" x14ac:dyDescent="0.25">
      <c r="A41" s="107"/>
      <c r="B41" s="94"/>
      <c r="C41" s="94"/>
      <c r="D41" s="94"/>
      <c r="E41" s="94"/>
      <c r="F41" s="94"/>
      <c r="G41" s="94"/>
      <c r="H41" s="94"/>
      <c r="I41" s="94"/>
      <c r="J41" s="94"/>
      <c r="K41" s="94"/>
      <c r="L41" s="94"/>
      <c r="M41" s="94"/>
      <c r="N41" s="94"/>
      <c r="O41" s="93"/>
    </row>
    <row r="42" spans="1:15" x14ac:dyDescent="0.25">
      <c r="A42" s="106" t="s">
        <v>67</v>
      </c>
      <c r="B42" s="213" t="s">
        <v>82</v>
      </c>
      <c r="C42" s="106" t="s">
        <v>66</v>
      </c>
      <c r="D42" s="106" t="s">
        <v>65</v>
      </c>
      <c r="E42" s="106" t="s">
        <v>81</v>
      </c>
      <c r="F42" s="106" t="s">
        <v>80</v>
      </c>
      <c r="G42" s="106" t="s">
        <v>79</v>
      </c>
      <c r="H42" s="106" t="s">
        <v>78</v>
      </c>
      <c r="I42" s="106" t="s">
        <v>40</v>
      </c>
      <c r="J42" s="106" t="s">
        <v>58</v>
      </c>
      <c r="K42" s="94"/>
      <c r="L42" s="94"/>
      <c r="M42" s="94"/>
      <c r="N42" s="94"/>
      <c r="O42" s="93"/>
    </row>
    <row r="43" spans="1:15" x14ac:dyDescent="0.25">
      <c r="A43" s="234">
        <v>10</v>
      </c>
      <c r="B43" s="225" t="s">
        <v>488</v>
      </c>
      <c r="C43" s="115" t="s">
        <v>487</v>
      </c>
      <c r="D43" s="115">
        <v>0.17</v>
      </c>
      <c r="E43" s="115">
        <v>12</v>
      </c>
      <c r="F43" s="174" t="s">
        <v>68</v>
      </c>
      <c r="G43" s="115"/>
      <c r="H43" s="173"/>
      <c r="I43" s="172">
        <v>4</v>
      </c>
      <c r="J43" s="100">
        <f>I43*D43</f>
        <v>0.68</v>
      </c>
      <c r="K43" s="94"/>
      <c r="L43" s="94"/>
      <c r="M43" s="94"/>
      <c r="N43" s="94"/>
      <c r="O43" s="93"/>
    </row>
    <row r="44" spans="1:15" x14ac:dyDescent="0.25">
      <c r="A44" s="234">
        <v>20</v>
      </c>
      <c r="B44" s="242" t="s">
        <v>486</v>
      </c>
      <c r="C44" s="115" t="s">
        <v>485</v>
      </c>
      <c r="D44" s="115">
        <v>0.23</v>
      </c>
      <c r="E44" s="115">
        <v>12</v>
      </c>
      <c r="F44" s="174" t="s">
        <v>68</v>
      </c>
      <c r="G44" s="115"/>
      <c r="H44" s="173"/>
      <c r="I44" s="172">
        <v>2</v>
      </c>
      <c r="J44" s="100">
        <f>I44*D44</f>
        <v>0.46</v>
      </c>
      <c r="K44" s="94"/>
      <c r="L44" s="94"/>
      <c r="M44" s="94"/>
      <c r="N44" s="94"/>
      <c r="O44" s="93"/>
    </row>
    <row r="45" spans="1:15" x14ac:dyDescent="0.25">
      <c r="A45" s="234">
        <v>30</v>
      </c>
      <c r="B45" s="242" t="s">
        <v>484</v>
      </c>
      <c r="C45" s="115" t="s">
        <v>483</v>
      </c>
      <c r="D45" s="115">
        <v>0.02</v>
      </c>
      <c r="E45" s="115">
        <v>12</v>
      </c>
      <c r="F45" s="174" t="s">
        <v>68</v>
      </c>
      <c r="G45" s="115"/>
      <c r="H45" s="173"/>
      <c r="I45" s="172">
        <v>6</v>
      </c>
      <c r="J45" s="100">
        <f>I45*D45</f>
        <v>0.12</v>
      </c>
      <c r="K45" s="94"/>
      <c r="L45" s="94"/>
      <c r="M45" s="94"/>
      <c r="N45" s="94"/>
      <c r="O45" s="93"/>
    </row>
    <row r="46" spans="1:15" x14ac:dyDescent="0.25">
      <c r="A46" s="98"/>
      <c r="B46" s="95"/>
      <c r="C46" s="95"/>
      <c r="D46" s="95"/>
      <c r="E46" s="95"/>
      <c r="F46" s="95"/>
      <c r="G46" s="95"/>
      <c r="H46" s="95"/>
      <c r="I46" s="97" t="s">
        <v>58</v>
      </c>
      <c r="J46" s="96">
        <f>SUM(J43:J45)</f>
        <v>1.2600000000000002</v>
      </c>
      <c r="K46" s="94"/>
      <c r="L46" s="94"/>
      <c r="M46" s="94"/>
      <c r="N46" s="94"/>
      <c r="O46" s="93"/>
    </row>
    <row r="47" spans="1:15" x14ac:dyDescent="0.25">
      <c r="A47" s="107"/>
      <c r="B47" s="94"/>
      <c r="C47" s="94"/>
      <c r="D47" s="94"/>
      <c r="E47" s="94"/>
      <c r="F47" s="94"/>
      <c r="G47" s="94"/>
      <c r="H47" s="94"/>
      <c r="I47" s="94"/>
      <c r="J47" s="94"/>
      <c r="K47" s="94"/>
      <c r="L47" s="94"/>
      <c r="M47" s="94"/>
      <c r="N47" s="94"/>
      <c r="O47" s="93"/>
    </row>
    <row r="48" spans="1:15" x14ac:dyDescent="0.25">
      <c r="A48" s="106" t="s">
        <v>67</v>
      </c>
      <c r="B48" s="106" t="s">
        <v>13</v>
      </c>
      <c r="C48" s="106" t="s">
        <v>66</v>
      </c>
      <c r="D48" s="106" t="s">
        <v>65</v>
      </c>
      <c r="E48" s="106" t="s">
        <v>64</v>
      </c>
      <c r="F48" s="106" t="s">
        <v>40</v>
      </c>
      <c r="G48" s="106" t="s">
        <v>63</v>
      </c>
      <c r="H48" s="106" t="s">
        <v>62</v>
      </c>
      <c r="I48" s="106" t="s">
        <v>58</v>
      </c>
      <c r="J48" s="95"/>
      <c r="K48" s="94"/>
      <c r="L48" s="94"/>
      <c r="M48" s="94"/>
      <c r="N48" s="94"/>
      <c r="O48" s="93"/>
    </row>
    <row r="49" spans="1:15" x14ac:dyDescent="0.25">
      <c r="A49" s="129">
        <v>10</v>
      </c>
      <c r="B49" s="129" t="s">
        <v>61</v>
      </c>
      <c r="C49" s="115" t="s">
        <v>482</v>
      </c>
      <c r="D49" s="100">
        <v>500</v>
      </c>
      <c r="E49" s="129" t="s">
        <v>59</v>
      </c>
      <c r="F49" s="129">
        <v>20</v>
      </c>
      <c r="G49" s="129">
        <v>3000</v>
      </c>
      <c r="H49" s="129">
        <v>1</v>
      </c>
      <c r="I49" s="100">
        <f>D49*F49/G49*H49</f>
        <v>3.3333333333333335</v>
      </c>
      <c r="J49" s="95"/>
      <c r="K49" s="94"/>
      <c r="L49" s="94"/>
      <c r="M49" s="94"/>
      <c r="N49" s="94"/>
      <c r="O49" s="93"/>
    </row>
    <row r="50" spans="1:15" x14ac:dyDescent="0.25">
      <c r="A50" s="98"/>
      <c r="B50" s="95"/>
      <c r="C50" s="95"/>
      <c r="D50" s="95"/>
      <c r="E50" s="95"/>
      <c r="F50" s="95"/>
      <c r="G50" s="95"/>
      <c r="H50" s="224" t="s">
        <v>58</v>
      </c>
      <c r="I50" s="226">
        <f>SUM(I49:I49)</f>
        <v>3.3333333333333335</v>
      </c>
      <c r="J50" s="95"/>
      <c r="K50" s="94"/>
      <c r="L50" s="94"/>
      <c r="M50" s="94"/>
      <c r="N50" s="94"/>
      <c r="O50" s="93"/>
    </row>
    <row r="51" spans="1:15" ht="15.75" thickBot="1" x14ac:dyDescent="0.3">
      <c r="A51" s="92"/>
      <c r="B51" s="91"/>
      <c r="C51" s="91"/>
      <c r="D51" s="91"/>
      <c r="E51" s="91"/>
      <c r="F51" s="91"/>
      <c r="G51" s="91"/>
      <c r="H51" s="91"/>
      <c r="I51" s="91"/>
      <c r="J51" s="91"/>
      <c r="K51" s="91"/>
      <c r="L51" s="91"/>
      <c r="M51" s="91"/>
      <c r="N51" s="91"/>
      <c r="O51" s="90"/>
    </row>
    <row r="52" spans="1:15" ht="15.75" thickBot="1" x14ac:dyDescent="0.3">
      <c r="A52" s="94"/>
      <c r="B52" s="94"/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</row>
    <row r="53" spans="1:15" x14ac:dyDescent="0.25">
      <c r="A53" s="141"/>
      <c r="B53" s="140"/>
      <c r="C53" s="140"/>
      <c r="D53" s="140"/>
      <c r="E53" s="140"/>
      <c r="F53" s="140"/>
      <c r="G53" s="140"/>
      <c r="H53" s="140"/>
      <c r="I53" s="140"/>
      <c r="J53" s="140"/>
      <c r="K53" s="140"/>
      <c r="L53" s="140"/>
      <c r="M53" s="140"/>
      <c r="N53" s="140"/>
      <c r="O53" s="139"/>
    </row>
    <row r="54" spans="1:15" x14ac:dyDescent="0.25">
      <c r="A54" s="106" t="s">
        <v>57</v>
      </c>
      <c r="B54" s="133" t="s">
        <v>127</v>
      </c>
      <c r="C54" s="94"/>
      <c r="D54" s="94"/>
      <c r="E54" s="94"/>
      <c r="F54" s="94"/>
      <c r="G54" s="94"/>
      <c r="H54" s="94"/>
      <c r="I54" s="94"/>
      <c r="J54" s="106" t="s">
        <v>51</v>
      </c>
      <c r="K54" s="138">
        <v>81</v>
      </c>
      <c r="L54" s="94"/>
      <c r="M54" s="106" t="s">
        <v>126</v>
      </c>
      <c r="N54" s="137">
        <f>E70+EN_A0002_m+EN_A0002_p+EN_A0002_f+EN_A0002_t</f>
        <v>424.07348099066661</v>
      </c>
      <c r="O54" s="93"/>
    </row>
    <row r="55" spans="1:15" x14ac:dyDescent="0.25">
      <c r="A55" s="106" t="s">
        <v>125</v>
      </c>
      <c r="B55" s="133" t="s">
        <v>21</v>
      </c>
      <c r="C55" s="94"/>
      <c r="D55" s="94"/>
      <c r="E55" s="94"/>
      <c r="F55" s="94"/>
      <c r="G55" s="94"/>
      <c r="H55" s="94"/>
      <c r="I55" s="94"/>
      <c r="J55" s="94"/>
      <c r="K55" s="94"/>
      <c r="L55" s="94"/>
      <c r="M55" s="106" t="s">
        <v>124</v>
      </c>
      <c r="N55" s="136">
        <v>1</v>
      </c>
      <c r="O55" s="93"/>
    </row>
    <row r="56" spans="1:15" x14ac:dyDescent="0.25">
      <c r="A56" s="106" t="s">
        <v>123</v>
      </c>
      <c r="B56" s="89" t="s">
        <v>33</v>
      </c>
      <c r="C56" s="94"/>
      <c r="D56" s="94"/>
      <c r="E56" s="94"/>
      <c r="F56" s="94"/>
      <c r="G56" s="94"/>
      <c r="H56" s="94"/>
      <c r="I56" s="94"/>
      <c r="J56" s="134" t="s">
        <v>122</v>
      </c>
      <c r="K56" s="94"/>
      <c r="L56" s="94"/>
      <c r="M56" s="94"/>
      <c r="N56" s="94"/>
      <c r="O56" s="93"/>
    </row>
    <row r="57" spans="1:15" x14ac:dyDescent="0.25">
      <c r="A57" s="106" t="s">
        <v>121</v>
      </c>
      <c r="B57" s="135" t="s">
        <v>481</v>
      </c>
      <c r="C57" s="94"/>
      <c r="D57" s="94"/>
      <c r="E57" s="94"/>
      <c r="F57" s="94"/>
      <c r="G57" s="94"/>
      <c r="H57" s="94"/>
      <c r="I57" s="94"/>
      <c r="J57" s="134" t="s">
        <v>119</v>
      </c>
      <c r="K57" s="94"/>
      <c r="L57" s="94"/>
      <c r="M57" s="106" t="s">
        <v>118</v>
      </c>
      <c r="N57" s="100">
        <f>N54*N55</f>
        <v>424.07348099066661</v>
      </c>
      <c r="O57" s="93"/>
    </row>
    <row r="58" spans="1:15" x14ac:dyDescent="0.25">
      <c r="A58" s="106" t="s">
        <v>117</v>
      </c>
      <c r="B58" s="133" t="s">
        <v>23</v>
      </c>
      <c r="C58" s="94"/>
      <c r="D58" s="94"/>
      <c r="E58" s="94"/>
      <c r="F58" s="94"/>
      <c r="G58" s="94"/>
      <c r="H58" s="94"/>
      <c r="I58" s="94"/>
      <c r="J58" s="134" t="s">
        <v>116</v>
      </c>
      <c r="K58" s="94"/>
      <c r="L58" s="94"/>
      <c r="M58" s="94"/>
      <c r="N58" s="94"/>
      <c r="O58" s="93"/>
    </row>
    <row r="59" spans="1:15" x14ac:dyDescent="0.25">
      <c r="A59" s="106" t="s">
        <v>115</v>
      </c>
      <c r="B59" s="133"/>
      <c r="C59" s="94"/>
      <c r="D59" s="94"/>
      <c r="E59" s="94"/>
      <c r="F59" s="94"/>
      <c r="G59" s="94"/>
      <c r="H59" s="94"/>
      <c r="I59" s="94"/>
      <c r="J59" s="94"/>
      <c r="K59" s="94"/>
      <c r="L59" s="94"/>
      <c r="M59" s="94"/>
      <c r="N59" s="94"/>
      <c r="O59" s="93"/>
    </row>
    <row r="60" spans="1:15" x14ac:dyDescent="0.25">
      <c r="A60" s="107"/>
      <c r="B60" s="94"/>
      <c r="C60" s="94"/>
      <c r="D60" s="94"/>
      <c r="E60" s="94"/>
      <c r="F60" s="94"/>
      <c r="G60" s="94"/>
      <c r="H60" s="94"/>
      <c r="I60" s="94"/>
      <c r="J60" s="94"/>
      <c r="K60" s="94"/>
      <c r="L60" s="94"/>
      <c r="M60" s="94"/>
      <c r="N60" s="94"/>
      <c r="O60" s="93"/>
    </row>
    <row r="61" spans="1:15" x14ac:dyDescent="0.25">
      <c r="A61" s="106" t="s">
        <v>67</v>
      </c>
      <c r="B61" s="106" t="s">
        <v>114</v>
      </c>
      <c r="C61" s="106" t="s">
        <v>113</v>
      </c>
      <c r="D61" s="106" t="s">
        <v>40</v>
      </c>
      <c r="E61" s="106" t="s">
        <v>58</v>
      </c>
      <c r="F61" s="94"/>
      <c r="G61" s="94"/>
      <c r="H61" s="94"/>
      <c r="I61" s="94"/>
      <c r="J61" s="94"/>
      <c r="K61" s="94"/>
      <c r="L61" s="94"/>
      <c r="M61" s="94"/>
      <c r="N61" s="94"/>
      <c r="O61" s="93"/>
    </row>
    <row r="62" spans="1:15" x14ac:dyDescent="0.25">
      <c r="A62" s="129">
        <v>10</v>
      </c>
      <c r="B62" s="132" t="str">
        <f>'EN Parts'!B172</f>
        <v>Exhaust tip</v>
      </c>
      <c r="C62" s="100">
        <f>'EN Parts'!N169</f>
        <v>2.6534215000000003</v>
      </c>
      <c r="D62" s="241">
        <f>EN_02001_q</f>
        <v>4</v>
      </c>
      <c r="E62" s="100">
        <f t="shared" ref="E62:E69" si="2">C62*D62</f>
        <v>10.613686000000001</v>
      </c>
      <c r="F62" s="94"/>
      <c r="G62" s="94"/>
      <c r="H62" s="94"/>
      <c r="I62" s="94"/>
      <c r="J62" s="94"/>
      <c r="K62" s="94"/>
      <c r="L62" s="94"/>
      <c r="M62" s="94"/>
      <c r="N62" s="94"/>
      <c r="O62" s="93"/>
    </row>
    <row r="63" spans="1:15" x14ac:dyDescent="0.25">
      <c r="A63" s="129">
        <v>20</v>
      </c>
      <c r="B63" s="132" t="str">
        <f>'EN Parts'!B194</f>
        <v>Exhaust flange</v>
      </c>
      <c r="C63" s="100">
        <f>'EN Parts'!N191</f>
        <v>1.9997499999999999</v>
      </c>
      <c r="D63" s="241">
        <f>EN_02002_q</f>
        <v>4</v>
      </c>
      <c r="E63" s="100">
        <f t="shared" si="2"/>
        <v>7.9989999999999997</v>
      </c>
      <c r="F63" s="99"/>
      <c r="G63" s="99"/>
      <c r="H63" s="99"/>
      <c r="I63" s="99"/>
      <c r="J63" s="99"/>
      <c r="K63" s="99"/>
      <c r="L63" s="99"/>
      <c r="M63" s="99"/>
      <c r="N63" s="99"/>
      <c r="O63" s="93"/>
    </row>
    <row r="64" spans="1:15" x14ac:dyDescent="0.25">
      <c r="A64" s="129">
        <v>30</v>
      </c>
      <c r="B64" s="132" t="str">
        <f>'EN Parts'!B215</f>
        <v>Exhaust headers</v>
      </c>
      <c r="C64" s="100">
        <f>'EN Parts'!N212</f>
        <v>83.802575416666684</v>
      </c>
      <c r="D64" s="241">
        <f>EN_02003_q</f>
        <v>1</v>
      </c>
      <c r="E64" s="100">
        <f t="shared" si="2"/>
        <v>83.802575416666684</v>
      </c>
      <c r="F64" s="99"/>
      <c r="G64" s="99"/>
      <c r="H64" s="99"/>
      <c r="I64" s="99"/>
      <c r="J64" s="99"/>
      <c r="K64" s="99"/>
      <c r="L64" s="99"/>
      <c r="M64" s="99"/>
      <c r="N64" s="99"/>
      <c r="O64" s="93"/>
    </row>
    <row r="65" spans="1:15" x14ac:dyDescent="0.25">
      <c r="A65" s="129">
        <v>40</v>
      </c>
      <c r="B65" s="132" t="str">
        <f>'EN Parts'!B243</f>
        <v>Primary collector</v>
      </c>
      <c r="C65" s="100">
        <f>'EN Parts'!N240</f>
        <v>27.039906086666665</v>
      </c>
      <c r="D65" s="241">
        <f>EN_02004_q</f>
        <v>2</v>
      </c>
      <c r="E65" s="100">
        <f t="shared" si="2"/>
        <v>54.07981217333333</v>
      </c>
      <c r="F65" s="99"/>
      <c r="G65" s="99"/>
      <c r="H65" s="99"/>
      <c r="I65" s="99"/>
      <c r="J65" s="99"/>
      <c r="K65" s="99"/>
      <c r="L65" s="99"/>
      <c r="M65" s="99"/>
      <c r="N65" s="99"/>
      <c r="O65" s="93"/>
    </row>
    <row r="66" spans="1:15" x14ac:dyDescent="0.25">
      <c r="A66" s="129">
        <v>50</v>
      </c>
      <c r="B66" s="132" t="str">
        <f>'EN Parts'!B270</f>
        <v>Primary collector tubing</v>
      </c>
      <c r="C66" s="100">
        <f>'EN Parts'!N267</f>
        <v>47.989955733333332</v>
      </c>
      <c r="D66" s="241">
        <f>EN_02005_q</f>
        <v>1</v>
      </c>
      <c r="E66" s="100">
        <f t="shared" si="2"/>
        <v>47.989955733333332</v>
      </c>
      <c r="F66" s="99"/>
      <c r="G66" s="99"/>
      <c r="H66" s="99"/>
      <c r="I66" s="99"/>
      <c r="J66" s="99"/>
      <c r="K66" s="99"/>
      <c r="L66" s="99"/>
      <c r="M66" s="99"/>
      <c r="N66" s="99"/>
      <c r="O66" s="93"/>
    </row>
    <row r="67" spans="1:15" x14ac:dyDescent="0.25">
      <c r="A67" s="129">
        <v>60</v>
      </c>
      <c r="B67" s="132" t="str">
        <f>'EN Parts'!B296</f>
        <v>Secondary collector</v>
      </c>
      <c r="C67" s="100">
        <f>'EN Parts'!N293</f>
        <v>27.820328750666665</v>
      </c>
      <c r="D67" s="138">
        <f>EN_02006_q</f>
        <v>1</v>
      </c>
      <c r="E67" s="100">
        <f t="shared" si="2"/>
        <v>27.820328750666665</v>
      </c>
      <c r="F67" s="99"/>
      <c r="G67" s="99"/>
      <c r="H67" s="99"/>
      <c r="I67" s="99"/>
      <c r="J67" s="99"/>
      <c r="K67" s="99"/>
      <c r="L67" s="99"/>
      <c r="M67" s="99"/>
      <c r="N67" s="99"/>
      <c r="O67" s="131"/>
    </row>
    <row r="68" spans="1:15" x14ac:dyDescent="0.25">
      <c r="A68" s="129">
        <v>70</v>
      </c>
      <c r="B68" s="132" t="str">
        <f>'EN Parts'!B321</f>
        <v>Secondary collector tubing</v>
      </c>
      <c r="C68" s="100">
        <f>'EN Parts'!N318</f>
        <v>32.934789583333334</v>
      </c>
      <c r="D68" s="138">
        <f>EN_02007_q</f>
        <v>1</v>
      </c>
      <c r="E68" s="100">
        <f t="shared" si="2"/>
        <v>32.934789583333334</v>
      </c>
      <c r="F68" s="99"/>
      <c r="G68" s="99"/>
      <c r="H68" s="99"/>
      <c r="I68" s="99"/>
      <c r="J68" s="99"/>
      <c r="K68" s="99"/>
      <c r="L68" s="99"/>
      <c r="M68" s="99"/>
      <c r="N68" s="99"/>
      <c r="O68" s="131"/>
    </row>
    <row r="69" spans="1:15" x14ac:dyDescent="0.25">
      <c r="A69" s="129">
        <v>80</v>
      </c>
      <c r="B69" s="128" t="str">
        <f>'EN Parts'!B346</f>
        <v>Muffler</v>
      </c>
      <c r="C69" s="129">
        <f>'EN Parts'!N343</f>
        <v>72.09</v>
      </c>
      <c r="D69" s="240">
        <f>EN_02008_q</f>
        <v>1</v>
      </c>
      <c r="E69" s="100">
        <f t="shared" si="2"/>
        <v>72.09</v>
      </c>
      <c r="F69" s="99"/>
      <c r="G69" s="99"/>
      <c r="H69" s="99"/>
      <c r="I69" s="99"/>
      <c r="J69" s="99"/>
      <c r="K69" s="99"/>
      <c r="L69" s="99"/>
      <c r="M69" s="99"/>
      <c r="N69" s="99"/>
      <c r="O69" s="130"/>
    </row>
    <row r="70" spans="1:15" x14ac:dyDescent="0.25">
      <c r="A70" s="107"/>
      <c r="B70" s="94"/>
      <c r="C70" s="94"/>
      <c r="D70" s="97" t="s">
        <v>58</v>
      </c>
      <c r="E70" s="96">
        <f>SUM(E62:E69)</f>
        <v>337.33014765733333</v>
      </c>
      <c r="F70" s="99"/>
      <c r="G70" s="99"/>
      <c r="H70" s="99"/>
      <c r="I70" s="99"/>
      <c r="J70" s="99"/>
      <c r="K70" s="99"/>
      <c r="L70" s="99"/>
      <c r="M70" s="99"/>
      <c r="N70" s="99"/>
      <c r="O70" s="93"/>
    </row>
    <row r="71" spans="1:15" x14ac:dyDescent="0.25">
      <c r="A71" s="107"/>
      <c r="B71" s="94"/>
      <c r="C71" s="94"/>
      <c r="D71" s="94"/>
      <c r="E71" s="94"/>
      <c r="F71" s="94"/>
      <c r="G71" s="94"/>
      <c r="H71" s="94"/>
      <c r="I71" s="94"/>
      <c r="J71" s="94"/>
      <c r="K71" s="94"/>
      <c r="L71" s="94"/>
      <c r="M71" s="94"/>
      <c r="N71" s="94"/>
      <c r="O71" s="93"/>
    </row>
    <row r="72" spans="1:15" x14ac:dyDescent="0.25">
      <c r="A72" s="106" t="s">
        <v>67</v>
      </c>
      <c r="B72" s="213" t="s">
        <v>112</v>
      </c>
      <c r="C72" s="213" t="s">
        <v>66</v>
      </c>
      <c r="D72" s="213" t="s">
        <v>65</v>
      </c>
      <c r="E72" s="213" t="s">
        <v>81</v>
      </c>
      <c r="F72" s="213" t="s">
        <v>80</v>
      </c>
      <c r="G72" s="213" t="s">
        <v>79</v>
      </c>
      <c r="H72" s="213" t="s">
        <v>78</v>
      </c>
      <c r="I72" s="213" t="s">
        <v>111</v>
      </c>
      <c r="J72" s="213" t="s">
        <v>110</v>
      </c>
      <c r="K72" s="213" t="s">
        <v>109</v>
      </c>
      <c r="L72" s="213" t="s">
        <v>108</v>
      </c>
      <c r="M72" s="213" t="s">
        <v>40</v>
      </c>
      <c r="N72" s="106" t="s">
        <v>58</v>
      </c>
      <c r="O72" s="93"/>
    </row>
    <row r="73" spans="1:15" x14ac:dyDescent="0.25">
      <c r="A73" s="234">
        <v>10</v>
      </c>
      <c r="B73" s="115" t="s">
        <v>352</v>
      </c>
      <c r="C73" s="115"/>
      <c r="D73" s="155">
        <v>1</v>
      </c>
      <c r="E73" s="115"/>
      <c r="F73" s="115"/>
      <c r="G73" s="115"/>
      <c r="H73" s="152"/>
      <c r="I73" s="154"/>
      <c r="J73" s="153"/>
      <c r="K73" s="152"/>
      <c r="L73" s="152"/>
      <c r="M73" s="165">
        <v>5</v>
      </c>
      <c r="N73" s="182">
        <f>M73*D73</f>
        <v>5</v>
      </c>
      <c r="O73" s="93"/>
    </row>
    <row r="74" spans="1:15" ht="30" x14ac:dyDescent="0.25">
      <c r="A74" s="229">
        <v>20</v>
      </c>
      <c r="B74" s="198" t="s">
        <v>480</v>
      </c>
      <c r="C74" s="114"/>
      <c r="D74" s="185">
        <v>25</v>
      </c>
      <c r="E74" s="150">
        <v>2.34</v>
      </c>
      <c r="F74" s="150" t="s">
        <v>345</v>
      </c>
      <c r="G74" s="150"/>
      <c r="H74" s="149"/>
      <c r="I74" s="148"/>
      <c r="J74" s="147"/>
      <c r="K74" s="146"/>
      <c r="L74" s="239"/>
      <c r="M74" s="169">
        <v>2.34</v>
      </c>
      <c r="N74" s="182">
        <f>M74*D74</f>
        <v>58.5</v>
      </c>
      <c r="O74" s="143"/>
    </row>
    <row r="75" spans="1:15" ht="45" x14ac:dyDescent="0.25">
      <c r="A75" s="238">
        <v>30</v>
      </c>
      <c r="B75" s="115" t="s">
        <v>479</v>
      </c>
      <c r="C75" s="115" t="s">
        <v>478</v>
      </c>
      <c r="D75" s="197">
        <v>4.2</v>
      </c>
      <c r="E75" s="115">
        <v>8</v>
      </c>
      <c r="F75" s="115" t="s">
        <v>68</v>
      </c>
      <c r="G75" s="115">
        <v>1</v>
      </c>
      <c r="H75" s="152" t="s">
        <v>68</v>
      </c>
      <c r="I75" s="190" t="s">
        <v>477</v>
      </c>
      <c r="J75" s="237">
        <v>2.1999999999999999E-5</v>
      </c>
      <c r="K75" s="152">
        <v>0.03</v>
      </c>
      <c r="L75" s="152">
        <v>2710</v>
      </c>
      <c r="M75" s="236">
        <v>1</v>
      </c>
      <c r="N75" s="182">
        <f>M75*D75</f>
        <v>4.2</v>
      </c>
      <c r="O75" s="143"/>
    </row>
    <row r="76" spans="1:15" x14ac:dyDescent="0.25">
      <c r="A76" s="98"/>
      <c r="B76" s="95"/>
      <c r="C76" s="95"/>
      <c r="D76" s="95"/>
      <c r="E76" s="95"/>
      <c r="F76" s="95"/>
      <c r="G76" s="95"/>
      <c r="H76" s="95"/>
      <c r="I76" s="95"/>
      <c r="J76" s="95"/>
      <c r="K76" s="95"/>
      <c r="L76" s="95"/>
      <c r="M76" s="106" t="s">
        <v>58</v>
      </c>
      <c r="N76" s="96">
        <f>SUM(N73:N75)</f>
        <v>67.7</v>
      </c>
      <c r="O76" s="93"/>
    </row>
    <row r="77" spans="1:15" x14ac:dyDescent="0.25">
      <c r="A77" s="107"/>
      <c r="B77" s="94"/>
      <c r="C77" s="94"/>
      <c r="D77" s="94"/>
      <c r="E77" s="94"/>
      <c r="F77" s="94"/>
      <c r="G77" s="94"/>
      <c r="H77" s="94"/>
      <c r="I77" s="94"/>
      <c r="J77" s="94"/>
      <c r="K77" s="94"/>
      <c r="L77" s="94"/>
      <c r="M77" s="94"/>
      <c r="N77" s="94"/>
      <c r="O77" s="93"/>
    </row>
    <row r="78" spans="1:15" x14ac:dyDescent="0.25">
      <c r="A78" s="106" t="s">
        <v>67</v>
      </c>
      <c r="B78" s="213" t="s">
        <v>106</v>
      </c>
      <c r="C78" s="213" t="s">
        <v>66</v>
      </c>
      <c r="D78" s="213" t="s">
        <v>65</v>
      </c>
      <c r="E78" s="213" t="s">
        <v>64</v>
      </c>
      <c r="F78" s="213" t="s">
        <v>40</v>
      </c>
      <c r="G78" s="213" t="s">
        <v>105</v>
      </c>
      <c r="H78" s="213" t="s">
        <v>104</v>
      </c>
      <c r="I78" s="106" t="s">
        <v>58</v>
      </c>
      <c r="J78" s="95"/>
      <c r="K78" s="95"/>
      <c r="L78" s="95"/>
      <c r="M78" s="95"/>
      <c r="N78" s="95"/>
      <c r="O78" s="120"/>
    </row>
    <row r="79" spans="1:15" x14ac:dyDescent="0.25">
      <c r="A79" s="234">
        <v>10</v>
      </c>
      <c r="B79" s="115" t="s">
        <v>103</v>
      </c>
      <c r="C79" s="115" t="s">
        <v>476</v>
      </c>
      <c r="D79" s="197">
        <v>0.15</v>
      </c>
      <c r="E79" s="115" t="s">
        <v>101</v>
      </c>
      <c r="F79" s="163">
        <v>40</v>
      </c>
      <c r="G79" s="163"/>
      <c r="H79" s="163"/>
      <c r="I79" s="182">
        <f t="shared" ref="I79:I93" si="3">IF(H79="",D79*F79,D79*F79*H79)</f>
        <v>6</v>
      </c>
      <c r="J79" s="94"/>
      <c r="K79" s="94"/>
      <c r="L79" s="94"/>
      <c r="M79" s="94"/>
      <c r="N79" s="94"/>
      <c r="O79" s="93"/>
    </row>
    <row r="80" spans="1:15" x14ac:dyDescent="0.25">
      <c r="A80" s="234">
        <v>20</v>
      </c>
      <c r="B80" s="198" t="s">
        <v>165</v>
      </c>
      <c r="C80" s="173" t="s">
        <v>475</v>
      </c>
      <c r="D80" s="197">
        <v>0.06</v>
      </c>
      <c r="E80" s="198" t="s">
        <v>64</v>
      </c>
      <c r="F80" s="163">
        <v>4</v>
      </c>
      <c r="G80" s="115"/>
      <c r="H80" s="115"/>
      <c r="I80" s="182">
        <f t="shared" si="3"/>
        <v>0.24</v>
      </c>
      <c r="J80" s="94"/>
      <c r="K80" s="94"/>
      <c r="L80" s="94"/>
      <c r="M80" s="94"/>
      <c r="N80" s="94"/>
      <c r="O80" s="93"/>
    </row>
    <row r="81" spans="1:15" x14ac:dyDescent="0.25">
      <c r="A81" s="234">
        <v>30</v>
      </c>
      <c r="B81" s="198" t="s">
        <v>461</v>
      </c>
      <c r="C81" s="115" t="s">
        <v>474</v>
      </c>
      <c r="D81" s="197">
        <v>0.13</v>
      </c>
      <c r="E81" s="115" t="s">
        <v>64</v>
      </c>
      <c r="F81" s="163">
        <v>4</v>
      </c>
      <c r="G81" s="115"/>
      <c r="H81" s="115"/>
      <c r="I81" s="182">
        <f t="shared" si="3"/>
        <v>0.52</v>
      </c>
      <c r="J81" s="94"/>
      <c r="K81" s="94"/>
      <c r="L81" s="94"/>
      <c r="M81" s="94"/>
      <c r="N81" s="94"/>
      <c r="O81" s="93"/>
    </row>
    <row r="82" spans="1:15" x14ac:dyDescent="0.25">
      <c r="A82" s="234">
        <v>40</v>
      </c>
      <c r="B82" s="198" t="s">
        <v>465</v>
      </c>
      <c r="C82" s="115" t="s">
        <v>473</v>
      </c>
      <c r="D82" s="197">
        <v>0.75</v>
      </c>
      <c r="E82" s="115" t="s">
        <v>64</v>
      </c>
      <c r="F82" s="163">
        <v>4</v>
      </c>
      <c r="G82" s="115"/>
      <c r="H82" s="115"/>
      <c r="I82" s="182">
        <f t="shared" si="3"/>
        <v>3</v>
      </c>
      <c r="J82" s="94"/>
      <c r="K82" s="94"/>
      <c r="L82" s="94"/>
      <c r="M82" s="94"/>
      <c r="N82" s="94"/>
      <c r="O82" s="93"/>
    </row>
    <row r="83" spans="1:15" x14ac:dyDescent="0.25">
      <c r="A83" s="234">
        <v>50</v>
      </c>
      <c r="B83" s="198" t="s">
        <v>285</v>
      </c>
      <c r="C83" s="115" t="s">
        <v>472</v>
      </c>
      <c r="D83" s="197">
        <v>0.19</v>
      </c>
      <c r="E83" s="115" t="s">
        <v>64</v>
      </c>
      <c r="F83" s="163">
        <v>1</v>
      </c>
      <c r="G83" s="115"/>
      <c r="H83" s="115"/>
      <c r="I83" s="182">
        <f t="shared" si="3"/>
        <v>0.19</v>
      </c>
      <c r="J83" s="94"/>
      <c r="K83" s="94"/>
      <c r="L83" s="94"/>
      <c r="M83" s="94"/>
      <c r="N83" s="94"/>
      <c r="O83" s="93"/>
    </row>
    <row r="84" spans="1:15" x14ac:dyDescent="0.25">
      <c r="A84" s="234">
        <v>60</v>
      </c>
      <c r="B84" s="198" t="s">
        <v>285</v>
      </c>
      <c r="C84" s="115" t="s">
        <v>471</v>
      </c>
      <c r="D84" s="197">
        <v>0.19</v>
      </c>
      <c r="E84" s="115" t="s">
        <v>64</v>
      </c>
      <c r="F84" s="163">
        <v>2</v>
      </c>
      <c r="G84" s="115"/>
      <c r="H84" s="115"/>
      <c r="I84" s="182">
        <f t="shared" si="3"/>
        <v>0.38</v>
      </c>
      <c r="J84" s="94"/>
      <c r="K84" s="94"/>
      <c r="L84" s="94"/>
      <c r="M84" s="94"/>
      <c r="N84" s="94"/>
      <c r="O84" s="93"/>
    </row>
    <row r="85" spans="1:15" ht="30" x14ac:dyDescent="0.25">
      <c r="A85" s="234">
        <v>70</v>
      </c>
      <c r="B85" s="198" t="s">
        <v>285</v>
      </c>
      <c r="C85" s="235" t="s">
        <v>470</v>
      </c>
      <c r="D85" s="197">
        <v>0.19</v>
      </c>
      <c r="E85" s="115" t="s">
        <v>64</v>
      </c>
      <c r="F85" s="163">
        <v>2</v>
      </c>
      <c r="G85" s="115"/>
      <c r="H85" s="115"/>
      <c r="I85" s="182">
        <f t="shared" si="3"/>
        <v>0.38</v>
      </c>
      <c r="J85" s="94"/>
      <c r="K85" s="94"/>
      <c r="L85" s="94"/>
      <c r="M85" s="94"/>
      <c r="N85" s="94"/>
      <c r="O85" s="93"/>
    </row>
    <row r="86" spans="1:15" ht="30" x14ac:dyDescent="0.25">
      <c r="A86" s="234">
        <v>80</v>
      </c>
      <c r="B86" s="198" t="s">
        <v>285</v>
      </c>
      <c r="C86" s="235" t="s">
        <v>469</v>
      </c>
      <c r="D86" s="197">
        <v>0.19</v>
      </c>
      <c r="E86" s="115" t="s">
        <v>64</v>
      </c>
      <c r="F86" s="163">
        <v>1</v>
      </c>
      <c r="G86" s="115"/>
      <c r="H86" s="115"/>
      <c r="I86" s="182">
        <f t="shared" si="3"/>
        <v>0.19</v>
      </c>
      <c r="J86" s="94"/>
      <c r="K86" s="94"/>
      <c r="L86" s="94"/>
      <c r="M86" s="94"/>
      <c r="N86" s="94"/>
      <c r="O86" s="93"/>
    </row>
    <row r="87" spans="1:15" x14ac:dyDescent="0.25">
      <c r="A87" s="234">
        <v>90</v>
      </c>
      <c r="B87" s="198" t="s">
        <v>285</v>
      </c>
      <c r="C87" s="115" t="s">
        <v>468</v>
      </c>
      <c r="D87" s="197">
        <v>0.19</v>
      </c>
      <c r="E87" s="115" t="s">
        <v>64</v>
      </c>
      <c r="F87" s="163">
        <v>1</v>
      </c>
      <c r="G87" s="115"/>
      <c r="H87" s="115"/>
      <c r="I87" s="182">
        <f t="shared" si="3"/>
        <v>0.19</v>
      </c>
      <c r="J87" s="94"/>
      <c r="K87" s="94"/>
      <c r="L87" s="94"/>
      <c r="M87" s="94"/>
      <c r="N87" s="94"/>
      <c r="O87" s="93"/>
    </row>
    <row r="88" spans="1:15" x14ac:dyDescent="0.25">
      <c r="A88" s="234">
        <v>100</v>
      </c>
      <c r="B88" s="198" t="s">
        <v>467</v>
      </c>
      <c r="C88" s="115" t="s">
        <v>466</v>
      </c>
      <c r="D88" s="197">
        <v>0.38</v>
      </c>
      <c r="E88" s="115" t="s">
        <v>64</v>
      </c>
      <c r="F88" s="163">
        <v>1</v>
      </c>
      <c r="G88" s="115"/>
      <c r="H88" s="115"/>
      <c r="I88" s="233">
        <f t="shared" si="3"/>
        <v>0.38</v>
      </c>
      <c r="J88" s="99"/>
      <c r="K88" s="99"/>
      <c r="L88" s="99"/>
      <c r="M88" s="99"/>
      <c r="N88" s="99"/>
      <c r="O88" s="130"/>
    </row>
    <row r="89" spans="1:15" x14ac:dyDescent="0.25">
      <c r="A89" s="229">
        <v>110</v>
      </c>
      <c r="B89" s="232" t="s">
        <v>465</v>
      </c>
      <c r="C89" s="115" t="s">
        <v>464</v>
      </c>
      <c r="D89" s="231">
        <v>0.75</v>
      </c>
      <c r="E89" s="228" t="s">
        <v>64</v>
      </c>
      <c r="F89" s="230">
        <v>3</v>
      </c>
      <c r="G89" s="228"/>
      <c r="H89" s="228"/>
      <c r="I89" s="212">
        <f t="shared" si="3"/>
        <v>2.25</v>
      </c>
      <c r="J89" s="99"/>
      <c r="K89" s="99"/>
      <c r="L89" s="99"/>
      <c r="M89" s="99"/>
      <c r="N89" s="99"/>
      <c r="O89" s="120"/>
    </row>
    <row r="90" spans="1:15" x14ac:dyDescent="0.25">
      <c r="A90" s="229">
        <v>120</v>
      </c>
      <c r="B90" s="232" t="s">
        <v>463</v>
      </c>
      <c r="C90" s="115" t="s">
        <v>462</v>
      </c>
      <c r="D90" s="231">
        <v>0.15</v>
      </c>
      <c r="E90" s="228" t="s">
        <v>101</v>
      </c>
      <c r="F90" s="230">
        <v>0.8</v>
      </c>
      <c r="G90" s="228"/>
      <c r="H90" s="228"/>
      <c r="I90" s="212">
        <f t="shared" si="3"/>
        <v>0.12</v>
      </c>
      <c r="J90" s="99"/>
      <c r="K90" s="99"/>
      <c r="L90" s="99"/>
      <c r="M90" s="99"/>
      <c r="N90" s="99"/>
      <c r="O90" s="120"/>
    </row>
    <row r="91" spans="1:15" x14ac:dyDescent="0.25">
      <c r="A91" s="229">
        <v>130</v>
      </c>
      <c r="B91" s="198" t="s">
        <v>461</v>
      </c>
      <c r="C91" s="115" t="s">
        <v>460</v>
      </c>
      <c r="D91" s="231">
        <v>0.13</v>
      </c>
      <c r="E91" s="228" t="s">
        <v>64</v>
      </c>
      <c r="F91" s="230">
        <v>1</v>
      </c>
      <c r="G91" s="228"/>
      <c r="H91" s="228"/>
      <c r="I91" s="212">
        <f t="shared" si="3"/>
        <v>0.13</v>
      </c>
      <c r="J91" s="99"/>
      <c r="K91" s="99"/>
      <c r="L91" s="99"/>
      <c r="M91" s="99"/>
      <c r="N91" s="99"/>
      <c r="O91" s="120"/>
    </row>
    <row r="92" spans="1:15" ht="30" x14ac:dyDescent="0.25">
      <c r="A92" s="229">
        <v>140</v>
      </c>
      <c r="B92" s="198" t="s">
        <v>163</v>
      </c>
      <c r="C92" s="115" t="s">
        <v>458</v>
      </c>
      <c r="D92" s="197">
        <v>0.5</v>
      </c>
      <c r="E92" s="228" t="s">
        <v>64</v>
      </c>
      <c r="F92" s="163">
        <v>3</v>
      </c>
      <c r="G92" s="114" t="s">
        <v>459</v>
      </c>
      <c r="H92" s="115">
        <v>1.5</v>
      </c>
      <c r="I92" s="212">
        <f t="shared" si="3"/>
        <v>2.25</v>
      </c>
      <c r="J92" s="99"/>
      <c r="K92" s="99"/>
      <c r="L92" s="99"/>
      <c r="M92" s="99"/>
      <c r="N92" s="99"/>
      <c r="O92" s="120"/>
    </row>
    <row r="93" spans="1:15" x14ac:dyDescent="0.25">
      <c r="A93" s="227">
        <v>150</v>
      </c>
      <c r="B93" s="198" t="s">
        <v>162</v>
      </c>
      <c r="C93" s="115" t="s">
        <v>458</v>
      </c>
      <c r="D93" s="197">
        <v>0.25</v>
      </c>
      <c r="E93" s="115" t="s">
        <v>64</v>
      </c>
      <c r="F93" s="163">
        <v>3</v>
      </c>
      <c r="G93" s="115"/>
      <c r="H93" s="115"/>
      <c r="I93" s="212">
        <f t="shared" si="3"/>
        <v>0.75</v>
      </c>
      <c r="J93" s="99"/>
      <c r="K93" s="99"/>
      <c r="L93" s="99"/>
      <c r="M93" s="99"/>
      <c r="N93" s="99"/>
      <c r="O93" s="120"/>
    </row>
    <row r="94" spans="1:15" x14ac:dyDescent="0.25">
      <c r="A94" s="98"/>
      <c r="B94" s="95"/>
      <c r="C94" s="95"/>
      <c r="D94" s="95"/>
      <c r="E94" s="95"/>
      <c r="F94" s="95"/>
      <c r="G94" s="95"/>
      <c r="H94" s="224" t="s">
        <v>58</v>
      </c>
      <c r="I94" s="226">
        <f>SUM(I79:I93)</f>
        <v>16.97</v>
      </c>
      <c r="J94" s="94"/>
      <c r="K94" s="94"/>
      <c r="L94" s="94"/>
      <c r="M94" s="94"/>
      <c r="N94" s="94"/>
      <c r="O94" s="93"/>
    </row>
    <row r="95" spans="1:15" x14ac:dyDescent="0.25">
      <c r="A95" s="107"/>
      <c r="B95" s="94"/>
      <c r="C95" s="94"/>
      <c r="D95" s="94"/>
      <c r="E95" s="94"/>
      <c r="F95" s="94"/>
      <c r="G95" s="94"/>
      <c r="H95" s="94"/>
      <c r="I95" s="94"/>
      <c r="J95" s="94"/>
      <c r="K95" s="94"/>
      <c r="L95" s="94"/>
      <c r="M95" s="94"/>
      <c r="N95" s="94"/>
      <c r="O95" s="93"/>
    </row>
    <row r="96" spans="1:15" x14ac:dyDescent="0.25">
      <c r="A96" s="106" t="s">
        <v>67</v>
      </c>
      <c r="B96" s="106" t="s">
        <v>82</v>
      </c>
      <c r="C96" s="106" t="s">
        <v>66</v>
      </c>
      <c r="D96" s="106" t="s">
        <v>65</v>
      </c>
      <c r="E96" s="106" t="s">
        <v>81</v>
      </c>
      <c r="F96" s="106" t="s">
        <v>80</v>
      </c>
      <c r="G96" s="106" t="s">
        <v>79</v>
      </c>
      <c r="H96" s="106" t="s">
        <v>78</v>
      </c>
      <c r="I96" s="106" t="s">
        <v>40</v>
      </c>
      <c r="J96" s="106" t="s">
        <v>58</v>
      </c>
      <c r="K96" s="94"/>
      <c r="L96" s="94"/>
      <c r="M96" s="94"/>
      <c r="N96" s="94"/>
      <c r="O96" s="93"/>
    </row>
    <row r="97" spans="1:15" x14ac:dyDescent="0.25">
      <c r="A97" s="115">
        <v>10</v>
      </c>
      <c r="B97" s="115" t="s">
        <v>184</v>
      </c>
      <c r="C97" s="115" t="s">
        <v>457</v>
      </c>
      <c r="D97" s="175">
        <v>0.1</v>
      </c>
      <c r="E97" s="180">
        <v>8</v>
      </c>
      <c r="F97" s="180" t="s">
        <v>68</v>
      </c>
      <c r="G97" s="180"/>
      <c r="H97" s="180"/>
      <c r="I97" s="172">
        <v>3</v>
      </c>
      <c r="J97" s="100">
        <f>I97*D97</f>
        <v>0.30000000000000004</v>
      </c>
      <c r="K97" s="94"/>
      <c r="L97" s="94"/>
      <c r="M97" s="94"/>
      <c r="N97" s="94"/>
      <c r="O97" s="93"/>
    </row>
    <row r="98" spans="1:15" x14ac:dyDescent="0.25">
      <c r="A98" s="115">
        <v>20</v>
      </c>
      <c r="B98" s="115" t="s">
        <v>75</v>
      </c>
      <c r="C98" s="115" t="s">
        <v>456</v>
      </c>
      <c r="D98" s="175">
        <v>0.04</v>
      </c>
      <c r="E98" s="115">
        <v>8</v>
      </c>
      <c r="F98" s="174" t="s">
        <v>68</v>
      </c>
      <c r="G98" s="115"/>
      <c r="H98" s="173"/>
      <c r="I98" s="172">
        <v>8</v>
      </c>
      <c r="J98" s="100">
        <f>I98*D98</f>
        <v>0.32</v>
      </c>
      <c r="K98" s="94"/>
      <c r="L98" s="94"/>
      <c r="M98" s="94"/>
      <c r="N98" s="94"/>
      <c r="O98" s="93"/>
    </row>
    <row r="99" spans="1:15" x14ac:dyDescent="0.25">
      <c r="A99" s="115">
        <v>30</v>
      </c>
      <c r="B99" s="115" t="s">
        <v>184</v>
      </c>
      <c r="C99" s="115" t="s">
        <v>455</v>
      </c>
      <c r="D99" s="175">
        <v>0.05</v>
      </c>
      <c r="E99" s="115">
        <v>5</v>
      </c>
      <c r="F99" s="174" t="s">
        <v>68</v>
      </c>
      <c r="G99" s="115">
        <v>35</v>
      </c>
      <c r="H99" s="173" t="s">
        <v>68</v>
      </c>
      <c r="I99" s="172">
        <v>1</v>
      </c>
      <c r="J99" s="100">
        <f>I99*D99</f>
        <v>0.05</v>
      </c>
      <c r="K99" s="94"/>
      <c r="L99" s="94"/>
      <c r="M99" s="94"/>
      <c r="N99" s="94"/>
      <c r="O99" s="93"/>
    </row>
    <row r="100" spans="1:15" x14ac:dyDescent="0.25">
      <c r="A100" s="115">
        <v>40</v>
      </c>
      <c r="B100" s="115" t="s">
        <v>75</v>
      </c>
      <c r="C100" s="115" t="s">
        <v>454</v>
      </c>
      <c r="D100" s="175">
        <v>0.02</v>
      </c>
      <c r="E100" s="115">
        <v>5</v>
      </c>
      <c r="F100" s="174" t="s">
        <v>68</v>
      </c>
      <c r="G100" s="115"/>
      <c r="H100" s="173"/>
      <c r="I100" s="172">
        <v>3</v>
      </c>
      <c r="J100" s="100">
        <f>I100*D100</f>
        <v>0.06</v>
      </c>
      <c r="K100" s="94"/>
      <c r="L100" s="94"/>
      <c r="M100" s="94"/>
      <c r="N100" s="94"/>
      <c r="O100" s="93"/>
    </row>
    <row r="101" spans="1:15" x14ac:dyDescent="0.25">
      <c r="A101" s="115">
        <v>50</v>
      </c>
      <c r="B101" s="225" t="s">
        <v>74</v>
      </c>
      <c r="C101" s="115" t="s">
        <v>453</v>
      </c>
      <c r="D101" s="175">
        <v>0.01</v>
      </c>
      <c r="E101" s="115">
        <v>5</v>
      </c>
      <c r="F101" s="174" t="s">
        <v>68</v>
      </c>
      <c r="G101" s="115"/>
      <c r="H101" s="173"/>
      <c r="I101" s="172">
        <v>1</v>
      </c>
      <c r="J101" s="100">
        <f>I101*D101</f>
        <v>0.01</v>
      </c>
      <c r="K101" s="94"/>
      <c r="L101" s="94"/>
      <c r="M101" s="94"/>
      <c r="N101" s="94"/>
      <c r="O101" s="93"/>
    </row>
    <row r="102" spans="1:15" x14ac:dyDescent="0.25">
      <c r="A102" s="98"/>
      <c r="B102" s="95"/>
      <c r="C102" s="95"/>
      <c r="D102" s="95"/>
      <c r="E102" s="95"/>
      <c r="F102" s="95"/>
      <c r="G102" s="95"/>
      <c r="H102" s="95"/>
      <c r="I102" s="224" t="s">
        <v>58</v>
      </c>
      <c r="J102" s="96">
        <f>SUM(J97:J101)</f>
        <v>0.74000000000000021</v>
      </c>
      <c r="K102" s="94"/>
      <c r="L102" s="94"/>
      <c r="M102" s="94"/>
      <c r="N102" s="94"/>
      <c r="O102" s="93"/>
    </row>
    <row r="103" spans="1:15" x14ac:dyDescent="0.25">
      <c r="A103" s="107"/>
      <c r="B103" s="94"/>
      <c r="C103" s="94"/>
      <c r="D103" s="94"/>
      <c r="E103" s="94"/>
      <c r="F103" s="94"/>
      <c r="G103" s="94"/>
      <c r="H103" s="94"/>
      <c r="I103" s="94"/>
      <c r="J103" s="94"/>
      <c r="K103" s="94"/>
      <c r="L103" s="94"/>
      <c r="M103" s="94"/>
      <c r="N103" s="94"/>
      <c r="O103" s="93"/>
    </row>
    <row r="104" spans="1:15" x14ac:dyDescent="0.25">
      <c r="A104" s="106" t="s">
        <v>67</v>
      </c>
      <c r="B104" s="106" t="s">
        <v>13</v>
      </c>
      <c r="C104" s="106" t="s">
        <v>66</v>
      </c>
      <c r="D104" s="106" t="s">
        <v>65</v>
      </c>
      <c r="E104" s="106" t="s">
        <v>64</v>
      </c>
      <c r="F104" s="106" t="s">
        <v>40</v>
      </c>
      <c r="G104" s="106" t="s">
        <v>63</v>
      </c>
      <c r="H104" s="106" t="s">
        <v>62</v>
      </c>
      <c r="I104" s="106" t="s">
        <v>58</v>
      </c>
      <c r="J104" s="95"/>
      <c r="K104" s="94"/>
      <c r="L104" s="94"/>
      <c r="M104" s="94"/>
      <c r="N104" s="94"/>
      <c r="O104" s="93"/>
    </row>
    <row r="105" spans="1:15" x14ac:dyDescent="0.25">
      <c r="A105" s="115">
        <v>10</v>
      </c>
      <c r="B105" s="115" t="s">
        <v>61</v>
      </c>
      <c r="C105" s="115"/>
      <c r="D105" s="155">
        <v>500</v>
      </c>
      <c r="E105" s="115" t="s">
        <v>59</v>
      </c>
      <c r="F105" s="115">
        <v>8</v>
      </c>
      <c r="G105" s="115">
        <v>3000</v>
      </c>
      <c r="H105" s="115">
        <v>1</v>
      </c>
      <c r="I105" s="100">
        <f>D105*F105/G105*H105</f>
        <v>1.3333333333333333</v>
      </c>
      <c r="J105" s="99"/>
      <c r="K105" s="94"/>
      <c r="L105" s="94"/>
      <c r="M105" s="94"/>
      <c r="N105" s="94"/>
      <c r="O105" s="93"/>
    </row>
    <row r="106" spans="1:15" x14ac:dyDescent="0.25">
      <c r="A106" s="98"/>
      <c r="B106" s="95"/>
      <c r="C106" s="95"/>
      <c r="D106" s="95"/>
      <c r="E106" s="95"/>
      <c r="F106" s="95"/>
      <c r="G106" s="95"/>
      <c r="H106" s="97" t="s">
        <v>58</v>
      </c>
      <c r="I106" s="96">
        <f>SUM(I105)</f>
        <v>1.3333333333333333</v>
      </c>
      <c r="J106" s="95"/>
      <c r="K106" s="94"/>
      <c r="L106" s="94"/>
      <c r="M106" s="94"/>
      <c r="N106" s="94"/>
      <c r="O106" s="93"/>
    </row>
    <row r="107" spans="1:15" ht="15.75" thickBot="1" x14ac:dyDescent="0.3">
      <c r="A107" s="92"/>
      <c r="B107" s="91"/>
      <c r="C107" s="91"/>
      <c r="D107" s="91"/>
      <c r="E107" s="91"/>
      <c r="F107" s="91"/>
      <c r="G107" s="91"/>
      <c r="H107" s="91"/>
      <c r="I107" s="91"/>
      <c r="J107" s="91"/>
      <c r="K107" s="91"/>
      <c r="L107" s="91"/>
      <c r="M107" s="91"/>
      <c r="N107" s="91"/>
      <c r="O107" s="90"/>
    </row>
    <row r="108" spans="1:15" ht="15.75" thickBot="1" x14ac:dyDescent="0.3">
      <c r="A108" s="94"/>
      <c r="B108" s="94"/>
      <c r="C108" s="94"/>
      <c r="D108" s="94"/>
      <c r="E108" s="94"/>
      <c r="F108" s="94"/>
      <c r="G108" s="94"/>
      <c r="H108" s="94"/>
      <c r="I108" s="94"/>
      <c r="J108" s="94"/>
      <c r="K108" s="94"/>
      <c r="L108" s="94"/>
      <c r="M108" s="94"/>
      <c r="N108" s="94"/>
    </row>
    <row r="109" spans="1:15" x14ac:dyDescent="0.25">
      <c r="A109" s="141"/>
      <c r="B109" s="140"/>
      <c r="C109" s="140"/>
      <c r="D109" s="140"/>
      <c r="E109" s="140"/>
      <c r="F109" s="140"/>
      <c r="G109" s="140"/>
      <c r="H109" s="140"/>
      <c r="I109" s="140"/>
      <c r="J109" s="140"/>
      <c r="K109" s="140"/>
      <c r="L109" s="140"/>
      <c r="M109" s="140"/>
      <c r="N109" s="140"/>
      <c r="O109" s="139"/>
    </row>
    <row r="110" spans="1:15" x14ac:dyDescent="0.25">
      <c r="A110" s="106" t="s">
        <v>57</v>
      </c>
      <c r="B110" s="133" t="s">
        <v>127</v>
      </c>
      <c r="C110" s="94"/>
      <c r="D110" s="94"/>
      <c r="E110" s="94"/>
      <c r="F110" s="94"/>
      <c r="G110" s="94"/>
      <c r="H110" s="94"/>
      <c r="I110" s="94"/>
      <c r="J110" s="106" t="s">
        <v>51</v>
      </c>
      <c r="K110" s="138">
        <v>81</v>
      </c>
      <c r="L110" s="94"/>
      <c r="M110" s="106" t="s">
        <v>126</v>
      </c>
      <c r="N110" s="137">
        <f>E124+EN_A0003_f+EN_A0003_m+EN_A0003_p+EN_A0003_t</f>
        <v>170.78951802866669</v>
      </c>
      <c r="O110" s="93"/>
    </row>
    <row r="111" spans="1:15" x14ac:dyDescent="0.25">
      <c r="A111" s="106" t="s">
        <v>125</v>
      </c>
      <c r="B111" s="133" t="s">
        <v>21</v>
      </c>
      <c r="C111" s="94"/>
      <c r="D111" s="94"/>
      <c r="E111" s="94"/>
      <c r="F111" s="94"/>
      <c r="G111" s="94"/>
      <c r="H111" s="94"/>
      <c r="I111" s="94"/>
      <c r="J111" s="94"/>
      <c r="K111" s="94"/>
      <c r="L111" s="94"/>
      <c r="M111" s="106" t="s">
        <v>124</v>
      </c>
      <c r="N111" s="136">
        <v>1</v>
      </c>
      <c r="O111" s="93"/>
    </row>
    <row r="112" spans="1:15" x14ac:dyDescent="0.25">
      <c r="A112" s="106" t="s">
        <v>123</v>
      </c>
      <c r="B112" s="99" t="s">
        <v>32</v>
      </c>
      <c r="C112" s="94"/>
      <c r="D112" s="94"/>
      <c r="E112" s="94"/>
      <c r="F112" s="94"/>
      <c r="G112" s="94"/>
      <c r="H112" s="94"/>
      <c r="I112" s="94"/>
      <c r="J112" s="134" t="s">
        <v>122</v>
      </c>
      <c r="K112" s="94"/>
      <c r="L112" s="94"/>
      <c r="M112" s="94"/>
      <c r="N112" s="94"/>
      <c r="O112" s="93"/>
    </row>
    <row r="113" spans="1:15" x14ac:dyDescent="0.25">
      <c r="A113" s="106" t="s">
        <v>121</v>
      </c>
      <c r="B113" s="135" t="s">
        <v>452</v>
      </c>
      <c r="C113" s="94"/>
      <c r="D113" s="94"/>
      <c r="E113" s="94"/>
      <c r="F113" s="94"/>
      <c r="G113" s="94"/>
      <c r="H113" s="94"/>
      <c r="I113" s="94"/>
      <c r="J113" s="134" t="s">
        <v>119</v>
      </c>
      <c r="K113" s="94"/>
      <c r="L113" s="94"/>
      <c r="M113" s="106" t="s">
        <v>118</v>
      </c>
      <c r="N113" s="100">
        <f>N110*N111</f>
        <v>170.78951802866669</v>
      </c>
      <c r="O113" s="93"/>
    </row>
    <row r="114" spans="1:15" x14ac:dyDescent="0.25">
      <c r="A114" s="106" t="s">
        <v>117</v>
      </c>
      <c r="B114" s="133" t="s">
        <v>23</v>
      </c>
      <c r="C114" s="94"/>
      <c r="D114" s="94"/>
      <c r="E114" s="94"/>
      <c r="F114" s="94"/>
      <c r="G114" s="94"/>
      <c r="H114" s="94"/>
      <c r="I114" s="94"/>
      <c r="J114" s="134" t="s">
        <v>116</v>
      </c>
      <c r="K114" s="94"/>
      <c r="L114" s="94"/>
      <c r="M114" s="94"/>
      <c r="N114" s="94"/>
      <c r="O114" s="93"/>
    </row>
    <row r="115" spans="1:15" x14ac:dyDescent="0.25">
      <c r="A115" s="106" t="s">
        <v>115</v>
      </c>
      <c r="B115" s="133" t="s">
        <v>451</v>
      </c>
      <c r="C115" s="94"/>
      <c r="D115" s="94"/>
      <c r="E115" s="94"/>
      <c r="F115" s="94"/>
      <c r="G115" s="94"/>
      <c r="H115" s="94"/>
      <c r="I115" s="94"/>
      <c r="J115" s="94"/>
      <c r="K115" s="94"/>
      <c r="L115" s="94"/>
      <c r="M115" s="94"/>
      <c r="N115" s="94"/>
      <c r="O115" s="93"/>
    </row>
    <row r="116" spans="1:15" x14ac:dyDescent="0.25">
      <c r="A116" s="107"/>
      <c r="B116" s="94"/>
      <c r="C116" s="94"/>
      <c r="D116" s="94"/>
      <c r="E116" s="94"/>
      <c r="F116" s="94"/>
      <c r="G116" s="94"/>
      <c r="H116" s="94"/>
      <c r="I116" s="94"/>
      <c r="J116" s="94"/>
      <c r="K116" s="94"/>
      <c r="L116" s="94"/>
      <c r="M116" s="94"/>
      <c r="N116" s="94"/>
      <c r="O116" s="93"/>
    </row>
    <row r="117" spans="1:15" x14ac:dyDescent="0.25">
      <c r="A117" s="106" t="s">
        <v>67</v>
      </c>
      <c r="B117" s="106" t="s">
        <v>114</v>
      </c>
      <c r="C117" s="106" t="s">
        <v>113</v>
      </c>
      <c r="D117" s="106" t="s">
        <v>40</v>
      </c>
      <c r="E117" s="106" t="s">
        <v>58</v>
      </c>
      <c r="F117" s="94"/>
      <c r="G117" s="94"/>
      <c r="H117" s="94"/>
      <c r="I117" s="94"/>
      <c r="J117" s="94"/>
      <c r="K117" s="94"/>
      <c r="L117" s="94"/>
      <c r="M117" s="94"/>
      <c r="N117" s="94"/>
      <c r="O117" s="93"/>
    </row>
    <row r="118" spans="1:15" x14ac:dyDescent="0.25">
      <c r="A118" s="129">
        <v>10</v>
      </c>
      <c r="B118" s="132" t="str">
        <f>'EN Parts'!B374</f>
        <v>Fuel Tank</v>
      </c>
      <c r="C118" s="100">
        <f>'EN Parts'!N371</f>
        <v>79.966659396000011</v>
      </c>
      <c r="D118" s="127">
        <f>EN_03001_q</f>
        <v>1</v>
      </c>
      <c r="E118" s="100">
        <f t="shared" ref="E118:E123" si="4">C118*D118</f>
        <v>79.966659396000011</v>
      </c>
      <c r="F118" s="94"/>
      <c r="G118" s="94"/>
      <c r="H118" s="94"/>
      <c r="I118" s="94"/>
      <c r="J118" s="94"/>
      <c r="K118" s="94"/>
      <c r="L118" s="94"/>
      <c r="M118" s="94"/>
      <c r="N118" s="94"/>
      <c r="O118" s="93"/>
    </row>
    <row r="119" spans="1:15" x14ac:dyDescent="0.25">
      <c r="A119" s="129">
        <v>20</v>
      </c>
      <c r="B119" s="132" t="str">
        <f>'EN Parts'!B418</f>
        <v>Filler tube</v>
      </c>
      <c r="C119" s="100">
        <f>'EN Parts'!N415</f>
        <v>15.010881192666666</v>
      </c>
      <c r="D119" s="127">
        <f>En_03002_q</f>
        <v>1</v>
      </c>
      <c r="E119" s="100">
        <f t="shared" si="4"/>
        <v>15.010881192666666</v>
      </c>
      <c r="F119" s="99"/>
      <c r="G119" s="99"/>
      <c r="H119" s="99"/>
      <c r="I119" s="99"/>
      <c r="J119" s="99"/>
      <c r="K119" s="99"/>
      <c r="L119" s="99"/>
      <c r="M119" s="99"/>
      <c r="N119" s="99"/>
      <c r="O119" s="93"/>
    </row>
    <row r="120" spans="1:15" x14ac:dyDescent="0.25">
      <c r="A120" s="129">
        <v>30</v>
      </c>
      <c r="B120" s="132" t="str">
        <f>'EN Parts'!B453</f>
        <v>Filler cap</v>
      </c>
      <c r="C120" s="100">
        <f>'EN Parts'!N450</f>
        <v>24.094630799999997</v>
      </c>
      <c r="D120" s="127">
        <f>En_03003_q</f>
        <v>1</v>
      </c>
      <c r="E120" s="100">
        <f t="shared" si="4"/>
        <v>24.094630799999997</v>
      </c>
      <c r="F120" s="99"/>
      <c r="G120" s="99"/>
      <c r="H120" s="99"/>
      <c r="I120" s="99"/>
      <c r="J120" s="99"/>
      <c r="K120" s="99"/>
      <c r="L120" s="99"/>
      <c r="M120" s="99"/>
      <c r="N120" s="99"/>
      <c r="O120" s="93"/>
    </row>
    <row r="121" spans="1:15" x14ac:dyDescent="0.25">
      <c r="A121" s="129">
        <v>40</v>
      </c>
      <c r="B121" s="132" t="str">
        <f>'EN Parts'!B478</f>
        <v>Filler tube collar</v>
      </c>
      <c r="C121" s="100">
        <f>'EN Parts'!N475</f>
        <v>2.1969457200000004</v>
      </c>
      <c r="D121" s="127">
        <f>En_03004_q</f>
        <v>1</v>
      </c>
      <c r="E121" s="100">
        <f t="shared" si="4"/>
        <v>2.1969457200000004</v>
      </c>
      <c r="F121" s="99"/>
      <c r="G121" s="99"/>
      <c r="H121" s="99"/>
      <c r="I121" s="99"/>
      <c r="J121" s="99"/>
      <c r="K121" s="99"/>
      <c r="L121" s="99"/>
      <c r="M121" s="99"/>
      <c r="N121" s="99"/>
      <c r="O121" s="93"/>
    </row>
    <row r="122" spans="1:15" x14ac:dyDescent="0.25">
      <c r="A122" s="129">
        <v>50</v>
      </c>
      <c r="B122" s="132" t="str">
        <f>'EN Parts'!B499</f>
        <v>Fuel tank back tab</v>
      </c>
      <c r="C122" s="100">
        <f>'EN Parts'!N496</f>
        <v>2.2582912500000001</v>
      </c>
      <c r="D122" s="127">
        <f>EN_03005_q</f>
        <v>1</v>
      </c>
      <c r="E122" s="100">
        <f t="shared" si="4"/>
        <v>2.2582912500000001</v>
      </c>
      <c r="F122" s="99"/>
      <c r="G122" s="99"/>
      <c r="H122" s="99"/>
      <c r="I122" s="99"/>
      <c r="J122" s="99"/>
      <c r="K122" s="99"/>
      <c r="L122" s="99"/>
      <c r="M122" s="99"/>
      <c r="N122" s="99"/>
      <c r="O122" s="93"/>
    </row>
    <row r="123" spans="1:15" x14ac:dyDescent="0.25">
      <c r="A123" s="129">
        <v>60</v>
      </c>
      <c r="B123" s="132" t="str">
        <f>'EN Parts'!B521</f>
        <v>Fuel tank front tab</v>
      </c>
      <c r="C123" s="100">
        <f>'EN Parts'!N518</f>
        <v>2.0871096700000002</v>
      </c>
      <c r="D123" s="129">
        <f>EN_03006_q</f>
        <v>1</v>
      </c>
      <c r="E123" s="100">
        <f t="shared" si="4"/>
        <v>2.0871096700000002</v>
      </c>
      <c r="F123" s="99"/>
      <c r="G123" s="99"/>
      <c r="H123" s="99"/>
      <c r="I123" s="99"/>
      <c r="J123" s="99"/>
      <c r="K123" s="99"/>
      <c r="L123" s="99"/>
      <c r="M123" s="99"/>
      <c r="N123" s="99"/>
      <c r="O123" s="131"/>
    </row>
    <row r="124" spans="1:15" x14ac:dyDescent="0.25">
      <c r="A124" s="107"/>
      <c r="B124" s="94"/>
      <c r="C124" s="94"/>
      <c r="D124" s="97" t="s">
        <v>58</v>
      </c>
      <c r="E124" s="96">
        <f>SUM(E118:E123)</f>
        <v>125.61451802866668</v>
      </c>
      <c r="F124" s="99"/>
      <c r="G124" s="99"/>
      <c r="H124" s="99"/>
      <c r="I124" s="99"/>
      <c r="J124" s="99"/>
      <c r="K124" s="99"/>
      <c r="L124" s="99"/>
      <c r="M124" s="99"/>
      <c r="N124" s="99"/>
      <c r="O124" s="93"/>
    </row>
    <row r="125" spans="1:15" x14ac:dyDescent="0.25">
      <c r="A125" s="107"/>
      <c r="B125" s="94"/>
      <c r="C125" s="94"/>
      <c r="D125" s="94"/>
      <c r="E125" s="94"/>
      <c r="F125" s="94"/>
      <c r="G125" s="94"/>
      <c r="H125" s="94"/>
      <c r="I125" s="94"/>
      <c r="J125" s="94"/>
      <c r="K125" s="94"/>
      <c r="L125" s="94"/>
      <c r="M125" s="94"/>
      <c r="N125" s="94"/>
      <c r="O125" s="93"/>
    </row>
    <row r="126" spans="1:15" x14ac:dyDescent="0.25">
      <c r="A126" s="106" t="s">
        <v>67</v>
      </c>
      <c r="B126" s="106" t="s">
        <v>112</v>
      </c>
      <c r="C126" s="106" t="s">
        <v>66</v>
      </c>
      <c r="D126" s="106" t="s">
        <v>65</v>
      </c>
      <c r="E126" s="106" t="s">
        <v>81</v>
      </c>
      <c r="F126" s="106" t="s">
        <v>80</v>
      </c>
      <c r="G126" s="106" t="s">
        <v>79</v>
      </c>
      <c r="H126" s="106" t="s">
        <v>78</v>
      </c>
      <c r="I126" s="106" t="s">
        <v>111</v>
      </c>
      <c r="J126" s="106" t="s">
        <v>110</v>
      </c>
      <c r="K126" s="106" t="s">
        <v>109</v>
      </c>
      <c r="L126" s="106" t="s">
        <v>108</v>
      </c>
      <c r="M126" s="106" t="s">
        <v>40</v>
      </c>
      <c r="N126" s="106" t="s">
        <v>58</v>
      </c>
      <c r="O126" s="93"/>
    </row>
    <row r="127" spans="1:15" ht="30" x14ac:dyDescent="0.25">
      <c r="A127" s="115">
        <v>10</v>
      </c>
      <c r="B127" s="114" t="s">
        <v>246</v>
      </c>
      <c r="C127" s="114" t="s">
        <v>450</v>
      </c>
      <c r="D127" s="155">
        <v>8.1</v>
      </c>
      <c r="E127" s="115">
        <v>30</v>
      </c>
      <c r="F127" s="115" t="s">
        <v>68</v>
      </c>
      <c r="G127" s="115"/>
      <c r="H127" s="152"/>
      <c r="I127" s="154"/>
      <c r="J127" s="153"/>
      <c r="K127" s="152"/>
      <c r="L127" s="152"/>
      <c r="M127" s="165">
        <v>1</v>
      </c>
      <c r="N127" s="223">
        <f>M127*D127</f>
        <v>8.1</v>
      </c>
      <c r="O127" s="93"/>
    </row>
    <row r="128" spans="1:15" ht="30" x14ac:dyDescent="0.25">
      <c r="A128" s="115">
        <v>20</v>
      </c>
      <c r="B128" s="114" t="s">
        <v>246</v>
      </c>
      <c r="C128" s="114" t="s">
        <v>449</v>
      </c>
      <c r="D128" s="155">
        <v>6.75</v>
      </c>
      <c r="E128" s="115">
        <v>25</v>
      </c>
      <c r="F128" s="115" t="s">
        <v>68</v>
      </c>
      <c r="G128" s="115"/>
      <c r="H128" s="152"/>
      <c r="I128" s="154"/>
      <c r="J128" s="153"/>
      <c r="K128" s="152"/>
      <c r="L128" s="152"/>
      <c r="M128" s="165">
        <v>2</v>
      </c>
      <c r="N128" s="223">
        <f>M128*D128</f>
        <v>13.5</v>
      </c>
      <c r="O128" s="93"/>
    </row>
    <row r="129" spans="1:15" ht="30" x14ac:dyDescent="0.25">
      <c r="A129" s="115">
        <v>30</v>
      </c>
      <c r="B129" s="115" t="s">
        <v>302</v>
      </c>
      <c r="C129" s="114" t="s">
        <v>448</v>
      </c>
      <c r="D129" s="185">
        <v>20.68</v>
      </c>
      <c r="E129" s="150">
        <v>44</v>
      </c>
      <c r="F129" s="150" t="s">
        <v>68</v>
      </c>
      <c r="G129" s="150">
        <v>0.5</v>
      </c>
      <c r="H129" s="149" t="s">
        <v>345</v>
      </c>
      <c r="I129" s="148"/>
      <c r="J129" s="147"/>
      <c r="K129" s="146"/>
      <c r="L129" s="145"/>
      <c r="M129" s="169">
        <v>0.5</v>
      </c>
      <c r="N129" s="223">
        <f>M129*D129</f>
        <v>10.34</v>
      </c>
      <c r="O129" s="143"/>
    </row>
    <row r="130" spans="1:15" x14ac:dyDescent="0.25">
      <c r="A130" s="98"/>
      <c r="B130" s="95"/>
      <c r="C130" s="95"/>
      <c r="D130" s="95"/>
      <c r="E130" s="95"/>
      <c r="F130" s="95"/>
      <c r="G130" s="95"/>
      <c r="H130" s="95"/>
      <c r="I130" s="95"/>
      <c r="J130" s="95"/>
      <c r="K130" s="95"/>
      <c r="L130" s="95"/>
      <c r="M130" s="106" t="s">
        <v>58</v>
      </c>
      <c r="N130" s="96">
        <f>SUM(N127:N129)</f>
        <v>31.94</v>
      </c>
      <c r="O130" s="93"/>
    </row>
    <row r="131" spans="1:15" x14ac:dyDescent="0.25">
      <c r="A131" s="107"/>
      <c r="B131" s="94"/>
      <c r="C131" s="94"/>
      <c r="D131" s="94"/>
      <c r="E131" s="94"/>
      <c r="F131" s="94"/>
      <c r="G131" s="94"/>
      <c r="H131" s="94"/>
      <c r="I131" s="94"/>
      <c r="J131" s="94"/>
      <c r="K131" s="94"/>
      <c r="L131" s="94"/>
      <c r="M131" s="94"/>
      <c r="N131" s="94"/>
      <c r="O131" s="93"/>
    </row>
    <row r="132" spans="1:15" x14ac:dyDescent="0.25">
      <c r="A132" s="106" t="s">
        <v>67</v>
      </c>
      <c r="B132" s="106" t="s">
        <v>106</v>
      </c>
      <c r="C132" s="106" t="s">
        <v>66</v>
      </c>
      <c r="D132" s="106" t="s">
        <v>65</v>
      </c>
      <c r="E132" s="106" t="s">
        <v>64</v>
      </c>
      <c r="F132" s="106" t="s">
        <v>40</v>
      </c>
      <c r="G132" s="106" t="s">
        <v>105</v>
      </c>
      <c r="H132" s="106" t="s">
        <v>104</v>
      </c>
      <c r="I132" s="106" t="s">
        <v>58</v>
      </c>
      <c r="J132" s="95"/>
      <c r="K132" s="95"/>
      <c r="L132" s="95"/>
      <c r="M132" s="95"/>
      <c r="N132" s="95"/>
      <c r="O132" s="120"/>
    </row>
    <row r="133" spans="1:15" x14ac:dyDescent="0.25">
      <c r="A133" s="115">
        <v>10</v>
      </c>
      <c r="B133" s="115" t="s">
        <v>103</v>
      </c>
      <c r="C133" s="114" t="s">
        <v>447</v>
      </c>
      <c r="D133" s="197">
        <v>0.15</v>
      </c>
      <c r="E133" s="115" t="s">
        <v>101</v>
      </c>
      <c r="F133" s="163">
        <v>9.3000000000000007</v>
      </c>
      <c r="G133" s="163"/>
      <c r="H133" s="163"/>
      <c r="I133" s="100">
        <f t="shared" ref="I133:I144" si="5">IF(H133="",D133*F133,D133*F133*H133)</f>
        <v>1.395</v>
      </c>
      <c r="J133" s="94"/>
      <c r="K133" s="94"/>
      <c r="L133" s="94"/>
      <c r="M133" s="94"/>
      <c r="N133" s="94"/>
      <c r="O133" s="93"/>
    </row>
    <row r="134" spans="1:15" x14ac:dyDescent="0.25">
      <c r="A134" s="115">
        <v>20</v>
      </c>
      <c r="B134" s="198" t="s">
        <v>165</v>
      </c>
      <c r="C134" s="177" t="s">
        <v>446</v>
      </c>
      <c r="D134" s="197">
        <v>0.06</v>
      </c>
      <c r="E134" s="198"/>
      <c r="F134" s="163">
        <v>3</v>
      </c>
      <c r="G134" s="115"/>
      <c r="H134" s="115"/>
      <c r="I134" s="100">
        <f t="shared" si="5"/>
        <v>0.18</v>
      </c>
      <c r="J134" s="94"/>
      <c r="K134" s="94"/>
      <c r="L134" s="94"/>
      <c r="M134" s="94"/>
      <c r="N134" s="94"/>
      <c r="O134" s="93"/>
    </row>
    <row r="135" spans="1:15" ht="30" x14ac:dyDescent="0.25">
      <c r="A135" s="115">
        <v>30</v>
      </c>
      <c r="B135" s="173" t="s">
        <v>443</v>
      </c>
      <c r="C135" s="177" t="s">
        <v>445</v>
      </c>
      <c r="D135" s="155">
        <v>0.75</v>
      </c>
      <c r="E135" s="115" t="s">
        <v>64</v>
      </c>
      <c r="F135" s="163">
        <v>3</v>
      </c>
      <c r="G135" s="115"/>
      <c r="H135" s="115"/>
      <c r="I135" s="100">
        <f t="shared" si="5"/>
        <v>2.25</v>
      </c>
      <c r="J135" s="94"/>
      <c r="K135" s="94"/>
      <c r="L135" s="94"/>
      <c r="M135" s="94"/>
      <c r="N135" s="94"/>
      <c r="O135" s="93"/>
    </row>
    <row r="136" spans="1:15" ht="14.25" customHeight="1" x14ac:dyDescent="0.25">
      <c r="A136" s="115">
        <v>40</v>
      </c>
      <c r="B136" s="198" t="s">
        <v>167</v>
      </c>
      <c r="C136" s="114" t="s">
        <v>444</v>
      </c>
      <c r="D136" s="197">
        <v>0.38</v>
      </c>
      <c r="E136" s="115" t="s">
        <v>64</v>
      </c>
      <c r="F136" s="163">
        <v>1</v>
      </c>
      <c r="G136" s="115"/>
      <c r="H136" s="115"/>
      <c r="I136" s="100">
        <f t="shared" si="5"/>
        <v>0.38</v>
      </c>
      <c r="J136" s="94"/>
      <c r="K136" s="94"/>
      <c r="L136" s="94"/>
      <c r="M136" s="94"/>
      <c r="N136" s="94"/>
      <c r="O136" s="93"/>
    </row>
    <row r="137" spans="1:15" ht="14.25" customHeight="1" x14ac:dyDescent="0.25">
      <c r="A137" s="115">
        <v>50</v>
      </c>
      <c r="B137" s="173" t="s">
        <v>443</v>
      </c>
      <c r="C137" s="177" t="s">
        <v>442</v>
      </c>
      <c r="D137" s="155">
        <v>0.75</v>
      </c>
      <c r="E137" s="115" t="s">
        <v>64</v>
      </c>
      <c r="F137" s="163">
        <v>3</v>
      </c>
      <c r="G137" s="115"/>
      <c r="H137" s="163"/>
      <c r="I137" s="100">
        <f t="shared" si="5"/>
        <v>2.25</v>
      </c>
      <c r="J137" s="94"/>
      <c r="K137" s="94"/>
      <c r="L137" s="94"/>
      <c r="M137" s="94"/>
      <c r="N137" s="94"/>
      <c r="O137" s="93"/>
    </row>
    <row r="138" spans="1:15" ht="14.25" customHeight="1" x14ac:dyDescent="0.25">
      <c r="A138" s="115">
        <v>60</v>
      </c>
      <c r="B138" s="173" t="s">
        <v>165</v>
      </c>
      <c r="C138" s="177" t="s">
        <v>441</v>
      </c>
      <c r="D138" s="155">
        <v>0.06</v>
      </c>
      <c r="E138" s="115" t="s">
        <v>64</v>
      </c>
      <c r="F138" s="163">
        <v>1</v>
      </c>
      <c r="G138" s="115"/>
      <c r="H138" s="163"/>
      <c r="I138" s="100">
        <f t="shared" si="5"/>
        <v>0.06</v>
      </c>
      <c r="J138" s="94"/>
      <c r="K138" s="94"/>
      <c r="L138" s="94"/>
      <c r="M138" s="94"/>
      <c r="N138" s="94"/>
      <c r="O138" s="93"/>
    </row>
    <row r="139" spans="1:15" ht="14.25" customHeight="1" x14ac:dyDescent="0.25">
      <c r="A139" s="115">
        <v>70</v>
      </c>
      <c r="B139" s="173" t="s">
        <v>165</v>
      </c>
      <c r="C139" s="177" t="s">
        <v>440</v>
      </c>
      <c r="D139" s="155">
        <v>0.06</v>
      </c>
      <c r="E139" s="115" t="s">
        <v>64</v>
      </c>
      <c r="F139" s="163">
        <v>2</v>
      </c>
      <c r="G139" s="115"/>
      <c r="H139" s="163"/>
      <c r="I139" s="100">
        <f t="shared" si="5"/>
        <v>0.12</v>
      </c>
      <c r="J139" s="94"/>
      <c r="K139" s="94"/>
      <c r="L139" s="94"/>
      <c r="M139" s="94"/>
      <c r="N139" s="94"/>
      <c r="O139" s="93"/>
    </row>
    <row r="140" spans="1:15" ht="14.25" customHeight="1" x14ac:dyDescent="0.25">
      <c r="A140" s="115">
        <v>80</v>
      </c>
      <c r="B140" s="173" t="s">
        <v>439</v>
      </c>
      <c r="C140" s="177" t="s">
        <v>438</v>
      </c>
      <c r="D140" s="155">
        <v>0.19</v>
      </c>
      <c r="E140" s="115" t="s">
        <v>64</v>
      </c>
      <c r="F140" s="163">
        <v>2</v>
      </c>
      <c r="G140" s="115"/>
      <c r="H140" s="163"/>
      <c r="I140" s="100">
        <f t="shared" si="5"/>
        <v>0.38</v>
      </c>
      <c r="J140" s="94"/>
      <c r="K140" s="94"/>
      <c r="L140" s="94"/>
      <c r="M140" s="94"/>
      <c r="N140" s="94"/>
      <c r="O140" s="93"/>
    </row>
    <row r="141" spans="1:15" ht="14.25" customHeight="1" x14ac:dyDescent="0.25">
      <c r="A141" s="115">
        <v>90</v>
      </c>
      <c r="B141" s="115" t="s">
        <v>287</v>
      </c>
      <c r="C141" s="114" t="s">
        <v>437</v>
      </c>
      <c r="D141" s="197">
        <v>0.5</v>
      </c>
      <c r="E141" s="115" t="s">
        <v>64</v>
      </c>
      <c r="F141" s="163">
        <v>2</v>
      </c>
      <c r="G141" s="163"/>
      <c r="H141" s="163"/>
      <c r="I141" s="100">
        <f t="shared" si="5"/>
        <v>1</v>
      </c>
      <c r="J141" s="94"/>
      <c r="K141" s="94"/>
      <c r="L141" s="94"/>
      <c r="M141" s="94"/>
      <c r="N141" s="94"/>
      <c r="O141" s="93"/>
    </row>
    <row r="142" spans="1:15" x14ac:dyDescent="0.25">
      <c r="A142" s="115">
        <v>100</v>
      </c>
      <c r="B142" s="115" t="s">
        <v>163</v>
      </c>
      <c r="C142" s="177" t="s">
        <v>436</v>
      </c>
      <c r="D142" s="197">
        <v>0.5</v>
      </c>
      <c r="E142" s="115" t="s">
        <v>64</v>
      </c>
      <c r="F142" s="163">
        <v>1</v>
      </c>
      <c r="G142" s="163"/>
      <c r="H142" s="163"/>
      <c r="I142" s="100">
        <f t="shared" si="5"/>
        <v>0.5</v>
      </c>
      <c r="J142" s="94"/>
      <c r="K142" s="94"/>
      <c r="L142" s="94"/>
      <c r="M142" s="94"/>
      <c r="N142" s="94"/>
      <c r="O142" s="93"/>
    </row>
    <row r="143" spans="1:15" x14ac:dyDescent="0.25">
      <c r="A143" s="115">
        <v>110</v>
      </c>
      <c r="B143" s="115" t="s">
        <v>162</v>
      </c>
      <c r="C143" s="177" t="s">
        <v>435</v>
      </c>
      <c r="D143" s="197">
        <v>0.25</v>
      </c>
      <c r="E143" s="115" t="s">
        <v>64</v>
      </c>
      <c r="F143" s="163">
        <v>1</v>
      </c>
      <c r="G143" s="163"/>
      <c r="H143" s="163"/>
      <c r="I143" s="100">
        <f t="shared" si="5"/>
        <v>0.25</v>
      </c>
      <c r="J143" s="94"/>
      <c r="K143" s="94"/>
      <c r="L143" s="94"/>
      <c r="M143" s="94"/>
      <c r="N143" s="94"/>
      <c r="O143" s="93"/>
    </row>
    <row r="144" spans="1:15" x14ac:dyDescent="0.25">
      <c r="A144" s="115">
        <v>120</v>
      </c>
      <c r="B144" s="115" t="s">
        <v>434</v>
      </c>
      <c r="C144" s="114" t="s">
        <v>433</v>
      </c>
      <c r="D144" s="197">
        <v>0.75</v>
      </c>
      <c r="E144" s="115" t="s">
        <v>64</v>
      </c>
      <c r="F144" s="163">
        <v>1</v>
      </c>
      <c r="G144" s="163"/>
      <c r="H144" s="163"/>
      <c r="I144" s="100">
        <f t="shared" si="5"/>
        <v>0.75</v>
      </c>
      <c r="J144" s="94"/>
      <c r="K144" s="94"/>
      <c r="L144" s="94"/>
      <c r="M144" s="94"/>
      <c r="N144" s="94"/>
      <c r="O144" s="93"/>
    </row>
    <row r="145" spans="1:15" x14ac:dyDescent="0.25">
      <c r="A145" s="98"/>
      <c r="B145" s="95"/>
      <c r="C145" s="95"/>
      <c r="D145" s="95"/>
      <c r="E145" s="95"/>
      <c r="F145" s="95"/>
      <c r="G145" s="95"/>
      <c r="H145" s="97" t="s">
        <v>58</v>
      </c>
      <c r="I145" s="96">
        <f>SUM(I133:I144)</f>
        <v>9.5150000000000006</v>
      </c>
      <c r="J145" s="94"/>
      <c r="K145" s="94"/>
      <c r="L145" s="94"/>
      <c r="M145" s="94"/>
      <c r="N145" s="94"/>
      <c r="O145" s="93"/>
    </row>
    <row r="146" spans="1:15" x14ac:dyDescent="0.25">
      <c r="A146" s="107"/>
      <c r="B146" s="94"/>
      <c r="C146" s="94"/>
      <c r="D146" s="94"/>
      <c r="E146" s="94"/>
      <c r="F146" s="94"/>
      <c r="G146" s="94"/>
      <c r="H146" s="94"/>
      <c r="I146" s="94"/>
      <c r="J146" s="94"/>
      <c r="K146" s="94"/>
      <c r="L146" s="94"/>
      <c r="M146" s="94"/>
      <c r="N146" s="94"/>
      <c r="O146" s="93"/>
    </row>
    <row r="147" spans="1:15" x14ac:dyDescent="0.25">
      <c r="A147" s="106" t="s">
        <v>67</v>
      </c>
      <c r="B147" s="106" t="s">
        <v>82</v>
      </c>
      <c r="C147" s="106" t="s">
        <v>66</v>
      </c>
      <c r="D147" s="106" t="s">
        <v>65</v>
      </c>
      <c r="E147" s="106" t="s">
        <v>81</v>
      </c>
      <c r="F147" s="106" t="s">
        <v>80</v>
      </c>
      <c r="G147" s="106" t="s">
        <v>79</v>
      </c>
      <c r="H147" s="106" t="s">
        <v>78</v>
      </c>
      <c r="I147" s="106" t="s">
        <v>40</v>
      </c>
      <c r="J147" s="106" t="s">
        <v>58</v>
      </c>
      <c r="K147" s="94"/>
      <c r="L147" s="94"/>
      <c r="M147" s="94"/>
      <c r="N147" s="94"/>
      <c r="O147" s="93"/>
    </row>
    <row r="148" spans="1:15" x14ac:dyDescent="0.25">
      <c r="A148" s="115">
        <v>10</v>
      </c>
      <c r="B148" s="115" t="s">
        <v>75</v>
      </c>
      <c r="C148" s="115" t="s">
        <v>432</v>
      </c>
      <c r="D148" s="175">
        <v>0.04</v>
      </c>
      <c r="E148" s="180">
        <v>8</v>
      </c>
      <c r="F148" s="180" t="s">
        <v>68</v>
      </c>
      <c r="G148" s="180"/>
      <c r="H148" s="180"/>
      <c r="I148" s="172">
        <v>2</v>
      </c>
      <c r="J148" s="100">
        <f t="shared" ref="J148:J153" si="6">I148*D148</f>
        <v>0.08</v>
      </c>
      <c r="K148" s="94"/>
      <c r="L148" s="94"/>
      <c r="M148" s="94"/>
      <c r="N148" s="94"/>
      <c r="O148" s="93"/>
    </row>
    <row r="149" spans="1:15" ht="30" x14ac:dyDescent="0.25">
      <c r="A149" s="115">
        <v>20</v>
      </c>
      <c r="B149" s="115" t="s">
        <v>74</v>
      </c>
      <c r="C149" s="114" t="s">
        <v>431</v>
      </c>
      <c r="D149" s="175">
        <v>0.01</v>
      </c>
      <c r="E149" s="115">
        <v>8</v>
      </c>
      <c r="F149" s="174" t="s">
        <v>68</v>
      </c>
      <c r="G149" s="115"/>
      <c r="H149" s="173"/>
      <c r="I149" s="172">
        <v>2</v>
      </c>
      <c r="J149" s="100">
        <f t="shared" si="6"/>
        <v>0.02</v>
      </c>
      <c r="K149" s="94"/>
      <c r="L149" s="94"/>
      <c r="M149" s="94"/>
      <c r="N149" s="94"/>
      <c r="O149" s="93"/>
    </row>
    <row r="150" spans="1:15" x14ac:dyDescent="0.25">
      <c r="A150" s="115">
        <v>30</v>
      </c>
      <c r="B150" s="115" t="s">
        <v>72</v>
      </c>
      <c r="C150" s="114" t="s">
        <v>430</v>
      </c>
      <c r="D150" s="197">
        <v>0.04</v>
      </c>
      <c r="E150" s="115">
        <v>6</v>
      </c>
      <c r="F150" s="196" t="s">
        <v>68</v>
      </c>
      <c r="G150" s="115">
        <v>20</v>
      </c>
      <c r="H150" s="173" t="s">
        <v>68</v>
      </c>
      <c r="I150" s="172">
        <v>1</v>
      </c>
      <c r="J150" s="100">
        <f t="shared" si="6"/>
        <v>0.04</v>
      </c>
      <c r="K150" s="94"/>
      <c r="L150" s="94"/>
      <c r="M150" s="94"/>
      <c r="N150" s="94"/>
      <c r="O150" s="93"/>
    </row>
    <row r="151" spans="1:15" ht="30" x14ac:dyDescent="0.25">
      <c r="A151" s="115">
        <v>40</v>
      </c>
      <c r="B151" s="115" t="s">
        <v>75</v>
      </c>
      <c r="C151" s="114" t="s">
        <v>429</v>
      </c>
      <c r="D151" s="197">
        <v>0.03</v>
      </c>
      <c r="E151" s="115">
        <v>6</v>
      </c>
      <c r="F151" s="196" t="s">
        <v>68</v>
      </c>
      <c r="G151" s="115"/>
      <c r="H151" s="173"/>
      <c r="I151" s="156">
        <v>5</v>
      </c>
      <c r="J151" s="100">
        <f t="shared" si="6"/>
        <v>0.15</v>
      </c>
      <c r="K151" s="94"/>
      <c r="L151" s="94"/>
      <c r="M151" s="94"/>
      <c r="N151" s="94"/>
      <c r="O151" s="93"/>
    </row>
    <row r="152" spans="1:15" ht="30" x14ac:dyDescent="0.25">
      <c r="A152" s="115">
        <v>50</v>
      </c>
      <c r="B152" s="115" t="s">
        <v>74</v>
      </c>
      <c r="C152" s="114" t="s">
        <v>428</v>
      </c>
      <c r="D152" s="197">
        <v>0.01</v>
      </c>
      <c r="E152" s="115">
        <v>6</v>
      </c>
      <c r="F152" s="196" t="s">
        <v>68</v>
      </c>
      <c r="G152" s="115"/>
      <c r="H152" s="173"/>
      <c r="I152" s="156">
        <v>5</v>
      </c>
      <c r="J152" s="100">
        <f t="shared" si="6"/>
        <v>0.05</v>
      </c>
      <c r="K152" s="94"/>
      <c r="L152" s="94"/>
      <c r="M152" s="94"/>
      <c r="N152" s="94"/>
      <c r="O152" s="93"/>
    </row>
    <row r="153" spans="1:15" x14ac:dyDescent="0.25">
      <c r="A153" s="115">
        <v>60</v>
      </c>
      <c r="B153" s="115" t="s">
        <v>280</v>
      </c>
      <c r="C153" s="114" t="s">
        <v>427</v>
      </c>
      <c r="D153" s="175">
        <v>0.69</v>
      </c>
      <c r="E153" s="115">
        <v>48</v>
      </c>
      <c r="F153" s="174" t="s">
        <v>68</v>
      </c>
      <c r="G153" s="115"/>
      <c r="H153" s="173"/>
      <c r="I153" s="172">
        <v>2</v>
      </c>
      <c r="J153" s="100">
        <f t="shared" si="6"/>
        <v>1.38</v>
      </c>
      <c r="K153" s="94"/>
      <c r="L153" s="94"/>
      <c r="M153" s="94"/>
      <c r="N153" s="94"/>
      <c r="O153" s="93"/>
    </row>
    <row r="154" spans="1:15" x14ac:dyDescent="0.25">
      <c r="A154" s="98"/>
      <c r="B154" s="95"/>
      <c r="C154" s="95"/>
      <c r="D154" s="95"/>
      <c r="E154" s="95"/>
      <c r="F154" s="95"/>
      <c r="G154" s="95"/>
      <c r="H154" s="95"/>
      <c r="I154" s="97" t="s">
        <v>58</v>
      </c>
      <c r="J154" s="96">
        <f>SUM(J148:J153)</f>
        <v>1.72</v>
      </c>
      <c r="K154" s="94"/>
      <c r="L154" s="94"/>
      <c r="M154" s="94"/>
      <c r="N154" s="94"/>
      <c r="O154" s="93"/>
    </row>
    <row r="155" spans="1:15" x14ac:dyDescent="0.25">
      <c r="A155" s="107"/>
      <c r="B155" s="94"/>
      <c r="C155" s="94"/>
      <c r="D155" s="94"/>
      <c r="E155" s="94"/>
      <c r="F155" s="94"/>
      <c r="G155" s="94"/>
      <c r="H155" s="94"/>
      <c r="I155" s="94"/>
      <c r="J155" s="94"/>
      <c r="K155" s="94"/>
      <c r="L155" s="94"/>
      <c r="M155" s="94"/>
      <c r="N155" s="94"/>
      <c r="O155" s="93"/>
    </row>
    <row r="156" spans="1:15" x14ac:dyDescent="0.25">
      <c r="A156" s="106" t="s">
        <v>67</v>
      </c>
      <c r="B156" s="106" t="s">
        <v>13</v>
      </c>
      <c r="C156" s="106" t="s">
        <v>66</v>
      </c>
      <c r="D156" s="106" t="s">
        <v>65</v>
      </c>
      <c r="E156" s="106" t="s">
        <v>64</v>
      </c>
      <c r="F156" s="106" t="s">
        <v>40</v>
      </c>
      <c r="G156" s="106" t="s">
        <v>63</v>
      </c>
      <c r="H156" s="106" t="s">
        <v>62</v>
      </c>
      <c r="I156" s="106" t="s">
        <v>58</v>
      </c>
      <c r="J156" s="95"/>
      <c r="K156" s="94"/>
      <c r="L156" s="94"/>
      <c r="M156" s="94"/>
      <c r="N156" s="94"/>
      <c r="O156" s="93"/>
    </row>
    <row r="157" spans="1:15" x14ac:dyDescent="0.25">
      <c r="A157" s="115">
        <v>10</v>
      </c>
      <c r="B157" s="115" t="s">
        <v>61</v>
      </c>
      <c r="C157" s="115" t="s">
        <v>426</v>
      </c>
      <c r="D157" s="155">
        <v>500</v>
      </c>
      <c r="E157" s="115" t="s">
        <v>59</v>
      </c>
      <c r="F157" s="115">
        <v>12</v>
      </c>
      <c r="G157" s="115">
        <v>3000</v>
      </c>
      <c r="H157" s="115">
        <v>1</v>
      </c>
      <c r="I157" s="100">
        <f>D157*F157/G157*H157</f>
        <v>2</v>
      </c>
      <c r="J157" s="99"/>
      <c r="K157" s="94"/>
      <c r="L157" s="94"/>
      <c r="M157" s="94"/>
      <c r="N157" s="94"/>
      <c r="O157" s="93"/>
    </row>
    <row r="158" spans="1:15" x14ac:dyDescent="0.25">
      <c r="A158" s="98"/>
      <c r="B158" s="95"/>
      <c r="C158" s="95"/>
      <c r="D158" s="95"/>
      <c r="E158" s="95"/>
      <c r="F158" s="95"/>
      <c r="G158" s="95"/>
      <c r="H158" s="97" t="s">
        <v>58</v>
      </c>
      <c r="I158" s="96">
        <f>SUM(I157)</f>
        <v>2</v>
      </c>
      <c r="J158" s="95"/>
      <c r="K158" s="94"/>
      <c r="L158" s="94"/>
      <c r="M158" s="94"/>
      <c r="N158" s="94"/>
      <c r="O158" s="93"/>
    </row>
    <row r="159" spans="1:15" ht="15.75" thickBot="1" x14ac:dyDescent="0.3">
      <c r="A159" s="92"/>
      <c r="B159" s="91"/>
      <c r="C159" s="91"/>
      <c r="D159" s="91"/>
      <c r="E159" s="91"/>
      <c r="F159" s="91"/>
      <c r="G159" s="91"/>
      <c r="H159" s="91"/>
      <c r="I159" s="91"/>
      <c r="J159" s="91"/>
      <c r="K159" s="91"/>
      <c r="L159" s="91"/>
      <c r="M159" s="91"/>
      <c r="N159" s="91"/>
      <c r="O159" s="90"/>
    </row>
    <row r="160" spans="1:15" ht="15.75" thickBot="1" x14ac:dyDescent="0.3"/>
    <row r="161" spans="1:15" x14ac:dyDescent="0.25">
      <c r="A161" s="141"/>
      <c r="B161" s="140"/>
      <c r="C161" s="140"/>
      <c r="D161" s="140"/>
      <c r="E161" s="140"/>
      <c r="F161" s="140"/>
      <c r="G161" s="140"/>
      <c r="H161" s="140"/>
      <c r="I161" s="140"/>
      <c r="J161" s="140"/>
      <c r="K161" s="140"/>
      <c r="L161" s="140"/>
      <c r="M161" s="140"/>
      <c r="N161" s="140"/>
      <c r="O161" s="139"/>
    </row>
    <row r="162" spans="1:15" x14ac:dyDescent="0.25">
      <c r="A162" s="106" t="s">
        <v>57</v>
      </c>
      <c r="B162" s="133" t="s">
        <v>127</v>
      </c>
      <c r="C162" s="94"/>
      <c r="D162" s="94"/>
      <c r="E162" s="94"/>
      <c r="F162" s="94"/>
      <c r="G162" s="94"/>
      <c r="H162" s="94"/>
      <c r="I162" s="94"/>
      <c r="J162" s="106" t="s">
        <v>51</v>
      </c>
      <c r="K162" s="138">
        <v>81</v>
      </c>
      <c r="L162" s="94"/>
      <c r="M162" s="106" t="s">
        <v>126</v>
      </c>
      <c r="N162" s="137">
        <f>E176+EN_A0004_f+EN_A0004_m+EN_A0004_p+EN_A0004_t</f>
        <v>427.88621436666671</v>
      </c>
      <c r="O162" s="93"/>
    </row>
    <row r="163" spans="1:15" x14ac:dyDescent="0.25">
      <c r="A163" s="106" t="s">
        <v>125</v>
      </c>
      <c r="B163" s="133" t="s">
        <v>21</v>
      </c>
      <c r="C163" s="94"/>
      <c r="D163" s="94"/>
      <c r="E163" s="94"/>
      <c r="F163" s="94"/>
      <c r="G163" s="94"/>
      <c r="H163" s="94"/>
      <c r="I163" s="94"/>
      <c r="J163" s="94"/>
      <c r="K163" s="94"/>
      <c r="L163" s="94"/>
      <c r="M163" s="106" t="s">
        <v>124</v>
      </c>
      <c r="N163" s="136">
        <v>1</v>
      </c>
      <c r="O163" s="93"/>
    </row>
    <row r="164" spans="1:15" x14ac:dyDescent="0.25">
      <c r="A164" s="106" t="s">
        <v>123</v>
      </c>
      <c r="B164" s="99" t="s">
        <v>31</v>
      </c>
      <c r="C164" s="94"/>
      <c r="D164" s="94"/>
      <c r="E164" s="94"/>
      <c r="F164" s="94"/>
      <c r="G164" s="94"/>
      <c r="H164" s="94"/>
      <c r="I164" s="94"/>
      <c r="J164" s="134" t="s">
        <v>122</v>
      </c>
      <c r="K164" s="94"/>
      <c r="L164" s="94"/>
      <c r="M164" s="94"/>
      <c r="N164" s="94"/>
      <c r="O164" s="93"/>
    </row>
    <row r="165" spans="1:15" x14ac:dyDescent="0.25">
      <c r="A165" s="106" t="s">
        <v>121</v>
      </c>
      <c r="B165" s="135" t="s">
        <v>425</v>
      </c>
      <c r="C165" s="94"/>
      <c r="D165" s="94"/>
      <c r="E165" s="94"/>
      <c r="F165" s="94"/>
      <c r="G165" s="94"/>
      <c r="H165" s="94"/>
      <c r="I165" s="94"/>
      <c r="J165" s="134" t="s">
        <v>119</v>
      </c>
      <c r="K165" s="94"/>
      <c r="L165" s="94"/>
      <c r="M165" s="106" t="s">
        <v>118</v>
      </c>
      <c r="N165" s="100">
        <f>N162*N163</f>
        <v>427.88621436666671</v>
      </c>
      <c r="O165" s="93"/>
    </row>
    <row r="166" spans="1:15" x14ac:dyDescent="0.25">
      <c r="A166" s="106" t="s">
        <v>117</v>
      </c>
      <c r="B166" s="133" t="s">
        <v>23</v>
      </c>
      <c r="C166" s="94"/>
      <c r="D166" s="94"/>
      <c r="E166" s="94"/>
      <c r="F166" s="94"/>
      <c r="G166" s="94"/>
      <c r="H166" s="94"/>
      <c r="I166" s="94"/>
      <c r="J166" s="134" t="s">
        <v>116</v>
      </c>
      <c r="K166" s="94"/>
      <c r="L166" s="94"/>
      <c r="M166" s="94"/>
      <c r="N166" s="94"/>
      <c r="O166" s="93"/>
    </row>
    <row r="167" spans="1:15" x14ac:dyDescent="0.25">
      <c r="A167" s="106" t="s">
        <v>115</v>
      </c>
      <c r="B167" s="133" t="s">
        <v>424</v>
      </c>
      <c r="C167" s="94"/>
      <c r="D167" s="94"/>
      <c r="E167" s="94"/>
      <c r="F167" s="94"/>
      <c r="G167" s="94"/>
      <c r="H167" s="94"/>
      <c r="I167" s="94"/>
      <c r="J167" s="94"/>
      <c r="K167" s="94"/>
      <c r="L167" s="94"/>
      <c r="M167" s="94"/>
      <c r="N167" s="94"/>
      <c r="O167" s="93"/>
    </row>
    <row r="168" spans="1:15" x14ac:dyDescent="0.25">
      <c r="A168" s="107"/>
      <c r="B168" s="94"/>
      <c r="C168" s="94"/>
      <c r="D168" s="94"/>
      <c r="E168" s="94"/>
      <c r="F168" s="94"/>
      <c r="G168" s="94"/>
      <c r="H168" s="94"/>
      <c r="I168" s="94"/>
      <c r="J168" s="94"/>
      <c r="K168" s="94"/>
      <c r="L168" s="94"/>
      <c r="M168" s="94"/>
      <c r="N168" s="94"/>
      <c r="O168" s="93"/>
    </row>
    <row r="169" spans="1:15" x14ac:dyDescent="0.25">
      <c r="A169" s="106" t="s">
        <v>67</v>
      </c>
      <c r="B169" s="106" t="s">
        <v>114</v>
      </c>
      <c r="C169" s="106" t="s">
        <v>113</v>
      </c>
      <c r="D169" s="106" t="s">
        <v>40</v>
      </c>
      <c r="E169" s="106" t="s">
        <v>58</v>
      </c>
      <c r="F169" s="94"/>
      <c r="G169" s="94"/>
      <c r="H169" s="94"/>
      <c r="I169" s="94"/>
      <c r="J169" s="94"/>
      <c r="K169" s="94"/>
      <c r="L169" s="94"/>
      <c r="M169" s="94"/>
      <c r="N169" s="94"/>
      <c r="O169" s="93"/>
    </row>
    <row r="170" spans="1:15" x14ac:dyDescent="0.25">
      <c r="A170" s="129">
        <v>10</v>
      </c>
      <c r="B170" s="132" t="str">
        <f>'EN Parts'!B543</f>
        <v>Fuel rail</v>
      </c>
      <c r="C170" s="100">
        <f>'EN Parts'!N540</f>
        <v>12.464163333333332</v>
      </c>
      <c r="D170" s="127">
        <f>EN_04001_q</f>
        <v>1</v>
      </c>
      <c r="E170" s="100">
        <f t="shared" ref="E170:E175" si="7">C170*D170</f>
        <v>12.464163333333332</v>
      </c>
      <c r="F170" s="94"/>
      <c r="G170" s="94"/>
      <c r="H170" s="94"/>
      <c r="I170" s="94"/>
      <c r="J170" s="94"/>
      <c r="K170" s="94"/>
      <c r="L170" s="94"/>
      <c r="M170" s="94"/>
      <c r="N170" s="94"/>
      <c r="O170" s="93"/>
    </row>
    <row r="171" spans="1:15" x14ac:dyDescent="0.25">
      <c r="A171" s="129">
        <v>20</v>
      </c>
      <c r="B171" s="132" t="str">
        <f>'EN Parts'!B574</f>
        <v>Fuel pump tab</v>
      </c>
      <c r="C171" s="100">
        <f>'EN Parts'!N571</f>
        <v>1.561561</v>
      </c>
      <c r="D171" s="127">
        <f>EN_04002_q</f>
        <v>1</v>
      </c>
      <c r="E171" s="100">
        <f t="shared" si="7"/>
        <v>1.561561</v>
      </c>
      <c r="F171" s="99"/>
      <c r="G171" s="99"/>
      <c r="H171" s="99"/>
      <c r="I171" s="99"/>
      <c r="J171" s="99"/>
      <c r="K171" s="99"/>
      <c r="L171" s="99"/>
      <c r="M171" s="99"/>
      <c r="N171" s="99"/>
      <c r="O171" s="93"/>
    </row>
    <row r="172" spans="1:15" x14ac:dyDescent="0.25">
      <c r="A172" s="129">
        <v>30</v>
      </c>
      <c r="B172" s="132" t="str">
        <f>'EN Parts'!B596</f>
        <v>Pressure regulator tab</v>
      </c>
      <c r="C172" s="100">
        <f>'EN Parts'!N593</f>
        <v>2.0546959999999999</v>
      </c>
      <c r="D172" s="129">
        <f>EN_04003_q</f>
        <v>1</v>
      </c>
      <c r="E172" s="100">
        <f t="shared" si="7"/>
        <v>2.0546959999999999</v>
      </c>
      <c r="F172" s="99"/>
      <c r="G172" s="99"/>
      <c r="H172" s="99"/>
      <c r="I172" s="99"/>
      <c r="J172" s="99"/>
      <c r="K172" s="99"/>
      <c r="L172" s="99"/>
      <c r="M172" s="99"/>
      <c r="N172" s="99"/>
      <c r="O172" s="131"/>
    </row>
    <row r="173" spans="1:15" x14ac:dyDescent="0.25">
      <c r="A173" s="222">
        <v>40</v>
      </c>
      <c r="B173" s="221" t="str">
        <f>'EN Parts'!B618</f>
        <v>Fuel pump collar</v>
      </c>
      <c r="C173" s="220">
        <f>'EN Parts'!N615</f>
        <v>2.5892678999999998</v>
      </c>
      <c r="D173" s="129">
        <f>EN_04004_q</f>
        <v>1</v>
      </c>
      <c r="E173" s="100">
        <f t="shared" si="7"/>
        <v>2.5892678999999998</v>
      </c>
      <c r="F173" s="99"/>
      <c r="G173" s="99"/>
      <c r="H173" s="99"/>
      <c r="I173" s="99"/>
      <c r="J173" s="99"/>
      <c r="K173" s="99"/>
      <c r="L173" s="99"/>
      <c r="M173" s="99"/>
      <c r="N173" s="99"/>
      <c r="O173" s="131"/>
    </row>
    <row r="174" spans="1:15" x14ac:dyDescent="0.25">
      <c r="A174" s="129">
        <v>50</v>
      </c>
      <c r="B174" s="219" t="str">
        <f>'EN Parts'!B639</f>
        <v>Fuel rail mount 1</v>
      </c>
      <c r="C174" s="212">
        <f>'EN Parts'!N636</f>
        <v>2.2310964000000002</v>
      </c>
      <c r="D174" s="218">
        <f>EN_04005_q</f>
        <v>1</v>
      </c>
      <c r="E174" s="100">
        <f t="shared" si="7"/>
        <v>2.2310964000000002</v>
      </c>
      <c r="F174" s="99"/>
      <c r="G174" s="99"/>
      <c r="H174" s="99"/>
      <c r="I174" s="99"/>
      <c r="J174" s="99"/>
      <c r="K174" s="99"/>
      <c r="L174" s="99"/>
      <c r="M174" s="99"/>
      <c r="N174" s="99"/>
      <c r="O174" s="131"/>
    </row>
    <row r="175" spans="1:15" x14ac:dyDescent="0.25">
      <c r="A175" s="129">
        <v>60</v>
      </c>
      <c r="B175" s="219" t="str">
        <f>'EN Parts'!B660</f>
        <v>Fuel rail mount 2</v>
      </c>
      <c r="C175" s="212">
        <f>'EN Parts'!N657</f>
        <v>2.2310964000000002</v>
      </c>
      <c r="D175" s="218">
        <f>EN_04006_q</f>
        <v>1</v>
      </c>
      <c r="E175" s="100">
        <f t="shared" si="7"/>
        <v>2.2310964000000002</v>
      </c>
      <c r="F175" s="99"/>
      <c r="G175" s="99"/>
      <c r="H175" s="99"/>
      <c r="I175" s="99"/>
      <c r="J175" s="99"/>
      <c r="K175" s="99"/>
      <c r="L175" s="99"/>
      <c r="M175" s="99"/>
      <c r="N175" s="99"/>
      <c r="O175" s="131"/>
    </row>
    <row r="176" spans="1:15" x14ac:dyDescent="0.25">
      <c r="A176" s="107"/>
      <c r="B176" s="94"/>
      <c r="C176" s="94"/>
      <c r="D176" s="97" t="s">
        <v>58</v>
      </c>
      <c r="E176" s="96">
        <f>SUM(E170:E175)</f>
        <v>23.131881033333329</v>
      </c>
      <c r="F176" s="99"/>
      <c r="G176" s="99"/>
      <c r="H176" s="99"/>
      <c r="I176" s="99"/>
      <c r="J176" s="99"/>
      <c r="K176" s="99"/>
      <c r="L176" s="99"/>
      <c r="M176" s="99"/>
      <c r="N176" s="99"/>
      <c r="O176" s="93"/>
    </row>
    <row r="177" spans="1:15" x14ac:dyDescent="0.25">
      <c r="A177" s="107"/>
      <c r="B177" s="94"/>
      <c r="C177" s="94"/>
      <c r="D177" s="94"/>
      <c r="E177" s="94"/>
      <c r="F177" s="94"/>
      <c r="G177" s="94"/>
      <c r="H177" s="94"/>
      <c r="I177" s="94"/>
      <c r="J177" s="94"/>
      <c r="K177" s="94"/>
      <c r="L177" s="94"/>
      <c r="M177" s="94"/>
      <c r="N177" s="94"/>
      <c r="O177" s="93"/>
    </row>
    <row r="178" spans="1:15" x14ac:dyDescent="0.25">
      <c r="A178" s="106" t="s">
        <v>67</v>
      </c>
      <c r="B178" s="106" t="s">
        <v>112</v>
      </c>
      <c r="C178" s="106" t="s">
        <v>66</v>
      </c>
      <c r="D178" s="106" t="s">
        <v>65</v>
      </c>
      <c r="E178" s="106" t="s">
        <v>81</v>
      </c>
      <c r="F178" s="106" t="s">
        <v>80</v>
      </c>
      <c r="G178" s="106" t="s">
        <v>79</v>
      </c>
      <c r="H178" s="106" t="s">
        <v>78</v>
      </c>
      <c r="I178" s="106" t="s">
        <v>111</v>
      </c>
      <c r="J178" s="106" t="s">
        <v>110</v>
      </c>
      <c r="K178" s="106" t="s">
        <v>109</v>
      </c>
      <c r="L178" s="106" t="s">
        <v>108</v>
      </c>
      <c r="M178" s="106" t="s">
        <v>40</v>
      </c>
      <c r="N178" s="106" t="s">
        <v>58</v>
      </c>
      <c r="O178" s="93"/>
    </row>
    <row r="179" spans="1:15" x14ac:dyDescent="0.25">
      <c r="A179" s="115">
        <v>10</v>
      </c>
      <c r="B179" s="115" t="s">
        <v>423</v>
      </c>
      <c r="C179" s="115"/>
      <c r="D179" s="155">
        <v>8</v>
      </c>
      <c r="E179" s="115"/>
      <c r="F179" s="115"/>
      <c r="G179" s="115"/>
      <c r="H179" s="152"/>
      <c r="I179" s="154"/>
      <c r="J179" s="153"/>
      <c r="K179" s="152"/>
      <c r="L179" s="152"/>
      <c r="M179" s="167">
        <v>1</v>
      </c>
      <c r="N179" s="100">
        <f t="shared" ref="N179:N192" si="8">M179*D179</f>
        <v>8</v>
      </c>
      <c r="O179" s="93"/>
    </row>
    <row r="180" spans="1:15" ht="30" x14ac:dyDescent="0.25">
      <c r="A180" s="115">
        <v>20</v>
      </c>
      <c r="B180" s="114" t="s">
        <v>422</v>
      </c>
      <c r="C180" s="114"/>
      <c r="D180" s="185">
        <v>35</v>
      </c>
      <c r="E180" s="150"/>
      <c r="F180" s="150"/>
      <c r="G180" s="150"/>
      <c r="H180" s="149"/>
      <c r="I180" s="148"/>
      <c r="J180" s="147"/>
      <c r="K180" s="146"/>
      <c r="L180" s="145"/>
      <c r="M180" s="205">
        <v>1</v>
      </c>
      <c r="N180" s="100">
        <f t="shared" si="8"/>
        <v>35</v>
      </c>
      <c r="O180" s="143"/>
    </row>
    <row r="181" spans="1:15" ht="30" x14ac:dyDescent="0.25">
      <c r="A181" s="115">
        <v>30</v>
      </c>
      <c r="B181" s="114" t="s">
        <v>421</v>
      </c>
      <c r="C181" s="115"/>
      <c r="D181" s="155">
        <v>15</v>
      </c>
      <c r="E181" s="115"/>
      <c r="F181" s="115"/>
      <c r="G181" s="115"/>
      <c r="H181" s="152"/>
      <c r="I181" s="168"/>
      <c r="J181" s="167"/>
      <c r="K181" s="152"/>
      <c r="L181" s="166"/>
      <c r="M181" s="167">
        <v>1</v>
      </c>
      <c r="N181" s="100">
        <f t="shared" si="8"/>
        <v>15</v>
      </c>
      <c r="O181" s="143"/>
    </row>
    <row r="182" spans="1:15" x14ac:dyDescent="0.25">
      <c r="A182" s="115">
        <v>40</v>
      </c>
      <c r="B182" s="115" t="s">
        <v>420</v>
      </c>
      <c r="C182" s="115"/>
      <c r="D182" s="155">
        <v>10</v>
      </c>
      <c r="E182" s="115"/>
      <c r="F182" s="115"/>
      <c r="G182" s="115"/>
      <c r="H182" s="152"/>
      <c r="I182" s="168"/>
      <c r="J182" s="167"/>
      <c r="K182" s="152"/>
      <c r="L182" s="166"/>
      <c r="M182" s="167">
        <v>4</v>
      </c>
      <c r="N182" s="100">
        <f t="shared" si="8"/>
        <v>40</v>
      </c>
      <c r="O182" s="143"/>
    </row>
    <row r="183" spans="1:15" ht="30" x14ac:dyDescent="0.25">
      <c r="A183" s="115">
        <v>50</v>
      </c>
      <c r="B183" s="114" t="s">
        <v>419</v>
      </c>
      <c r="C183" s="115"/>
      <c r="D183" s="155">
        <v>35.186</v>
      </c>
      <c r="E183" s="115">
        <v>14.2</v>
      </c>
      <c r="F183" s="115" t="s">
        <v>68</v>
      </c>
      <c r="G183" s="115">
        <v>1.5</v>
      </c>
      <c r="H183" s="152" t="s">
        <v>345</v>
      </c>
      <c r="I183" s="168"/>
      <c r="J183" s="167"/>
      <c r="K183" s="152"/>
      <c r="L183" s="166"/>
      <c r="M183" s="167">
        <v>1.5</v>
      </c>
      <c r="N183" s="100">
        <f t="shared" si="8"/>
        <v>52.778999999999996</v>
      </c>
      <c r="O183" s="143"/>
    </row>
    <row r="184" spans="1:15" ht="30" x14ac:dyDescent="0.25">
      <c r="A184" s="115">
        <v>60</v>
      </c>
      <c r="B184" s="114" t="s">
        <v>418</v>
      </c>
      <c r="C184" s="115" t="s">
        <v>417</v>
      </c>
      <c r="D184" s="155">
        <v>7.2320000000000002</v>
      </c>
      <c r="E184" s="115">
        <v>14.2</v>
      </c>
      <c r="F184" s="115" t="s">
        <v>68</v>
      </c>
      <c r="G184" s="115"/>
      <c r="H184" s="152"/>
      <c r="I184" s="168"/>
      <c r="J184" s="167"/>
      <c r="K184" s="152"/>
      <c r="L184" s="166"/>
      <c r="M184" s="167">
        <v>1</v>
      </c>
      <c r="N184" s="100">
        <f t="shared" si="8"/>
        <v>7.2320000000000002</v>
      </c>
      <c r="O184" s="143"/>
    </row>
    <row r="185" spans="1:15" ht="30" x14ac:dyDescent="0.25">
      <c r="A185" s="115">
        <v>70</v>
      </c>
      <c r="B185" s="114" t="s">
        <v>416</v>
      </c>
      <c r="C185" s="115" t="s">
        <v>415</v>
      </c>
      <c r="D185" s="155">
        <v>26.582000000000001</v>
      </c>
      <c r="E185" s="115">
        <v>14.2</v>
      </c>
      <c r="F185" s="115" t="s">
        <v>68</v>
      </c>
      <c r="G185" s="115"/>
      <c r="H185" s="152"/>
      <c r="I185" s="168"/>
      <c r="J185" s="167"/>
      <c r="K185" s="152"/>
      <c r="L185" s="166"/>
      <c r="M185" s="167">
        <v>3</v>
      </c>
      <c r="N185" s="100">
        <f t="shared" si="8"/>
        <v>79.746000000000009</v>
      </c>
      <c r="O185" s="143"/>
    </row>
    <row r="186" spans="1:15" ht="30" x14ac:dyDescent="0.25">
      <c r="A186" s="115">
        <v>80</v>
      </c>
      <c r="B186" s="114" t="s">
        <v>414</v>
      </c>
      <c r="C186" s="114" t="s">
        <v>413</v>
      </c>
      <c r="D186" s="155">
        <v>12.664</v>
      </c>
      <c r="E186" s="115">
        <v>14.2</v>
      </c>
      <c r="F186" s="115" t="s">
        <v>68</v>
      </c>
      <c r="G186" s="115"/>
      <c r="H186" s="152"/>
      <c r="I186" s="168"/>
      <c r="J186" s="167"/>
      <c r="K186" s="152"/>
      <c r="L186" s="166"/>
      <c r="M186" s="167">
        <v>8</v>
      </c>
      <c r="N186" s="100">
        <f t="shared" si="8"/>
        <v>101.312</v>
      </c>
      <c r="O186" s="143"/>
    </row>
    <row r="187" spans="1:15" x14ac:dyDescent="0.25">
      <c r="A187" s="115">
        <v>90</v>
      </c>
      <c r="B187" s="115" t="s">
        <v>412</v>
      </c>
      <c r="C187" s="115" t="s">
        <v>411</v>
      </c>
      <c r="D187" s="155">
        <v>13.5</v>
      </c>
      <c r="E187" s="115">
        <v>12</v>
      </c>
      <c r="F187" s="115" t="s">
        <v>68</v>
      </c>
      <c r="G187" s="115"/>
      <c r="H187" s="152"/>
      <c r="I187" s="168"/>
      <c r="J187" s="167"/>
      <c r="K187" s="152"/>
      <c r="L187" s="166"/>
      <c r="M187" s="167">
        <v>1</v>
      </c>
      <c r="N187" s="100">
        <f t="shared" si="8"/>
        <v>13.5</v>
      </c>
      <c r="O187" s="143"/>
    </row>
    <row r="188" spans="1:15" x14ac:dyDescent="0.25">
      <c r="A188" s="115">
        <v>100</v>
      </c>
      <c r="B188" s="115" t="s">
        <v>410</v>
      </c>
      <c r="C188" s="115" t="s">
        <v>409</v>
      </c>
      <c r="D188" s="155">
        <v>3.2719999999999998</v>
      </c>
      <c r="E188" s="115">
        <v>14.2</v>
      </c>
      <c r="F188" s="115" t="s">
        <v>68</v>
      </c>
      <c r="G188" s="115"/>
      <c r="H188" s="152"/>
      <c r="I188" s="168"/>
      <c r="J188" s="167"/>
      <c r="K188" s="152"/>
      <c r="L188" s="166"/>
      <c r="M188" s="167">
        <v>1</v>
      </c>
      <c r="N188" s="100">
        <f t="shared" si="8"/>
        <v>3.2719999999999998</v>
      </c>
      <c r="O188" s="143"/>
    </row>
    <row r="189" spans="1:15" x14ac:dyDescent="0.25">
      <c r="A189" s="115">
        <v>110</v>
      </c>
      <c r="B189" s="115" t="s">
        <v>408</v>
      </c>
      <c r="C189" s="115" t="s">
        <v>407</v>
      </c>
      <c r="D189" s="155">
        <v>3.86</v>
      </c>
      <c r="E189" s="115">
        <v>14.2</v>
      </c>
      <c r="F189" s="115" t="s">
        <v>68</v>
      </c>
      <c r="G189" s="115">
        <v>14.2</v>
      </c>
      <c r="H189" s="152" t="s">
        <v>68</v>
      </c>
      <c r="I189" s="168"/>
      <c r="J189" s="167"/>
      <c r="K189" s="152"/>
      <c r="L189" s="166"/>
      <c r="M189" s="167">
        <v>1</v>
      </c>
      <c r="N189" s="100">
        <f t="shared" si="8"/>
        <v>3.86</v>
      </c>
      <c r="O189" s="143"/>
    </row>
    <row r="190" spans="1:15" ht="30" x14ac:dyDescent="0.25">
      <c r="A190" s="115">
        <v>120</v>
      </c>
      <c r="B190" s="114" t="s">
        <v>406</v>
      </c>
      <c r="C190" s="115" t="s">
        <v>405</v>
      </c>
      <c r="D190" s="155">
        <v>5.99</v>
      </c>
      <c r="E190" s="115">
        <v>14.2</v>
      </c>
      <c r="F190" s="115" t="s">
        <v>68</v>
      </c>
      <c r="G190" s="115">
        <v>14.2</v>
      </c>
      <c r="H190" s="152" t="s">
        <v>68</v>
      </c>
      <c r="I190" s="168"/>
      <c r="J190" s="167"/>
      <c r="K190" s="152"/>
      <c r="L190" s="152"/>
      <c r="M190" s="167">
        <v>1</v>
      </c>
      <c r="N190" s="100">
        <f t="shared" si="8"/>
        <v>5.99</v>
      </c>
      <c r="O190" s="143"/>
    </row>
    <row r="191" spans="1:15" ht="45" x14ac:dyDescent="0.25">
      <c r="A191" s="115">
        <v>130</v>
      </c>
      <c r="B191" s="114" t="s">
        <v>404</v>
      </c>
      <c r="C191" s="114" t="s">
        <v>403</v>
      </c>
      <c r="D191" s="155">
        <v>2.64</v>
      </c>
      <c r="E191" s="115">
        <v>14.2</v>
      </c>
      <c r="F191" s="115" t="s">
        <v>68</v>
      </c>
      <c r="G191" s="115">
        <v>10</v>
      </c>
      <c r="H191" s="152" t="s">
        <v>68</v>
      </c>
      <c r="I191" s="168"/>
      <c r="J191" s="167"/>
      <c r="K191" s="152"/>
      <c r="L191" s="152"/>
      <c r="M191" s="167">
        <v>3</v>
      </c>
      <c r="N191" s="100">
        <f t="shared" si="8"/>
        <v>7.92</v>
      </c>
      <c r="O191" s="143"/>
    </row>
    <row r="192" spans="1:15" x14ac:dyDescent="0.25">
      <c r="A192" s="115">
        <v>140</v>
      </c>
      <c r="B192" s="115" t="s">
        <v>402</v>
      </c>
      <c r="C192" s="115" t="s">
        <v>401</v>
      </c>
      <c r="D192" s="155">
        <v>0.05</v>
      </c>
      <c r="E192" s="115"/>
      <c r="F192" s="115"/>
      <c r="G192" s="115"/>
      <c r="H192" s="152"/>
      <c r="I192" s="168"/>
      <c r="J192" s="167"/>
      <c r="K192" s="152"/>
      <c r="L192" s="152"/>
      <c r="M192" s="167">
        <v>4</v>
      </c>
      <c r="N192" s="100">
        <f t="shared" si="8"/>
        <v>0.2</v>
      </c>
      <c r="O192" s="143"/>
    </row>
    <row r="193" spans="1:15" x14ac:dyDescent="0.25">
      <c r="A193" s="98"/>
      <c r="B193" s="95"/>
      <c r="C193" s="95"/>
      <c r="D193" s="95"/>
      <c r="E193" s="95"/>
      <c r="F193" s="95"/>
      <c r="G193" s="95"/>
      <c r="H193" s="95"/>
      <c r="I193" s="95"/>
      <c r="J193" s="95"/>
      <c r="K193" s="95"/>
      <c r="L193" s="95"/>
      <c r="M193" s="106" t="s">
        <v>58</v>
      </c>
      <c r="N193" s="96">
        <f>SUM(N179:N192)</f>
        <v>373.81100000000004</v>
      </c>
      <c r="O193" s="93"/>
    </row>
    <row r="194" spans="1:15" x14ac:dyDescent="0.25">
      <c r="A194" s="107"/>
      <c r="B194" s="94"/>
      <c r="C194" s="94"/>
      <c r="D194" s="94"/>
      <c r="E194" s="94"/>
      <c r="F194" s="94"/>
      <c r="G194" s="94"/>
      <c r="H194" s="94"/>
      <c r="I194" s="94"/>
      <c r="J194" s="94"/>
      <c r="K194" s="94"/>
      <c r="L194" s="94"/>
      <c r="M194" s="94"/>
      <c r="N194" s="94"/>
      <c r="O194" s="93"/>
    </row>
    <row r="195" spans="1:15" x14ac:dyDescent="0.25">
      <c r="A195" s="106" t="s">
        <v>67</v>
      </c>
      <c r="B195" s="106" t="s">
        <v>106</v>
      </c>
      <c r="C195" s="106" t="s">
        <v>66</v>
      </c>
      <c r="D195" s="106" t="s">
        <v>65</v>
      </c>
      <c r="E195" s="106" t="s">
        <v>64</v>
      </c>
      <c r="F195" s="106" t="s">
        <v>40</v>
      </c>
      <c r="G195" s="106" t="s">
        <v>105</v>
      </c>
      <c r="H195" s="106" t="s">
        <v>104</v>
      </c>
      <c r="I195" s="106" t="s">
        <v>58</v>
      </c>
      <c r="J195" s="95"/>
      <c r="K195" s="95"/>
      <c r="L195" s="95"/>
      <c r="M195" s="95"/>
      <c r="N195" s="95"/>
      <c r="O195" s="120"/>
    </row>
    <row r="196" spans="1:15" ht="30" x14ac:dyDescent="0.25">
      <c r="A196" s="115">
        <v>10</v>
      </c>
      <c r="B196" s="115" t="s">
        <v>103</v>
      </c>
      <c r="C196" s="114" t="s">
        <v>400</v>
      </c>
      <c r="D196" s="197">
        <v>0.15</v>
      </c>
      <c r="E196" s="115" t="s">
        <v>101</v>
      </c>
      <c r="F196" s="163">
        <v>2</v>
      </c>
      <c r="G196" s="163"/>
      <c r="H196" s="163"/>
      <c r="I196" s="100">
        <f t="shared" ref="I196:I211" si="9">IF(H196="",D196*F196,D196*F196*H196)</f>
        <v>0.3</v>
      </c>
      <c r="J196" s="94"/>
      <c r="K196" s="94"/>
      <c r="L196" s="94"/>
      <c r="M196" s="94"/>
      <c r="N196" s="94"/>
      <c r="O196" s="93"/>
    </row>
    <row r="197" spans="1:15" x14ac:dyDescent="0.25">
      <c r="A197" s="115">
        <v>20</v>
      </c>
      <c r="B197" s="198" t="s">
        <v>95</v>
      </c>
      <c r="C197" s="173" t="s">
        <v>399</v>
      </c>
      <c r="D197" s="197">
        <v>0.19</v>
      </c>
      <c r="E197" s="198" t="s">
        <v>64</v>
      </c>
      <c r="F197" s="163">
        <v>1</v>
      </c>
      <c r="G197" s="115"/>
      <c r="H197" s="115"/>
      <c r="I197" s="100">
        <f t="shared" si="9"/>
        <v>0.19</v>
      </c>
      <c r="J197" s="94"/>
      <c r="K197" s="94"/>
      <c r="L197" s="94"/>
      <c r="M197" s="94"/>
      <c r="N197" s="94"/>
      <c r="O197" s="93"/>
    </row>
    <row r="198" spans="1:15" x14ac:dyDescent="0.25">
      <c r="A198" s="115">
        <v>30</v>
      </c>
      <c r="B198" s="198" t="s">
        <v>87</v>
      </c>
      <c r="C198" s="173" t="s">
        <v>398</v>
      </c>
      <c r="D198" s="197">
        <v>0.06</v>
      </c>
      <c r="E198" s="198" t="s">
        <v>64</v>
      </c>
      <c r="F198" s="163">
        <v>1</v>
      </c>
      <c r="G198" s="115"/>
      <c r="H198" s="115"/>
      <c r="I198" s="100">
        <f t="shared" si="9"/>
        <v>0.06</v>
      </c>
      <c r="J198" s="94"/>
      <c r="K198" s="94"/>
      <c r="L198" s="94"/>
      <c r="M198" s="94"/>
      <c r="N198" s="94"/>
      <c r="O198" s="93"/>
    </row>
    <row r="199" spans="1:15" x14ac:dyDescent="0.25">
      <c r="A199" s="115">
        <v>40</v>
      </c>
      <c r="B199" s="198" t="s">
        <v>87</v>
      </c>
      <c r="C199" s="173" t="s">
        <v>397</v>
      </c>
      <c r="D199" s="197">
        <v>0.06</v>
      </c>
      <c r="E199" s="198" t="s">
        <v>64</v>
      </c>
      <c r="F199" s="163">
        <v>1</v>
      </c>
      <c r="G199" s="115"/>
      <c r="H199" s="115"/>
      <c r="I199" s="100">
        <f t="shared" si="9"/>
        <v>0.06</v>
      </c>
      <c r="J199" s="94"/>
      <c r="K199" s="94"/>
      <c r="L199" s="94"/>
      <c r="M199" s="94"/>
      <c r="N199" s="94"/>
      <c r="O199" s="93"/>
    </row>
    <row r="200" spans="1:15" ht="30" x14ac:dyDescent="0.25">
      <c r="A200" s="115">
        <v>50</v>
      </c>
      <c r="B200" s="115" t="s">
        <v>163</v>
      </c>
      <c r="C200" s="177" t="s">
        <v>396</v>
      </c>
      <c r="D200" s="197">
        <v>0.5</v>
      </c>
      <c r="E200" s="115" t="s">
        <v>64</v>
      </c>
      <c r="F200" s="163">
        <v>1</v>
      </c>
      <c r="G200" s="115"/>
      <c r="H200" s="115"/>
      <c r="I200" s="100">
        <f t="shared" si="9"/>
        <v>0.5</v>
      </c>
      <c r="J200" s="94"/>
      <c r="K200" s="94"/>
      <c r="L200" s="94"/>
      <c r="M200" s="94"/>
      <c r="N200" s="94"/>
      <c r="O200" s="93"/>
    </row>
    <row r="201" spans="1:15" x14ac:dyDescent="0.25">
      <c r="A201" s="115">
        <v>60</v>
      </c>
      <c r="B201" s="115" t="s">
        <v>162</v>
      </c>
      <c r="C201" s="177" t="s">
        <v>325</v>
      </c>
      <c r="D201" s="197">
        <v>0.25</v>
      </c>
      <c r="E201" s="115" t="s">
        <v>64</v>
      </c>
      <c r="F201" s="163">
        <v>1</v>
      </c>
      <c r="G201" s="115"/>
      <c r="H201" s="115"/>
      <c r="I201" s="100">
        <f t="shared" si="9"/>
        <v>0.25</v>
      </c>
      <c r="J201" s="94"/>
      <c r="K201" s="94"/>
      <c r="L201" s="94"/>
      <c r="M201" s="94"/>
      <c r="N201" s="94"/>
      <c r="O201" s="93"/>
    </row>
    <row r="202" spans="1:15" x14ac:dyDescent="0.25">
      <c r="A202" s="115">
        <v>70</v>
      </c>
      <c r="B202" s="198" t="s">
        <v>87</v>
      </c>
      <c r="C202" s="177" t="s">
        <v>395</v>
      </c>
      <c r="D202" s="197">
        <v>0.06</v>
      </c>
      <c r="E202" s="198" t="s">
        <v>64</v>
      </c>
      <c r="F202" s="163">
        <v>1</v>
      </c>
      <c r="G202" s="115"/>
      <c r="H202" s="115"/>
      <c r="I202" s="100">
        <f t="shared" si="9"/>
        <v>0.06</v>
      </c>
      <c r="J202" s="94"/>
      <c r="K202" s="94"/>
      <c r="L202" s="94"/>
      <c r="M202" s="94"/>
      <c r="N202" s="94"/>
      <c r="O202" s="93"/>
    </row>
    <row r="203" spans="1:15" ht="30" x14ac:dyDescent="0.25">
      <c r="A203" s="115">
        <v>80</v>
      </c>
      <c r="B203" s="115" t="s">
        <v>163</v>
      </c>
      <c r="C203" s="177" t="s">
        <v>394</v>
      </c>
      <c r="D203" s="197">
        <v>0.5</v>
      </c>
      <c r="E203" s="115" t="s">
        <v>64</v>
      </c>
      <c r="F203" s="163">
        <v>2</v>
      </c>
      <c r="G203" s="115"/>
      <c r="H203" s="115"/>
      <c r="I203" s="100">
        <f t="shared" si="9"/>
        <v>1</v>
      </c>
      <c r="J203" s="94"/>
      <c r="K203" s="94"/>
      <c r="L203" s="94"/>
      <c r="M203" s="94"/>
      <c r="N203" s="94"/>
      <c r="O203" s="93"/>
    </row>
    <row r="204" spans="1:15" x14ac:dyDescent="0.25">
      <c r="A204" s="115">
        <v>90</v>
      </c>
      <c r="B204" s="115" t="s">
        <v>162</v>
      </c>
      <c r="C204" s="177" t="s">
        <v>325</v>
      </c>
      <c r="D204" s="197">
        <v>0.25</v>
      </c>
      <c r="E204" s="115" t="s">
        <v>64</v>
      </c>
      <c r="F204" s="163">
        <v>2</v>
      </c>
      <c r="G204" s="115"/>
      <c r="H204" s="115"/>
      <c r="I204" s="100">
        <f t="shared" si="9"/>
        <v>0.5</v>
      </c>
      <c r="J204" s="94"/>
      <c r="K204" s="94"/>
      <c r="L204" s="94"/>
      <c r="M204" s="94"/>
      <c r="N204" s="94"/>
      <c r="O204" s="93"/>
    </row>
    <row r="205" spans="1:15" x14ac:dyDescent="0.25">
      <c r="A205" s="115">
        <v>100</v>
      </c>
      <c r="B205" s="198" t="s">
        <v>145</v>
      </c>
      <c r="C205" s="173" t="s">
        <v>393</v>
      </c>
      <c r="D205" s="197">
        <v>0.13</v>
      </c>
      <c r="E205" s="198" t="s">
        <v>64</v>
      </c>
      <c r="F205" s="163">
        <v>4</v>
      </c>
      <c r="G205" s="115"/>
      <c r="H205" s="115"/>
      <c r="I205" s="100">
        <f t="shared" si="9"/>
        <v>0.52</v>
      </c>
      <c r="J205" s="94"/>
      <c r="K205" s="94"/>
      <c r="L205" s="94"/>
      <c r="M205" s="94"/>
      <c r="N205" s="94"/>
      <c r="O205" s="93"/>
    </row>
    <row r="206" spans="1:15" x14ac:dyDescent="0.25">
      <c r="A206" s="115">
        <v>110</v>
      </c>
      <c r="B206" s="198" t="s">
        <v>145</v>
      </c>
      <c r="C206" s="173" t="s">
        <v>392</v>
      </c>
      <c r="D206" s="197">
        <v>0.13</v>
      </c>
      <c r="E206" s="198" t="s">
        <v>64</v>
      </c>
      <c r="F206" s="163">
        <v>4</v>
      </c>
      <c r="G206" s="115"/>
      <c r="H206" s="115"/>
      <c r="I206" s="100">
        <f t="shared" si="9"/>
        <v>0.52</v>
      </c>
      <c r="J206" s="94"/>
      <c r="K206" s="94"/>
      <c r="L206" s="94"/>
      <c r="M206" s="94"/>
      <c r="N206" s="94"/>
      <c r="O206" s="93"/>
    </row>
    <row r="207" spans="1:15" x14ac:dyDescent="0.25">
      <c r="A207" s="115">
        <v>120</v>
      </c>
      <c r="B207" s="198" t="s">
        <v>145</v>
      </c>
      <c r="C207" s="115" t="s">
        <v>391</v>
      </c>
      <c r="D207" s="197">
        <v>0.13</v>
      </c>
      <c r="E207" s="115" t="s">
        <v>64</v>
      </c>
      <c r="F207" s="163">
        <v>1</v>
      </c>
      <c r="G207" s="115"/>
      <c r="H207" s="115"/>
      <c r="I207" s="100">
        <f t="shared" si="9"/>
        <v>0.13</v>
      </c>
      <c r="J207" s="94"/>
      <c r="K207" s="94"/>
      <c r="L207" s="94"/>
      <c r="M207" s="94"/>
      <c r="N207" s="94"/>
      <c r="O207" s="93"/>
    </row>
    <row r="208" spans="1:15" ht="30" x14ac:dyDescent="0.25">
      <c r="A208" s="115">
        <v>130</v>
      </c>
      <c r="B208" s="115" t="s">
        <v>316</v>
      </c>
      <c r="C208" s="114" t="s">
        <v>390</v>
      </c>
      <c r="D208" s="197">
        <v>0.6</v>
      </c>
      <c r="E208" s="115" t="s">
        <v>64</v>
      </c>
      <c r="F208" s="163">
        <v>4</v>
      </c>
      <c r="G208" s="163"/>
      <c r="H208" s="163"/>
      <c r="I208" s="100">
        <f t="shared" si="9"/>
        <v>2.4</v>
      </c>
      <c r="J208" s="94"/>
      <c r="K208" s="94"/>
      <c r="L208" s="94"/>
      <c r="M208" s="94"/>
      <c r="N208" s="94"/>
      <c r="O208" s="93"/>
    </row>
    <row r="209" spans="1:15" x14ac:dyDescent="0.25">
      <c r="A209" s="115">
        <v>140</v>
      </c>
      <c r="B209" s="198" t="s">
        <v>87</v>
      </c>
      <c r="C209" s="114" t="s">
        <v>389</v>
      </c>
      <c r="D209" s="197">
        <v>0.06</v>
      </c>
      <c r="E209" s="115" t="s">
        <v>64</v>
      </c>
      <c r="F209" s="163">
        <v>1</v>
      </c>
      <c r="G209" s="163"/>
      <c r="H209" s="163"/>
      <c r="I209" s="100">
        <f t="shared" si="9"/>
        <v>0.06</v>
      </c>
      <c r="J209" s="94"/>
      <c r="K209" s="94"/>
      <c r="L209" s="94"/>
      <c r="M209" s="94"/>
      <c r="N209" s="94"/>
      <c r="O209" s="93"/>
    </row>
    <row r="210" spans="1:15" x14ac:dyDescent="0.25">
      <c r="A210" s="115">
        <v>150</v>
      </c>
      <c r="B210" s="115" t="s">
        <v>85</v>
      </c>
      <c r="C210" s="114" t="s">
        <v>388</v>
      </c>
      <c r="D210" s="197">
        <v>0.75</v>
      </c>
      <c r="E210" s="115" t="s">
        <v>64</v>
      </c>
      <c r="F210" s="163">
        <v>1</v>
      </c>
      <c r="G210" s="163"/>
      <c r="H210" s="163"/>
      <c r="I210" s="100">
        <f t="shared" si="9"/>
        <v>0.75</v>
      </c>
      <c r="J210" s="94"/>
      <c r="K210" s="94"/>
      <c r="L210" s="94"/>
      <c r="M210" s="94"/>
      <c r="N210" s="94"/>
      <c r="O210" s="93"/>
    </row>
    <row r="211" spans="1:15" x14ac:dyDescent="0.25">
      <c r="A211" s="115">
        <v>160</v>
      </c>
      <c r="B211" s="115" t="s">
        <v>136</v>
      </c>
      <c r="C211" s="114" t="s">
        <v>387</v>
      </c>
      <c r="D211" s="197">
        <v>1.5</v>
      </c>
      <c r="E211" s="115" t="s">
        <v>64</v>
      </c>
      <c r="F211" s="163">
        <v>15</v>
      </c>
      <c r="G211" s="163"/>
      <c r="H211" s="163"/>
      <c r="I211" s="100">
        <f t="shared" si="9"/>
        <v>22.5</v>
      </c>
      <c r="J211" s="99"/>
      <c r="K211" s="99"/>
      <c r="L211" s="99"/>
      <c r="M211" s="99"/>
      <c r="N211" s="99"/>
      <c r="O211" s="130"/>
    </row>
    <row r="212" spans="1:15" x14ac:dyDescent="0.25">
      <c r="A212" s="98"/>
      <c r="B212" s="95"/>
      <c r="C212" s="95"/>
      <c r="D212" s="95"/>
      <c r="E212" s="95"/>
      <c r="F212" s="95"/>
      <c r="G212" s="95"/>
      <c r="H212" s="97" t="s">
        <v>58</v>
      </c>
      <c r="I212" s="96">
        <f>SUM(I196:I211)</f>
        <v>29.8</v>
      </c>
      <c r="J212" s="94"/>
      <c r="K212" s="94"/>
      <c r="L212" s="94"/>
      <c r="M212" s="94"/>
      <c r="N212" s="94"/>
      <c r="O212" s="93"/>
    </row>
    <row r="213" spans="1:15" x14ac:dyDescent="0.25">
      <c r="A213" s="107"/>
      <c r="B213" s="94"/>
      <c r="C213" s="94"/>
      <c r="D213" s="94"/>
      <c r="E213" s="94"/>
      <c r="F213" s="94"/>
      <c r="G213" s="94"/>
      <c r="H213" s="94"/>
      <c r="I213" s="94"/>
      <c r="J213" s="94"/>
      <c r="K213" s="94"/>
      <c r="L213" s="94"/>
      <c r="M213" s="94"/>
      <c r="N213" s="94"/>
      <c r="O213" s="93"/>
    </row>
    <row r="214" spans="1:15" x14ac:dyDescent="0.25">
      <c r="A214" s="106" t="s">
        <v>67</v>
      </c>
      <c r="B214" s="106" t="s">
        <v>82</v>
      </c>
      <c r="C214" s="106" t="s">
        <v>66</v>
      </c>
      <c r="D214" s="106" t="s">
        <v>65</v>
      </c>
      <c r="E214" s="106" t="s">
        <v>81</v>
      </c>
      <c r="F214" s="106" t="s">
        <v>80</v>
      </c>
      <c r="G214" s="106" t="s">
        <v>79</v>
      </c>
      <c r="H214" s="106" t="s">
        <v>78</v>
      </c>
      <c r="I214" s="106" t="s">
        <v>40</v>
      </c>
      <c r="J214" s="106" t="s">
        <v>58</v>
      </c>
      <c r="K214" s="94"/>
      <c r="L214" s="94"/>
      <c r="M214" s="94"/>
      <c r="N214" s="94"/>
      <c r="O214" s="93"/>
    </row>
    <row r="215" spans="1:15" x14ac:dyDescent="0.25">
      <c r="A215" s="115">
        <v>10</v>
      </c>
      <c r="B215" s="115" t="s">
        <v>72</v>
      </c>
      <c r="C215" s="115" t="s">
        <v>386</v>
      </c>
      <c r="D215" s="197">
        <v>0.04</v>
      </c>
      <c r="E215" s="115">
        <v>6</v>
      </c>
      <c r="F215" s="196" t="s">
        <v>68</v>
      </c>
      <c r="G215" s="115">
        <v>20</v>
      </c>
      <c r="H215" s="173" t="s">
        <v>68</v>
      </c>
      <c r="I215" s="172">
        <v>1</v>
      </c>
      <c r="J215" s="100">
        <f t="shared" ref="J215:J220" si="10">I215*D215</f>
        <v>0.04</v>
      </c>
      <c r="K215" s="94"/>
      <c r="L215" s="94"/>
      <c r="M215" s="94"/>
      <c r="N215" s="94"/>
      <c r="O215" s="93"/>
    </row>
    <row r="216" spans="1:15" x14ac:dyDescent="0.25">
      <c r="A216" s="115">
        <v>20</v>
      </c>
      <c r="B216" s="115" t="s">
        <v>75</v>
      </c>
      <c r="C216" s="115" t="s">
        <v>282</v>
      </c>
      <c r="D216" s="197">
        <v>0.03</v>
      </c>
      <c r="E216" s="115">
        <v>6</v>
      </c>
      <c r="F216" s="196" t="s">
        <v>68</v>
      </c>
      <c r="G216" s="115"/>
      <c r="H216" s="173"/>
      <c r="I216" s="172">
        <v>1</v>
      </c>
      <c r="J216" s="100">
        <f t="shared" si="10"/>
        <v>0.03</v>
      </c>
      <c r="K216" s="94"/>
      <c r="L216" s="94"/>
      <c r="M216" s="94"/>
      <c r="N216" s="94"/>
      <c r="O216" s="93"/>
    </row>
    <row r="217" spans="1:15" x14ac:dyDescent="0.25">
      <c r="A217" s="115">
        <v>30</v>
      </c>
      <c r="B217" s="115" t="s">
        <v>74</v>
      </c>
      <c r="C217" s="115" t="s">
        <v>281</v>
      </c>
      <c r="D217" s="197">
        <v>0.01</v>
      </c>
      <c r="E217" s="115">
        <v>6</v>
      </c>
      <c r="F217" s="196" t="s">
        <v>68</v>
      </c>
      <c r="G217" s="115"/>
      <c r="H217" s="173"/>
      <c r="I217" s="172">
        <v>2</v>
      </c>
      <c r="J217" s="100">
        <f t="shared" si="10"/>
        <v>0.02</v>
      </c>
      <c r="K217" s="94"/>
      <c r="L217" s="94"/>
      <c r="M217" s="94"/>
      <c r="N217" s="94"/>
      <c r="O217" s="93"/>
    </row>
    <row r="218" spans="1:15" x14ac:dyDescent="0.25">
      <c r="A218" s="115">
        <v>40</v>
      </c>
      <c r="B218" s="115" t="s">
        <v>72</v>
      </c>
      <c r="C218" s="115" t="s">
        <v>386</v>
      </c>
      <c r="D218" s="178">
        <v>7.0000000000000007E-2</v>
      </c>
      <c r="E218" s="114">
        <v>6</v>
      </c>
      <c r="F218" s="158" t="s">
        <v>68</v>
      </c>
      <c r="G218" s="114">
        <v>30</v>
      </c>
      <c r="H218" s="177" t="s">
        <v>68</v>
      </c>
      <c r="I218" s="156">
        <v>2</v>
      </c>
      <c r="J218" s="100">
        <f t="shared" si="10"/>
        <v>0.14000000000000001</v>
      </c>
      <c r="K218" s="142"/>
      <c r="L218" s="142"/>
      <c r="M218" s="142"/>
      <c r="N218" s="142"/>
      <c r="O218" s="93"/>
    </row>
    <row r="219" spans="1:15" x14ac:dyDescent="0.25">
      <c r="A219" s="115">
        <v>50</v>
      </c>
      <c r="B219" s="115" t="s">
        <v>75</v>
      </c>
      <c r="C219" s="115" t="s">
        <v>282</v>
      </c>
      <c r="D219" s="197">
        <v>0.03</v>
      </c>
      <c r="E219" s="115">
        <v>6</v>
      </c>
      <c r="F219" s="196" t="s">
        <v>68</v>
      </c>
      <c r="G219" s="114"/>
      <c r="H219" s="177"/>
      <c r="I219" s="156">
        <v>2</v>
      </c>
      <c r="J219" s="100">
        <f t="shared" si="10"/>
        <v>0.06</v>
      </c>
      <c r="K219" s="142"/>
      <c r="L219" s="142"/>
      <c r="M219" s="142"/>
      <c r="N219" s="142"/>
      <c r="O219" s="93"/>
    </row>
    <row r="220" spans="1:15" x14ac:dyDescent="0.25">
      <c r="A220" s="115">
        <v>60</v>
      </c>
      <c r="B220" s="115" t="s">
        <v>74</v>
      </c>
      <c r="C220" s="115" t="s">
        <v>281</v>
      </c>
      <c r="D220" s="197">
        <v>0.01</v>
      </c>
      <c r="E220" s="115">
        <v>6</v>
      </c>
      <c r="F220" s="196" t="s">
        <v>68</v>
      </c>
      <c r="G220" s="115"/>
      <c r="H220" s="173"/>
      <c r="I220" s="172">
        <v>2</v>
      </c>
      <c r="J220" s="100">
        <f t="shared" si="10"/>
        <v>0.02</v>
      </c>
      <c r="K220" s="142"/>
      <c r="L220" s="142"/>
      <c r="M220" s="142"/>
      <c r="N220" s="142"/>
      <c r="O220" s="93"/>
    </row>
    <row r="221" spans="1:15" x14ac:dyDescent="0.25">
      <c r="A221" s="98"/>
      <c r="B221" s="95"/>
      <c r="C221" s="95"/>
      <c r="D221" s="95"/>
      <c r="E221" s="95"/>
      <c r="F221" s="95"/>
      <c r="G221" s="95"/>
      <c r="H221" s="95"/>
      <c r="I221" s="97" t="s">
        <v>58</v>
      </c>
      <c r="J221" s="96">
        <f>SUM(J215:J220)</f>
        <v>0.31000000000000005</v>
      </c>
      <c r="K221" s="94"/>
      <c r="L221" s="94"/>
      <c r="M221" s="94"/>
      <c r="N221" s="94"/>
      <c r="O221" s="93"/>
    </row>
    <row r="222" spans="1:15" x14ac:dyDescent="0.25">
      <c r="A222" s="107"/>
      <c r="B222" s="94"/>
      <c r="C222" s="94"/>
      <c r="D222" s="94"/>
      <c r="E222" s="94"/>
      <c r="F222" s="94"/>
      <c r="G222" s="94"/>
      <c r="H222" s="94"/>
      <c r="I222" s="94"/>
      <c r="J222" s="94"/>
      <c r="K222" s="94"/>
      <c r="L222" s="94"/>
      <c r="M222" s="94"/>
      <c r="N222" s="94"/>
      <c r="O222" s="93"/>
    </row>
    <row r="223" spans="1:15" x14ac:dyDescent="0.25">
      <c r="A223" s="106" t="s">
        <v>67</v>
      </c>
      <c r="B223" s="106" t="s">
        <v>13</v>
      </c>
      <c r="C223" s="106" t="s">
        <v>66</v>
      </c>
      <c r="D223" s="106" t="s">
        <v>65</v>
      </c>
      <c r="E223" s="106" t="s">
        <v>64</v>
      </c>
      <c r="F223" s="106" t="s">
        <v>40</v>
      </c>
      <c r="G223" s="106" t="s">
        <v>63</v>
      </c>
      <c r="H223" s="106" t="s">
        <v>62</v>
      </c>
      <c r="I223" s="106" t="s">
        <v>58</v>
      </c>
      <c r="J223" s="95"/>
      <c r="K223" s="94"/>
      <c r="L223" s="94"/>
      <c r="M223" s="94"/>
      <c r="N223" s="94"/>
      <c r="O223" s="93"/>
    </row>
    <row r="224" spans="1:15" ht="30" x14ac:dyDescent="0.25">
      <c r="A224" s="115">
        <v>10</v>
      </c>
      <c r="B224" s="115" t="s">
        <v>61</v>
      </c>
      <c r="C224" s="114" t="s">
        <v>385</v>
      </c>
      <c r="D224" s="155">
        <v>500</v>
      </c>
      <c r="E224" s="115" t="s">
        <v>59</v>
      </c>
      <c r="F224" s="115">
        <v>5</v>
      </c>
      <c r="G224" s="115">
        <v>3000</v>
      </c>
      <c r="H224" s="115">
        <v>1</v>
      </c>
      <c r="I224" s="100">
        <f>D224*F224/G224*H224</f>
        <v>0.83333333333333337</v>
      </c>
      <c r="J224" s="99"/>
      <c r="K224" s="94"/>
      <c r="L224" s="94"/>
      <c r="M224" s="94"/>
      <c r="N224" s="94"/>
      <c r="O224" s="93"/>
    </row>
    <row r="225" spans="1:15" x14ac:dyDescent="0.25">
      <c r="A225" s="98"/>
      <c r="B225" s="95"/>
      <c r="C225" s="95"/>
      <c r="D225" s="95"/>
      <c r="E225" s="95"/>
      <c r="F225" s="95"/>
      <c r="G225" s="95"/>
      <c r="H225" s="97" t="s">
        <v>58</v>
      </c>
      <c r="I225" s="96">
        <f>SUM(I224)</f>
        <v>0.83333333333333337</v>
      </c>
      <c r="J225" s="95"/>
      <c r="K225" s="94"/>
      <c r="L225" s="94"/>
      <c r="M225" s="94"/>
      <c r="N225" s="94"/>
      <c r="O225" s="93"/>
    </row>
    <row r="226" spans="1:15" ht="15.75" thickBot="1" x14ac:dyDescent="0.3">
      <c r="A226" s="92"/>
      <c r="B226" s="91"/>
      <c r="C226" s="91"/>
      <c r="D226" s="91"/>
      <c r="E226" s="91"/>
      <c r="F226" s="91"/>
      <c r="G226" s="91"/>
      <c r="H226" s="91"/>
      <c r="I226" s="91"/>
      <c r="J226" s="91"/>
      <c r="K226" s="91"/>
      <c r="L226" s="91"/>
      <c r="M226" s="91"/>
      <c r="N226" s="91"/>
      <c r="O226" s="90"/>
    </row>
    <row r="227" spans="1:15" ht="15.75" thickBot="1" x14ac:dyDescent="0.3"/>
    <row r="228" spans="1:15" x14ac:dyDescent="0.25">
      <c r="A228" s="141"/>
      <c r="B228" s="140"/>
      <c r="C228" s="140"/>
      <c r="D228" s="140"/>
      <c r="E228" s="140"/>
      <c r="F228" s="140"/>
      <c r="G228" s="140"/>
      <c r="H228" s="140"/>
      <c r="I228" s="140"/>
      <c r="J228" s="140"/>
      <c r="K228" s="140"/>
      <c r="L228" s="140"/>
      <c r="M228" s="140"/>
      <c r="N228" s="140"/>
      <c r="O228" s="139"/>
    </row>
    <row r="229" spans="1:15" x14ac:dyDescent="0.25">
      <c r="A229" s="106" t="s">
        <v>57</v>
      </c>
      <c r="B229" s="133" t="s">
        <v>127</v>
      </c>
      <c r="C229" s="94"/>
      <c r="D229" s="94"/>
      <c r="E229" s="94"/>
      <c r="F229" s="94"/>
      <c r="G229" s="94"/>
      <c r="H229" s="94"/>
      <c r="I229" s="94"/>
      <c r="J229" s="106" t="s">
        <v>51</v>
      </c>
      <c r="K229" s="138">
        <v>81</v>
      </c>
      <c r="L229" s="94"/>
      <c r="M229" s="106" t="s">
        <v>126</v>
      </c>
      <c r="N229" s="137">
        <f>E243+EN_A0005_f+EN_A0005_m+EN_A0005_p</f>
        <v>92.885188480000011</v>
      </c>
      <c r="O229" s="93"/>
    </row>
    <row r="230" spans="1:15" x14ac:dyDescent="0.25">
      <c r="A230" s="106" t="s">
        <v>125</v>
      </c>
      <c r="B230" s="133" t="s">
        <v>21</v>
      </c>
      <c r="C230" s="94"/>
      <c r="D230" s="94"/>
      <c r="E230" s="94"/>
      <c r="F230" s="94"/>
      <c r="G230" s="94"/>
      <c r="H230" s="94"/>
      <c r="I230" s="94"/>
      <c r="J230" s="94"/>
      <c r="K230" s="94"/>
      <c r="L230" s="94"/>
      <c r="M230" s="106" t="s">
        <v>124</v>
      </c>
      <c r="N230" s="136">
        <v>1</v>
      </c>
      <c r="O230" s="93"/>
    </row>
    <row r="231" spans="1:15" x14ac:dyDescent="0.25">
      <c r="A231" s="106" t="s">
        <v>123</v>
      </c>
      <c r="B231" s="99" t="s">
        <v>30</v>
      </c>
      <c r="C231" s="94"/>
      <c r="D231" s="94"/>
      <c r="E231" s="94"/>
      <c r="F231" s="94"/>
      <c r="G231" s="94"/>
      <c r="H231" s="94"/>
      <c r="I231" s="94"/>
      <c r="J231" s="134" t="s">
        <v>122</v>
      </c>
      <c r="K231" s="94"/>
      <c r="L231" s="94"/>
      <c r="M231" s="94"/>
      <c r="N231" s="94"/>
      <c r="O231" s="93"/>
    </row>
    <row r="232" spans="1:15" x14ac:dyDescent="0.25">
      <c r="A232" s="106" t="s">
        <v>121</v>
      </c>
      <c r="B232" s="135" t="s">
        <v>384</v>
      </c>
      <c r="C232" s="94"/>
      <c r="D232" s="94"/>
      <c r="E232" s="94"/>
      <c r="F232" s="94"/>
      <c r="G232" s="94"/>
      <c r="H232" s="94"/>
      <c r="I232" s="94"/>
      <c r="J232" s="134" t="s">
        <v>119</v>
      </c>
      <c r="K232" s="94"/>
      <c r="L232" s="94"/>
      <c r="M232" s="106" t="s">
        <v>118</v>
      </c>
      <c r="N232" s="100">
        <f>N229*N230</f>
        <v>92.885188480000011</v>
      </c>
      <c r="O232" s="93"/>
    </row>
    <row r="233" spans="1:15" x14ac:dyDescent="0.25">
      <c r="A233" s="106" t="s">
        <v>117</v>
      </c>
      <c r="B233" s="133" t="s">
        <v>23</v>
      </c>
      <c r="C233" s="94"/>
      <c r="D233" s="94"/>
      <c r="E233" s="94"/>
      <c r="F233" s="94"/>
      <c r="G233" s="94"/>
      <c r="H233" s="94"/>
      <c r="I233" s="94"/>
      <c r="J233" s="134" t="s">
        <v>116</v>
      </c>
      <c r="K233" s="94"/>
      <c r="L233" s="94"/>
      <c r="M233" s="94"/>
      <c r="N233" s="94"/>
      <c r="O233" s="93"/>
    </row>
    <row r="234" spans="1:15" x14ac:dyDescent="0.25">
      <c r="A234" s="106" t="s">
        <v>115</v>
      </c>
      <c r="B234" s="133"/>
      <c r="C234" s="94"/>
      <c r="D234" s="94"/>
      <c r="E234" s="94"/>
      <c r="F234" s="94"/>
      <c r="G234" s="94"/>
      <c r="H234" s="94"/>
      <c r="I234" s="94"/>
      <c r="J234" s="94"/>
      <c r="K234" s="94"/>
      <c r="L234" s="94"/>
      <c r="M234" s="94"/>
      <c r="N234" s="94"/>
      <c r="O234" s="93"/>
    </row>
    <row r="235" spans="1:15" x14ac:dyDescent="0.25">
      <c r="A235" s="107"/>
      <c r="B235" s="94"/>
      <c r="C235" s="94"/>
      <c r="D235" s="94"/>
      <c r="E235" s="94"/>
      <c r="F235" s="94"/>
      <c r="G235" s="94"/>
      <c r="H235" s="94"/>
      <c r="I235" s="94"/>
      <c r="J235" s="94"/>
      <c r="K235" s="94"/>
      <c r="L235" s="94"/>
      <c r="M235" s="94"/>
      <c r="N235" s="94"/>
      <c r="O235" s="93"/>
    </row>
    <row r="236" spans="1:15" x14ac:dyDescent="0.25">
      <c r="A236" s="106" t="s">
        <v>67</v>
      </c>
      <c r="B236" s="106" t="s">
        <v>114</v>
      </c>
      <c r="C236" s="106" t="s">
        <v>113</v>
      </c>
      <c r="D236" s="106" t="s">
        <v>40</v>
      </c>
      <c r="E236" s="106" t="s">
        <v>58</v>
      </c>
      <c r="F236" s="94"/>
      <c r="G236" s="94"/>
      <c r="H236" s="94"/>
      <c r="I236" s="94"/>
      <c r="J236" s="94"/>
      <c r="K236" s="94"/>
      <c r="L236" s="94"/>
      <c r="M236" s="94"/>
      <c r="N236" s="94"/>
      <c r="O236" s="93"/>
    </row>
    <row r="237" spans="1:15" x14ac:dyDescent="0.25">
      <c r="A237" s="129">
        <v>10</v>
      </c>
      <c r="B237" s="132" t="str">
        <f>'EN Parts'!B681</f>
        <v>Plenum</v>
      </c>
      <c r="C237" s="100">
        <f>'EN Parts'!N678</f>
        <v>11.745000000000001</v>
      </c>
      <c r="D237" s="127">
        <f>EN_05001_q</f>
        <v>1</v>
      </c>
      <c r="E237" s="100">
        <f t="shared" ref="E237:E242" si="11">C237*D237</f>
        <v>11.745000000000001</v>
      </c>
      <c r="F237" s="94"/>
      <c r="G237" s="94"/>
      <c r="H237" s="94"/>
      <c r="I237" s="94"/>
      <c r="J237" s="94"/>
      <c r="K237" s="94"/>
      <c r="L237" s="94"/>
      <c r="M237" s="94"/>
      <c r="N237" s="94"/>
      <c r="O237" s="93"/>
    </row>
    <row r="238" spans="1:15" x14ac:dyDescent="0.25">
      <c r="A238" s="129">
        <v>20</v>
      </c>
      <c r="B238" s="132" t="str">
        <f>'EN Parts'!B700</f>
        <v>Plenum plate</v>
      </c>
      <c r="C238" s="100">
        <f>'EN Parts'!N697</f>
        <v>3.3047023999999996</v>
      </c>
      <c r="D238" s="127">
        <f>EN_05002_q</f>
        <v>1</v>
      </c>
      <c r="E238" s="100">
        <f t="shared" si="11"/>
        <v>3.3047023999999996</v>
      </c>
      <c r="F238" s="99"/>
      <c r="G238" s="99"/>
      <c r="H238" s="99"/>
      <c r="I238" s="99"/>
      <c r="J238" s="99"/>
      <c r="K238" s="99"/>
      <c r="L238" s="99"/>
      <c r="M238" s="99"/>
      <c r="N238" s="99"/>
      <c r="O238" s="93"/>
    </row>
    <row r="239" spans="1:15" x14ac:dyDescent="0.25">
      <c r="A239" s="129">
        <v>30</v>
      </c>
      <c r="B239" s="132" t="str">
        <f>'EN Parts'!B720</f>
        <v>Inlet pipes</v>
      </c>
      <c r="C239" s="100">
        <f>'EN Parts'!N717</f>
        <v>10.095799999999999</v>
      </c>
      <c r="D239" s="127">
        <f>EN_05003_q</f>
        <v>1</v>
      </c>
      <c r="E239" s="100">
        <f t="shared" si="11"/>
        <v>10.095799999999999</v>
      </c>
      <c r="F239" s="99"/>
      <c r="G239" s="99"/>
      <c r="H239" s="99"/>
      <c r="I239" s="99"/>
      <c r="J239" s="99"/>
      <c r="K239" s="99"/>
      <c r="L239" s="99"/>
      <c r="M239" s="99"/>
      <c r="N239" s="99"/>
      <c r="O239" s="131"/>
    </row>
    <row r="240" spans="1:15" x14ac:dyDescent="0.25">
      <c r="A240" s="129">
        <v>40</v>
      </c>
      <c r="B240" s="132" t="str">
        <f>'EN Parts'!B739</f>
        <v>Pipe end</v>
      </c>
      <c r="C240" s="100">
        <f>'EN Parts'!N736</f>
        <v>1.9768000000000001</v>
      </c>
      <c r="D240" s="127">
        <f>EN_05004_q</f>
        <v>4</v>
      </c>
      <c r="E240" s="100">
        <f t="shared" si="11"/>
        <v>7.9072000000000005</v>
      </c>
      <c r="F240" s="99"/>
      <c r="G240" s="99"/>
      <c r="H240" s="99"/>
      <c r="I240" s="99"/>
      <c r="J240" s="99"/>
      <c r="K240" s="99"/>
      <c r="L240" s="99"/>
      <c r="M240" s="99"/>
      <c r="N240" s="99"/>
      <c r="O240" s="131"/>
    </row>
    <row r="241" spans="1:15" x14ac:dyDescent="0.25">
      <c r="A241" s="129">
        <v>50</v>
      </c>
      <c r="B241" s="128" t="str">
        <f>'EN Parts'!B758</f>
        <v>Plenum mounts</v>
      </c>
      <c r="C241" s="100">
        <f>'EN Parts'!N755</f>
        <v>3.1919996800000003</v>
      </c>
      <c r="D241" s="127">
        <f>EN_05005_q</f>
        <v>1</v>
      </c>
      <c r="E241" s="100">
        <f t="shared" si="11"/>
        <v>3.1919996800000003</v>
      </c>
      <c r="F241" s="99"/>
      <c r="G241" s="99"/>
      <c r="H241" s="99"/>
      <c r="I241" s="99"/>
      <c r="J241" s="99"/>
      <c r="K241" s="99"/>
      <c r="L241" s="99"/>
      <c r="M241" s="99"/>
      <c r="N241" s="99"/>
      <c r="O241" s="130"/>
    </row>
    <row r="242" spans="1:15" x14ac:dyDescent="0.25">
      <c r="A242" s="129">
        <v>60</v>
      </c>
      <c r="B242" s="128" t="str">
        <f>'EN Parts'!B779</f>
        <v>Rubber brushing</v>
      </c>
      <c r="C242" s="100">
        <f>'EN Parts'!N776</f>
        <v>2.9402432000000003</v>
      </c>
      <c r="D242" s="127">
        <f>EN_05006_q</f>
        <v>2</v>
      </c>
      <c r="E242" s="100">
        <f t="shared" si="11"/>
        <v>5.8804864000000006</v>
      </c>
      <c r="F242" s="94"/>
      <c r="G242" s="94"/>
      <c r="H242" s="94"/>
      <c r="I242" s="94"/>
      <c r="J242" s="94"/>
      <c r="K242" s="94"/>
      <c r="L242" s="94"/>
      <c r="M242" s="94"/>
      <c r="N242" s="94"/>
      <c r="O242" s="93"/>
    </row>
    <row r="243" spans="1:15" x14ac:dyDescent="0.25">
      <c r="A243" s="107"/>
      <c r="B243" s="94"/>
      <c r="C243" s="94"/>
      <c r="D243" s="97" t="s">
        <v>58</v>
      </c>
      <c r="E243" s="96">
        <f>SUM(E237:E242)</f>
        <v>42.125188480000006</v>
      </c>
      <c r="F243" s="99"/>
      <c r="G243" s="99"/>
      <c r="H243" s="99"/>
      <c r="I243" s="99"/>
      <c r="J243" s="99"/>
      <c r="K243" s="99"/>
      <c r="L243" s="99"/>
      <c r="M243" s="99"/>
      <c r="N243" s="99"/>
      <c r="O243" s="93"/>
    </row>
    <row r="244" spans="1:15" x14ac:dyDescent="0.25">
      <c r="A244" s="107"/>
      <c r="B244" s="94"/>
      <c r="C244" s="94"/>
      <c r="D244" s="94"/>
      <c r="E244" s="94"/>
      <c r="F244" s="94"/>
      <c r="G244" s="94"/>
      <c r="H244" s="94"/>
      <c r="I244" s="94"/>
      <c r="J244" s="94"/>
      <c r="K244" s="94"/>
      <c r="L244" s="94"/>
      <c r="M244" s="94"/>
      <c r="N244" s="94"/>
      <c r="O244" s="93"/>
    </row>
    <row r="245" spans="1:15" x14ac:dyDescent="0.25">
      <c r="A245" s="106" t="s">
        <v>67</v>
      </c>
      <c r="B245" s="106" t="s">
        <v>112</v>
      </c>
      <c r="C245" s="106" t="s">
        <v>66</v>
      </c>
      <c r="D245" s="106" t="s">
        <v>65</v>
      </c>
      <c r="E245" s="106" t="s">
        <v>81</v>
      </c>
      <c r="F245" s="106" t="s">
        <v>80</v>
      </c>
      <c r="G245" s="106" t="s">
        <v>79</v>
      </c>
      <c r="H245" s="106" t="s">
        <v>78</v>
      </c>
      <c r="I245" s="106" t="s">
        <v>111</v>
      </c>
      <c r="J245" s="106" t="s">
        <v>110</v>
      </c>
      <c r="K245" s="106" t="s">
        <v>109</v>
      </c>
      <c r="L245" s="106" t="s">
        <v>108</v>
      </c>
      <c r="M245" s="106" t="s">
        <v>40</v>
      </c>
      <c r="N245" s="106" t="s">
        <v>58</v>
      </c>
      <c r="O245" s="93"/>
    </row>
    <row r="246" spans="1:15" x14ac:dyDescent="0.25">
      <c r="A246" s="115">
        <v>10</v>
      </c>
      <c r="B246" s="115" t="s">
        <v>383</v>
      </c>
      <c r="C246" s="115" t="s">
        <v>382</v>
      </c>
      <c r="D246" s="155">
        <v>0</v>
      </c>
      <c r="E246" s="115"/>
      <c r="F246" s="115"/>
      <c r="G246" s="115"/>
      <c r="H246" s="152"/>
      <c r="I246" s="154"/>
      <c r="J246" s="153"/>
      <c r="K246" s="152"/>
      <c r="L246" s="152"/>
      <c r="M246" s="167">
        <v>1</v>
      </c>
      <c r="N246" s="182">
        <f>M246*D246</f>
        <v>0</v>
      </c>
      <c r="O246" s="93"/>
    </row>
    <row r="247" spans="1:15" x14ac:dyDescent="0.25">
      <c r="A247" s="98"/>
      <c r="B247" s="95"/>
      <c r="C247" s="95"/>
      <c r="D247" s="95"/>
      <c r="E247" s="95"/>
      <c r="F247" s="95"/>
      <c r="G247" s="95"/>
      <c r="H247" s="95"/>
      <c r="I247" s="95"/>
      <c r="J247" s="95"/>
      <c r="K247" s="95"/>
      <c r="L247" s="95"/>
      <c r="M247" s="181" t="s">
        <v>58</v>
      </c>
      <c r="N247" s="96">
        <f>SUM(N246:N246)</f>
        <v>0</v>
      </c>
      <c r="O247" s="93"/>
    </row>
    <row r="248" spans="1:15" x14ac:dyDescent="0.25">
      <c r="A248" s="107"/>
      <c r="B248" s="94"/>
      <c r="C248" s="94"/>
      <c r="D248" s="94"/>
      <c r="E248" s="94"/>
      <c r="F248" s="94"/>
      <c r="G248" s="94"/>
      <c r="H248" s="94"/>
      <c r="I248" s="94"/>
      <c r="J248" s="94"/>
      <c r="K248" s="94"/>
      <c r="L248" s="94"/>
      <c r="M248" s="94"/>
      <c r="N248" s="94"/>
      <c r="O248" s="93"/>
    </row>
    <row r="249" spans="1:15" x14ac:dyDescent="0.25">
      <c r="A249" s="213" t="s">
        <v>67</v>
      </c>
      <c r="B249" s="213" t="s">
        <v>106</v>
      </c>
      <c r="C249" s="213" t="s">
        <v>66</v>
      </c>
      <c r="D249" s="213" t="s">
        <v>65</v>
      </c>
      <c r="E249" s="213" t="s">
        <v>64</v>
      </c>
      <c r="F249" s="213" t="s">
        <v>40</v>
      </c>
      <c r="G249" s="213" t="s">
        <v>105</v>
      </c>
      <c r="H249" s="213" t="s">
        <v>104</v>
      </c>
      <c r="I249" s="106" t="s">
        <v>58</v>
      </c>
      <c r="J249" s="95"/>
      <c r="K249" s="95"/>
      <c r="L249" s="95"/>
      <c r="M249" s="95"/>
      <c r="N249" s="95"/>
      <c r="O249" s="120"/>
    </row>
    <row r="250" spans="1:15" s="214" customFormat="1" x14ac:dyDescent="0.25">
      <c r="A250" s="115">
        <v>10</v>
      </c>
      <c r="B250" s="115" t="s">
        <v>165</v>
      </c>
      <c r="C250" s="115" t="s">
        <v>381</v>
      </c>
      <c r="D250" s="197">
        <v>0.06</v>
      </c>
      <c r="E250" s="115" t="s">
        <v>64</v>
      </c>
      <c r="F250" s="115">
        <v>2</v>
      </c>
      <c r="G250" s="115"/>
      <c r="H250" s="115"/>
      <c r="I250" s="182">
        <f t="shared" ref="I250:I264" si="12">IF(H250="",D250*F250,D250*F250*H250)</f>
        <v>0.12</v>
      </c>
      <c r="J250" s="216"/>
      <c r="K250" s="216"/>
      <c r="L250" s="216"/>
      <c r="M250" s="216"/>
      <c r="N250" s="216"/>
      <c r="O250" s="215"/>
    </row>
    <row r="251" spans="1:15" s="214" customFormat="1" x14ac:dyDescent="0.25">
      <c r="A251" s="115">
        <v>20</v>
      </c>
      <c r="B251" s="115" t="s">
        <v>366</v>
      </c>
      <c r="C251" s="115" t="s">
        <v>380</v>
      </c>
      <c r="D251" s="197">
        <v>0.5</v>
      </c>
      <c r="E251" s="115" t="s">
        <v>64</v>
      </c>
      <c r="F251" s="115">
        <v>4</v>
      </c>
      <c r="G251" s="217"/>
      <c r="H251" s="217"/>
      <c r="I251" s="100">
        <f t="shared" si="12"/>
        <v>2</v>
      </c>
      <c r="J251" s="216"/>
      <c r="K251" s="216"/>
      <c r="L251" s="216"/>
      <c r="M251" s="216"/>
      <c r="N251" s="216"/>
      <c r="O251" s="215"/>
    </row>
    <row r="252" spans="1:15" x14ac:dyDescent="0.25">
      <c r="A252" s="115">
        <v>30</v>
      </c>
      <c r="B252" s="198" t="s">
        <v>285</v>
      </c>
      <c r="C252" s="115" t="s">
        <v>379</v>
      </c>
      <c r="D252" s="197">
        <v>0.19</v>
      </c>
      <c r="E252" s="115" t="s">
        <v>64</v>
      </c>
      <c r="F252" s="163">
        <v>4</v>
      </c>
      <c r="G252" s="115"/>
      <c r="H252" s="115"/>
      <c r="I252" s="100">
        <f t="shared" si="12"/>
        <v>0.76</v>
      </c>
      <c r="J252" s="94"/>
      <c r="K252" s="94"/>
      <c r="L252" s="94"/>
      <c r="M252" s="94"/>
      <c r="N252" s="94"/>
      <c r="O252" s="93"/>
    </row>
    <row r="253" spans="1:15" x14ac:dyDescent="0.25">
      <c r="A253" s="115">
        <v>40</v>
      </c>
      <c r="B253" s="198" t="s">
        <v>378</v>
      </c>
      <c r="C253" s="115" t="s">
        <v>322</v>
      </c>
      <c r="D253" s="197">
        <v>0.5</v>
      </c>
      <c r="E253" s="115" t="s">
        <v>64</v>
      </c>
      <c r="F253" s="163">
        <v>4</v>
      </c>
      <c r="G253" s="115"/>
      <c r="H253" s="115"/>
      <c r="I253" s="100">
        <f t="shared" si="12"/>
        <v>2</v>
      </c>
      <c r="J253" s="94"/>
      <c r="K253" s="94"/>
      <c r="L253" s="94"/>
      <c r="M253" s="94"/>
      <c r="N253" s="94"/>
      <c r="O253" s="93"/>
    </row>
    <row r="254" spans="1:15" x14ac:dyDescent="0.25">
      <c r="A254" s="115">
        <v>50</v>
      </c>
      <c r="B254" s="115" t="s">
        <v>165</v>
      </c>
      <c r="C254" s="115" t="s">
        <v>377</v>
      </c>
      <c r="D254" s="197">
        <v>0.06</v>
      </c>
      <c r="E254" s="115" t="s">
        <v>64</v>
      </c>
      <c r="F254" s="163">
        <v>4</v>
      </c>
      <c r="G254" s="163"/>
      <c r="H254" s="163"/>
      <c r="I254" s="100">
        <f t="shared" si="12"/>
        <v>0.24</v>
      </c>
      <c r="J254" s="94"/>
      <c r="K254" s="94"/>
      <c r="L254" s="94"/>
      <c r="M254" s="94"/>
      <c r="N254" s="94"/>
      <c r="O254" s="93"/>
    </row>
    <row r="255" spans="1:15" x14ac:dyDescent="0.25">
      <c r="A255" s="115">
        <v>60</v>
      </c>
      <c r="B255" s="115" t="s">
        <v>372</v>
      </c>
      <c r="C255" s="115" t="s">
        <v>376</v>
      </c>
      <c r="D255" s="197">
        <v>0.02</v>
      </c>
      <c r="E255" s="115" t="s">
        <v>101</v>
      </c>
      <c r="F255" s="163">
        <v>75</v>
      </c>
      <c r="G255" s="163"/>
      <c r="H255" s="163"/>
      <c r="I255" s="100">
        <f t="shared" si="12"/>
        <v>1.5</v>
      </c>
      <c r="J255" s="94"/>
      <c r="K255" s="94"/>
      <c r="L255" s="94"/>
      <c r="M255" s="94"/>
      <c r="N255" s="94"/>
      <c r="O255" s="93"/>
    </row>
    <row r="256" spans="1:15" ht="30" x14ac:dyDescent="0.25">
      <c r="A256" s="115">
        <v>70</v>
      </c>
      <c r="B256" s="115" t="s">
        <v>366</v>
      </c>
      <c r="C256" s="114" t="s">
        <v>375</v>
      </c>
      <c r="D256" s="197">
        <v>0.5</v>
      </c>
      <c r="E256" s="115" t="s">
        <v>64</v>
      </c>
      <c r="F256" s="163">
        <v>8</v>
      </c>
      <c r="G256" s="163"/>
      <c r="H256" s="163"/>
      <c r="I256" s="100">
        <f t="shared" si="12"/>
        <v>4</v>
      </c>
      <c r="J256" s="94"/>
      <c r="K256" s="94"/>
      <c r="L256" s="94"/>
      <c r="M256" s="94"/>
      <c r="N256" s="94"/>
      <c r="O256" s="93"/>
    </row>
    <row r="257" spans="1:15" x14ac:dyDescent="0.25">
      <c r="A257" s="115">
        <v>80</v>
      </c>
      <c r="B257" s="115" t="s">
        <v>326</v>
      </c>
      <c r="C257" s="115" t="s">
        <v>325</v>
      </c>
      <c r="D257" s="197">
        <v>0.25</v>
      </c>
      <c r="E257" s="115" t="s">
        <v>64</v>
      </c>
      <c r="F257" s="163">
        <v>8</v>
      </c>
      <c r="G257" s="163"/>
      <c r="H257" s="163"/>
      <c r="I257" s="100">
        <f t="shared" si="12"/>
        <v>2</v>
      </c>
      <c r="J257" s="94"/>
      <c r="K257" s="94"/>
      <c r="L257" s="94"/>
      <c r="M257" s="94"/>
      <c r="N257" s="94"/>
      <c r="O257" s="93"/>
    </row>
    <row r="258" spans="1:15" x14ac:dyDescent="0.25">
      <c r="A258" s="115">
        <v>90</v>
      </c>
      <c r="B258" s="115" t="s">
        <v>374</v>
      </c>
      <c r="C258" s="115" t="s">
        <v>373</v>
      </c>
      <c r="D258" s="197">
        <v>0.06</v>
      </c>
      <c r="E258" s="115" t="s">
        <v>64</v>
      </c>
      <c r="F258" s="163">
        <v>4</v>
      </c>
      <c r="G258" s="163"/>
      <c r="H258" s="163"/>
      <c r="I258" s="100">
        <f t="shared" si="12"/>
        <v>0.24</v>
      </c>
      <c r="J258" s="94"/>
      <c r="K258" s="94"/>
      <c r="L258" s="94"/>
      <c r="M258" s="94"/>
      <c r="N258" s="94"/>
      <c r="O258" s="93"/>
    </row>
    <row r="259" spans="1:15" x14ac:dyDescent="0.25">
      <c r="A259" s="115">
        <v>100</v>
      </c>
      <c r="B259" s="115" t="s">
        <v>372</v>
      </c>
      <c r="C259" s="115" t="s">
        <v>371</v>
      </c>
      <c r="D259" s="197">
        <v>0.02</v>
      </c>
      <c r="E259" s="115" t="s">
        <v>101</v>
      </c>
      <c r="F259" s="163">
        <v>154</v>
      </c>
      <c r="G259" s="163"/>
      <c r="H259" s="163"/>
      <c r="I259" s="100">
        <f t="shared" si="12"/>
        <v>3.08</v>
      </c>
      <c r="J259" s="94"/>
      <c r="K259" s="94"/>
      <c r="L259" s="94"/>
      <c r="M259" s="94"/>
      <c r="N259" s="94"/>
      <c r="O259" s="93"/>
    </row>
    <row r="260" spans="1:15" x14ac:dyDescent="0.25">
      <c r="A260" s="115">
        <v>110</v>
      </c>
      <c r="B260" s="115" t="s">
        <v>366</v>
      </c>
      <c r="C260" s="115" t="s">
        <v>370</v>
      </c>
      <c r="D260" s="197">
        <v>0.5</v>
      </c>
      <c r="E260" s="115" t="s">
        <v>64</v>
      </c>
      <c r="F260" s="163">
        <v>8</v>
      </c>
      <c r="G260" s="163"/>
      <c r="H260" s="163"/>
      <c r="I260" s="100">
        <f t="shared" si="12"/>
        <v>4</v>
      </c>
      <c r="J260" s="94"/>
      <c r="K260" s="94"/>
      <c r="L260" s="94"/>
      <c r="M260" s="94"/>
      <c r="N260" s="94"/>
      <c r="O260" s="93"/>
    </row>
    <row r="261" spans="1:15" x14ac:dyDescent="0.25">
      <c r="A261" s="115">
        <v>120</v>
      </c>
      <c r="B261" s="115" t="s">
        <v>369</v>
      </c>
      <c r="C261" s="115" t="s">
        <v>368</v>
      </c>
      <c r="D261" s="197">
        <v>0.25</v>
      </c>
      <c r="E261" s="115" t="s">
        <v>64</v>
      </c>
      <c r="F261" s="163">
        <v>8</v>
      </c>
      <c r="G261" s="163"/>
      <c r="H261" s="163"/>
      <c r="I261" s="100">
        <f t="shared" si="12"/>
        <v>2</v>
      </c>
      <c r="J261" s="94"/>
      <c r="K261" s="94"/>
      <c r="L261" s="94"/>
      <c r="M261" s="94"/>
      <c r="N261" s="94"/>
      <c r="O261" s="93"/>
    </row>
    <row r="262" spans="1:15" x14ac:dyDescent="0.25">
      <c r="A262" s="115">
        <v>130</v>
      </c>
      <c r="B262" s="115" t="s">
        <v>165</v>
      </c>
      <c r="C262" s="115" t="s">
        <v>367</v>
      </c>
      <c r="D262" s="197">
        <v>0.5</v>
      </c>
      <c r="E262" s="115" t="s">
        <v>64</v>
      </c>
      <c r="F262" s="163">
        <v>1</v>
      </c>
      <c r="G262" s="163"/>
      <c r="H262" s="163"/>
      <c r="I262" s="100">
        <f t="shared" si="12"/>
        <v>0.5</v>
      </c>
      <c r="J262" s="94"/>
      <c r="K262" s="94"/>
      <c r="L262" s="94"/>
      <c r="M262" s="94"/>
      <c r="N262" s="94"/>
      <c r="O262" s="93"/>
    </row>
    <row r="263" spans="1:15" x14ac:dyDescent="0.25">
      <c r="A263" s="115">
        <v>140</v>
      </c>
      <c r="B263" s="115" t="s">
        <v>366</v>
      </c>
      <c r="C263" s="115" t="s">
        <v>365</v>
      </c>
      <c r="D263" s="197">
        <v>0.5</v>
      </c>
      <c r="E263" s="115" t="s">
        <v>64</v>
      </c>
      <c r="F263" s="163">
        <v>12</v>
      </c>
      <c r="G263" s="163"/>
      <c r="H263" s="163"/>
      <c r="I263" s="100">
        <f t="shared" si="12"/>
        <v>6</v>
      </c>
      <c r="J263" s="94"/>
      <c r="K263" s="94"/>
      <c r="L263" s="94"/>
      <c r="M263" s="94"/>
      <c r="N263" s="94"/>
      <c r="O263" s="93"/>
    </row>
    <row r="264" spans="1:15" x14ac:dyDescent="0.25">
      <c r="A264" s="115">
        <v>150</v>
      </c>
      <c r="B264" s="115" t="s">
        <v>326</v>
      </c>
      <c r="C264" s="115" t="s">
        <v>364</v>
      </c>
      <c r="D264" s="197">
        <v>0.25</v>
      </c>
      <c r="E264" s="115" t="s">
        <v>64</v>
      </c>
      <c r="F264" s="163">
        <v>12</v>
      </c>
      <c r="G264" s="163"/>
      <c r="H264" s="163"/>
      <c r="I264" s="100">
        <f t="shared" si="12"/>
        <v>3</v>
      </c>
      <c r="J264" s="94"/>
      <c r="K264" s="94"/>
      <c r="L264" s="94"/>
      <c r="M264" s="94"/>
      <c r="N264" s="94"/>
      <c r="O264" s="93"/>
    </row>
    <row r="265" spans="1:15" x14ac:dyDescent="0.25">
      <c r="A265" s="98"/>
      <c r="B265" s="95"/>
      <c r="C265" s="95"/>
      <c r="D265" s="95"/>
      <c r="E265" s="95"/>
      <c r="F265" s="95"/>
      <c r="G265" s="95"/>
      <c r="H265" s="97" t="s">
        <v>58</v>
      </c>
      <c r="I265" s="96">
        <f>SUM(I250:I264)</f>
        <v>31.44</v>
      </c>
      <c r="J265" s="94"/>
      <c r="K265" s="94"/>
      <c r="L265" s="94"/>
      <c r="M265" s="94"/>
      <c r="N265" s="94"/>
      <c r="O265" s="93"/>
    </row>
    <row r="266" spans="1:15" x14ac:dyDescent="0.25">
      <c r="A266" s="107"/>
      <c r="B266" s="94"/>
      <c r="C266" s="94"/>
      <c r="D266" s="94"/>
      <c r="E266" s="94"/>
      <c r="F266" s="94"/>
      <c r="G266" s="94"/>
      <c r="H266" s="94"/>
      <c r="I266" s="94"/>
      <c r="J266" s="94"/>
      <c r="K266" s="94"/>
      <c r="L266" s="94"/>
      <c r="M266" s="94"/>
      <c r="N266" s="94"/>
      <c r="O266" s="93"/>
    </row>
    <row r="267" spans="1:15" x14ac:dyDescent="0.25">
      <c r="A267" s="213" t="s">
        <v>67</v>
      </c>
      <c r="B267" s="213" t="s">
        <v>82</v>
      </c>
      <c r="C267" s="213" t="s">
        <v>66</v>
      </c>
      <c r="D267" s="213" t="s">
        <v>65</v>
      </c>
      <c r="E267" s="213" t="s">
        <v>81</v>
      </c>
      <c r="F267" s="213" t="s">
        <v>80</v>
      </c>
      <c r="G267" s="213" t="s">
        <v>79</v>
      </c>
      <c r="H267" s="213" t="s">
        <v>78</v>
      </c>
      <c r="I267" s="213" t="s">
        <v>40</v>
      </c>
      <c r="J267" s="213" t="s">
        <v>58</v>
      </c>
      <c r="K267" s="94"/>
      <c r="L267" s="94"/>
      <c r="M267" s="94"/>
      <c r="N267" s="94"/>
      <c r="O267" s="93"/>
    </row>
    <row r="268" spans="1:15" x14ac:dyDescent="0.25">
      <c r="A268" s="119">
        <v>10</v>
      </c>
      <c r="B268" s="115" t="s">
        <v>184</v>
      </c>
      <c r="C268" s="119" t="s">
        <v>363</v>
      </c>
      <c r="D268" s="175">
        <v>0.63</v>
      </c>
      <c r="E268" s="119">
        <v>6</v>
      </c>
      <c r="F268" s="119" t="s">
        <v>68</v>
      </c>
      <c r="G268" s="119">
        <v>25</v>
      </c>
      <c r="H268" s="119" t="s">
        <v>68</v>
      </c>
      <c r="I268" s="119">
        <v>4</v>
      </c>
      <c r="J268" s="212">
        <f t="shared" ref="J268:J273" si="13">I268*D268</f>
        <v>2.52</v>
      </c>
      <c r="K268" s="94"/>
      <c r="L268" s="94"/>
      <c r="M268" s="94"/>
      <c r="N268" s="94"/>
      <c r="O268" s="93"/>
    </row>
    <row r="269" spans="1:15" x14ac:dyDescent="0.25">
      <c r="A269" s="211">
        <v>20</v>
      </c>
      <c r="B269" s="211" t="s">
        <v>184</v>
      </c>
      <c r="C269" s="211" t="s">
        <v>362</v>
      </c>
      <c r="D269" s="210">
        <v>0.63</v>
      </c>
      <c r="E269" s="209">
        <v>6</v>
      </c>
      <c r="F269" s="209" t="s">
        <v>68</v>
      </c>
      <c r="G269" s="209">
        <v>25</v>
      </c>
      <c r="H269" s="209" t="s">
        <v>68</v>
      </c>
      <c r="I269" s="208">
        <v>16</v>
      </c>
      <c r="J269" s="207">
        <f t="shared" si="13"/>
        <v>10.08</v>
      </c>
      <c r="K269" s="94"/>
      <c r="L269" s="94"/>
      <c r="M269" s="94"/>
      <c r="N269" s="94"/>
      <c r="O269" s="93"/>
    </row>
    <row r="270" spans="1:15" x14ac:dyDescent="0.25">
      <c r="A270" s="115">
        <v>30</v>
      </c>
      <c r="B270" s="115" t="s">
        <v>184</v>
      </c>
      <c r="C270" s="115" t="s">
        <v>361</v>
      </c>
      <c r="D270" s="175">
        <v>0.02</v>
      </c>
      <c r="E270" s="115">
        <v>4</v>
      </c>
      <c r="F270" s="174" t="s">
        <v>68</v>
      </c>
      <c r="G270" s="115">
        <v>20</v>
      </c>
      <c r="H270" s="173" t="s">
        <v>68</v>
      </c>
      <c r="I270" s="172">
        <v>12</v>
      </c>
      <c r="J270" s="100">
        <f t="shared" si="13"/>
        <v>0.24</v>
      </c>
      <c r="K270" s="94"/>
      <c r="L270" s="94"/>
      <c r="M270" s="94"/>
      <c r="N270" s="94"/>
      <c r="O270" s="93"/>
    </row>
    <row r="271" spans="1:15" x14ac:dyDescent="0.25">
      <c r="A271" s="115">
        <v>40</v>
      </c>
      <c r="B271" s="115" t="s">
        <v>75</v>
      </c>
      <c r="C271" s="115" t="s">
        <v>360</v>
      </c>
      <c r="D271" s="175">
        <v>0.03</v>
      </c>
      <c r="E271" s="115">
        <v>6</v>
      </c>
      <c r="F271" s="174" t="s">
        <v>68</v>
      </c>
      <c r="G271" s="115"/>
      <c r="H271" s="173"/>
      <c r="I271" s="172">
        <v>16</v>
      </c>
      <c r="J271" s="100">
        <f t="shared" si="13"/>
        <v>0.48</v>
      </c>
      <c r="K271" s="94"/>
      <c r="L271" s="94"/>
      <c r="M271" s="94"/>
      <c r="N271" s="94"/>
      <c r="O271" s="93"/>
    </row>
    <row r="272" spans="1:15" x14ac:dyDescent="0.25">
      <c r="A272" s="115">
        <v>50</v>
      </c>
      <c r="B272" s="115" t="s">
        <v>75</v>
      </c>
      <c r="C272" s="114" t="s">
        <v>359</v>
      </c>
      <c r="D272" s="178">
        <v>0.02</v>
      </c>
      <c r="E272" s="114">
        <v>4</v>
      </c>
      <c r="F272" s="158" t="s">
        <v>68</v>
      </c>
      <c r="G272" s="114"/>
      <c r="H272" s="177"/>
      <c r="I272" s="176">
        <v>12</v>
      </c>
      <c r="J272" s="100">
        <f t="shared" si="13"/>
        <v>0.24</v>
      </c>
      <c r="K272" s="142"/>
      <c r="L272" s="142"/>
      <c r="M272" s="142"/>
      <c r="N272" s="142"/>
      <c r="O272" s="93"/>
    </row>
    <row r="273" spans="1:15" x14ac:dyDescent="0.25">
      <c r="A273" s="115">
        <v>60</v>
      </c>
      <c r="B273" s="179" t="s">
        <v>358</v>
      </c>
      <c r="C273" s="114" t="s">
        <v>357</v>
      </c>
      <c r="D273" s="178">
        <v>0.72</v>
      </c>
      <c r="E273" s="114">
        <v>55</v>
      </c>
      <c r="F273" s="158" t="s">
        <v>68</v>
      </c>
      <c r="G273" s="114"/>
      <c r="H273" s="177"/>
      <c r="I273" s="176">
        <v>8</v>
      </c>
      <c r="J273" s="100">
        <f t="shared" si="13"/>
        <v>5.76</v>
      </c>
      <c r="K273" s="142"/>
      <c r="L273" s="142"/>
      <c r="M273" s="142"/>
      <c r="N273" s="142"/>
      <c r="O273" s="93"/>
    </row>
    <row r="274" spans="1:15" x14ac:dyDescent="0.25">
      <c r="A274" s="98"/>
      <c r="B274" s="95"/>
      <c r="C274" s="95"/>
      <c r="D274" s="95"/>
      <c r="E274" s="95"/>
      <c r="F274" s="95"/>
      <c r="G274" s="95"/>
      <c r="H274" s="95"/>
      <c r="I274" s="97" t="s">
        <v>58</v>
      </c>
      <c r="J274" s="96">
        <f>SUM(J268:J273)</f>
        <v>19.32</v>
      </c>
      <c r="K274" s="94"/>
      <c r="L274" s="94"/>
      <c r="M274" s="94"/>
      <c r="N274" s="94"/>
      <c r="O274" s="93"/>
    </row>
    <row r="275" spans="1:15" x14ac:dyDescent="0.25">
      <c r="A275" s="107"/>
      <c r="B275" s="94"/>
      <c r="C275" s="94"/>
      <c r="D275" s="94"/>
      <c r="E275" s="94"/>
      <c r="F275" s="94"/>
      <c r="G275" s="94"/>
      <c r="H275" s="94"/>
      <c r="I275" s="94"/>
      <c r="J275" s="94"/>
      <c r="K275" s="94"/>
      <c r="L275" s="94"/>
      <c r="M275" s="94"/>
      <c r="N275" s="94"/>
      <c r="O275" s="93"/>
    </row>
    <row r="276" spans="1:15" ht="15.75" thickBot="1" x14ac:dyDescent="0.3">
      <c r="A276" s="92"/>
      <c r="B276" s="91"/>
      <c r="C276" s="91"/>
      <c r="D276" s="91"/>
      <c r="E276" s="91"/>
      <c r="F276" s="91"/>
      <c r="G276" s="91"/>
      <c r="H276" s="91"/>
      <c r="I276" s="91"/>
      <c r="J276" s="91"/>
      <c r="K276" s="91"/>
      <c r="L276" s="91"/>
      <c r="M276" s="91"/>
      <c r="N276" s="91"/>
      <c r="O276" s="90"/>
    </row>
    <row r="277" spans="1:15" ht="15.75" thickBot="1" x14ac:dyDescent="0.3"/>
    <row r="278" spans="1:15" x14ac:dyDescent="0.25">
      <c r="A278" s="141"/>
      <c r="B278" s="140"/>
      <c r="C278" s="140"/>
      <c r="D278" s="140"/>
      <c r="E278" s="140"/>
      <c r="F278" s="140"/>
      <c r="G278" s="140"/>
      <c r="H278" s="140"/>
      <c r="I278" s="140"/>
      <c r="J278" s="140"/>
      <c r="K278" s="140"/>
      <c r="L278" s="140"/>
      <c r="M278" s="140"/>
      <c r="N278" s="140"/>
      <c r="O278" s="139"/>
    </row>
    <row r="279" spans="1:15" x14ac:dyDescent="0.25">
      <c r="A279" s="106" t="s">
        <v>57</v>
      </c>
      <c r="B279" s="133" t="s">
        <v>127</v>
      </c>
      <c r="C279" s="94"/>
      <c r="D279" s="94"/>
      <c r="E279" s="94"/>
      <c r="F279" s="94"/>
      <c r="G279" s="94"/>
      <c r="H279" s="94"/>
      <c r="I279" s="94"/>
      <c r="J279" s="106" t="s">
        <v>51</v>
      </c>
      <c r="K279" s="138">
        <v>81</v>
      </c>
      <c r="L279" s="94"/>
      <c r="M279" s="106" t="s">
        <v>126</v>
      </c>
      <c r="N279" s="206">
        <f>E296+EN_A0006_f+EN_A0006_m+EN_A0006_p</f>
        <v>166.58307770977646</v>
      </c>
      <c r="O279" s="93"/>
    </row>
    <row r="280" spans="1:15" x14ac:dyDescent="0.25">
      <c r="A280" s="106" t="s">
        <v>125</v>
      </c>
      <c r="B280" s="133" t="s">
        <v>21</v>
      </c>
      <c r="C280" s="94"/>
      <c r="D280" s="94"/>
      <c r="E280" s="94"/>
      <c r="F280" s="94"/>
      <c r="G280" s="94"/>
      <c r="H280" s="94"/>
      <c r="I280" s="94"/>
      <c r="J280" s="94"/>
      <c r="K280" s="94"/>
      <c r="L280" s="94"/>
      <c r="M280" s="106" t="s">
        <v>124</v>
      </c>
      <c r="N280" s="136">
        <v>1</v>
      </c>
      <c r="O280" s="93"/>
    </row>
    <row r="281" spans="1:15" x14ac:dyDescent="0.25">
      <c r="A281" s="106" t="s">
        <v>123</v>
      </c>
      <c r="B281" s="99" t="s">
        <v>29</v>
      </c>
      <c r="C281" s="94"/>
      <c r="D281" s="94"/>
      <c r="E281" s="94"/>
      <c r="F281" s="94"/>
      <c r="G281" s="94"/>
      <c r="H281" s="94"/>
      <c r="I281" s="94"/>
      <c r="J281" s="134" t="s">
        <v>122</v>
      </c>
      <c r="K281" s="94"/>
      <c r="L281" s="94"/>
      <c r="M281" s="94"/>
      <c r="N281" s="94"/>
      <c r="O281" s="93"/>
    </row>
    <row r="282" spans="1:15" x14ac:dyDescent="0.25">
      <c r="A282" s="106" t="s">
        <v>121</v>
      </c>
      <c r="B282" s="135" t="s">
        <v>356</v>
      </c>
      <c r="C282" s="94"/>
      <c r="D282" s="94"/>
      <c r="E282" s="94"/>
      <c r="F282" s="94"/>
      <c r="G282" s="94"/>
      <c r="H282" s="94"/>
      <c r="I282" s="94"/>
      <c r="J282" s="134" t="s">
        <v>119</v>
      </c>
      <c r="K282" s="94"/>
      <c r="L282" s="94"/>
      <c r="M282" s="106" t="s">
        <v>118</v>
      </c>
      <c r="N282" s="100">
        <f>N279*N280</f>
        <v>166.58307770977646</v>
      </c>
      <c r="O282" s="93"/>
    </row>
    <row r="283" spans="1:15" x14ac:dyDescent="0.25">
      <c r="A283" s="106" t="s">
        <v>117</v>
      </c>
      <c r="B283" s="133" t="s">
        <v>23</v>
      </c>
      <c r="C283" s="94"/>
      <c r="D283" s="94"/>
      <c r="E283" s="94"/>
      <c r="F283" s="94"/>
      <c r="G283" s="94"/>
      <c r="H283" s="94"/>
      <c r="I283" s="94"/>
      <c r="J283" s="134" t="s">
        <v>116</v>
      </c>
      <c r="K283" s="94"/>
      <c r="L283" s="94"/>
      <c r="M283" s="94"/>
      <c r="N283" s="94"/>
      <c r="O283" s="93"/>
    </row>
    <row r="284" spans="1:15" x14ac:dyDescent="0.25">
      <c r="A284" s="106" t="s">
        <v>115</v>
      </c>
      <c r="B284" s="133"/>
      <c r="C284" s="94"/>
      <c r="D284" s="94"/>
      <c r="E284" s="94"/>
      <c r="F284" s="94"/>
      <c r="G284" s="94"/>
      <c r="H284" s="94"/>
      <c r="I284" s="94"/>
      <c r="J284" s="94"/>
      <c r="K284" s="94"/>
      <c r="L284" s="94"/>
      <c r="M284" s="94"/>
      <c r="N284" s="94"/>
      <c r="O284" s="93"/>
    </row>
    <row r="285" spans="1:15" x14ac:dyDescent="0.25">
      <c r="A285" s="107"/>
      <c r="B285" s="94"/>
      <c r="C285" s="94"/>
      <c r="D285" s="94"/>
      <c r="E285" s="94"/>
      <c r="F285" s="94"/>
      <c r="G285" s="94"/>
      <c r="H285" s="94"/>
      <c r="I285" s="94"/>
      <c r="J285" s="94"/>
      <c r="K285" s="94"/>
      <c r="L285" s="94"/>
      <c r="M285" s="94"/>
      <c r="N285" s="94"/>
      <c r="O285" s="93"/>
    </row>
    <row r="286" spans="1:15" x14ac:dyDescent="0.25">
      <c r="A286" s="106" t="s">
        <v>67</v>
      </c>
      <c r="B286" s="106" t="s">
        <v>114</v>
      </c>
      <c r="C286" s="106" t="s">
        <v>113</v>
      </c>
      <c r="D286" s="106" t="s">
        <v>40</v>
      </c>
      <c r="E286" s="106" t="s">
        <v>58</v>
      </c>
      <c r="F286" s="94"/>
      <c r="G286" s="94"/>
      <c r="H286" s="94"/>
      <c r="I286" s="94"/>
      <c r="J286" s="94"/>
      <c r="K286" s="94"/>
      <c r="L286" s="94"/>
      <c r="M286" s="94"/>
      <c r="N286" s="94"/>
      <c r="O286" s="93"/>
    </row>
    <row r="287" spans="1:15" x14ac:dyDescent="0.25">
      <c r="A287" s="129">
        <v>10</v>
      </c>
      <c r="B287" s="132" t="str">
        <f>'EN Parts'!B803</f>
        <v>Throttle flange</v>
      </c>
      <c r="C287" s="100">
        <f>'EN Parts'!N800</f>
        <v>5.1784480000000004</v>
      </c>
      <c r="D287" s="127">
        <f>EN_06001_q</f>
        <v>1</v>
      </c>
      <c r="E287" s="100">
        <f t="shared" ref="E287:E295" si="14">C287*D287</f>
        <v>5.1784480000000004</v>
      </c>
      <c r="F287" s="94"/>
      <c r="G287" s="94"/>
      <c r="H287" s="94"/>
      <c r="I287" s="94"/>
      <c r="J287" s="94"/>
      <c r="K287" s="94"/>
      <c r="L287" s="94"/>
      <c r="M287" s="94"/>
      <c r="N287" s="94"/>
      <c r="O287" s="93"/>
    </row>
    <row r="288" spans="1:15" x14ac:dyDescent="0.25">
      <c r="A288" s="129">
        <v>20</v>
      </c>
      <c r="B288" s="132" t="str">
        <f>'EN Parts'!B824</f>
        <v>Restrictor</v>
      </c>
      <c r="C288" s="100">
        <f>'EN Parts'!N821</f>
        <v>5.7261110680000007</v>
      </c>
      <c r="D288" s="127">
        <f>EN_06002_q</f>
        <v>1</v>
      </c>
      <c r="E288" s="100">
        <f t="shared" si="14"/>
        <v>5.7261110680000007</v>
      </c>
      <c r="F288" s="99"/>
      <c r="G288" s="99"/>
      <c r="H288" s="99"/>
      <c r="I288" s="99"/>
      <c r="J288" s="99"/>
      <c r="K288" s="99"/>
      <c r="L288" s="99"/>
      <c r="M288" s="99"/>
      <c r="N288" s="99"/>
      <c r="O288" s="93"/>
    </row>
    <row r="289" spans="1:15" x14ac:dyDescent="0.25">
      <c r="A289" s="129">
        <v>30</v>
      </c>
      <c r="B289" s="132" t="str">
        <f>'EN Parts'!B846</f>
        <v>Throttle housing</v>
      </c>
      <c r="C289" s="100">
        <f>'EN Parts'!N843</f>
        <v>4.2751134999999998</v>
      </c>
      <c r="D289" s="127">
        <f>EN_06003_q</f>
        <v>1</v>
      </c>
      <c r="E289" s="100">
        <f t="shared" si="14"/>
        <v>4.2751134999999998</v>
      </c>
      <c r="F289" s="99"/>
      <c r="G289" s="99"/>
      <c r="H289" s="99"/>
      <c r="I289" s="99"/>
      <c r="J289" s="99"/>
      <c r="K289" s="99"/>
      <c r="L289" s="99"/>
      <c r="M289" s="99"/>
      <c r="N289" s="99"/>
      <c r="O289" s="93"/>
    </row>
    <row r="290" spans="1:15" x14ac:dyDescent="0.25">
      <c r="A290" s="129">
        <v>40</v>
      </c>
      <c r="B290" s="132" t="str">
        <f>'EN Parts'!B868</f>
        <v>Throttle axle</v>
      </c>
      <c r="C290" s="100">
        <f>'EN Parts'!N865</f>
        <v>2.7255590660787354</v>
      </c>
      <c r="D290" s="127">
        <f>EN_06004_q</f>
        <v>1</v>
      </c>
      <c r="E290" s="100">
        <f t="shared" si="14"/>
        <v>2.7255590660787354</v>
      </c>
      <c r="F290" s="99"/>
      <c r="G290" s="99"/>
      <c r="H290" s="99"/>
      <c r="I290" s="99"/>
      <c r="J290" s="99"/>
      <c r="K290" s="99"/>
      <c r="L290" s="99"/>
      <c r="M290" s="99"/>
      <c r="N290" s="99"/>
      <c r="O290" s="93"/>
    </row>
    <row r="291" spans="1:15" x14ac:dyDescent="0.25">
      <c r="A291" s="129">
        <v>50</v>
      </c>
      <c r="B291" s="132" t="str">
        <f>'EN Parts'!B890</f>
        <v>TPS axle</v>
      </c>
      <c r="C291" s="100">
        <f>'EN Parts'!N887</f>
        <v>2.7116692995590514</v>
      </c>
      <c r="D291" s="127">
        <f>EN_06005_q</f>
        <v>1</v>
      </c>
      <c r="E291" s="100">
        <f t="shared" si="14"/>
        <v>2.7116692995590514</v>
      </c>
      <c r="F291" s="99"/>
      <c r="G291" s="99"/>
      <c r="H291" s="99"/>
      <c r="I291" s="99"/>
      <c r="J291" s="99"/>
      <c r="K291" s="99"/>
      <c r="L291" s="99"/>
      <c r="M291" s="99"/>
      <c r="N291" s="99"/>
      <c r="O291" s="93"/>
    </row>
    <row r="292" spans="1:15" x14ac:dyDescent="0.25">
      <c r="A292" s="129">
        <v>60</v>
      </c>
      <c r="B292" s="132" t="str">
        <f>'EN Parts'!B912</f>
        <v>Throttle plate</v>
      </c>
      <c r="C292" s="100">
        <f>'EN Parts'!N909</f>
        <v>1.4911156045807814</v>
      </c>
      <c r="D292" s="127">
        <f>EN_06006_q</f>
        <v>1</v>
      </c>
      <c r="E292" s="100">
        <f t="shared" si="14"/>
        <v>1.4911156045807814</v>
      </c>
      <c r="F292" s="99"/>
      <c r="G292" s="99"/>
      <c r="H292" s="99"/>
      <c r="I292" s="99"/>
      <c r="J292" s="99"/>
      <c r="K292" s="99"/>
      <c r="L292" s="99"/>
      <c r="M292" s="99"/>
      <c r="N292" s="99"/>
      <c r="O292" s="93"/>
    </row>
    <row r="293" spans="1:15" x14ac:dyDescent="0.25">
      <c r="A293" s="129">
        <v>70</v>
      </c>
      <c r="B293" s="132" t="str">
        <f>'EN Parts'!B932</f>
        <v>Cable housing</v>
      </c>
      <c r="C293" s="100">
        <f>'EN Parts'!N929</f>
        <v>4.5697760000000001</v>
      </c>
      <c r="D293" s="127">
        <f>EN_06007_q</f>
        <v>1</v>
      </c>
      <c r="E293" s="100">
        <f t="shared" si="14"/>
        <v>4.5697760000000001</v>
      </c>
      <c r="F293" s="99"/>
      <c r="G293" s="99"/>
      <c r="H293" s="99"/>
      <c r="I293" s="99"/>
      <c r="J293" s="99"/>
      <c r="K293" s="99"/>
      <c r="L293" s="99"/>
      <c r="M293" s="99"/>
      <c r="N293" s="99"/>
      <c r="O293" s="93"/>
    </row>
    <row r="294" spans="1:15" x14ac:dyDescent="0.25">
      <c r="A294" s="129">
        <v>80</v>
      </c>
      <c r="B294" s="132" t="str">
        <f>'EN Parts'!B957</f>
        <v>Axle stop</v>
      </c>
      <c r="C294" s="100">
        <f>'EN Parts'!N954</f>
        <v>2.0404331222440728</v>
      </c>
      <c r="D294" s="127">
        <f>EN_06008_q</f>
        <v>1</v>
      </c>
      <c r="E294" s="100">
        <f t="shared" si="14"/>
        <v>2.0404331222440728</v>
      </c>
      <c r="F294" s="99"/>
      <c r="G294" s="99"/>
      <c r="H294" s="99"/>
      <c r="I294" s="99"/>
      <c r="J294" s="99"/>
      <c r="K294" s="99"/>
      <c r="L294" s="99"/>
      <c r="M294" s="99"/>
      <c r="N294" s="99"/>
      <c r="O294" s="93"/>
    </row>
    <row r="295" spans="1:15" x14ac:dyDescent="0.25">
      <c r="A295" s="129">
        <v>90</v>
      </c>
      <c r="B295" s="132" t="str">
        <f>'EN Parts'!B977</f>
        <v>Ram pipe</v>
      </c>
      <c r="C295" s="100">
        <f>'EN Parts'!N974</f>
        <v>12.504852049313811</v>
      </c>
      <c r="D295" s="129">
        <f>EN_06009_q</f>
        <v>1</v>
      </c>
      <c r="E295" s="100">
        <f t="shared" si="14"/>
        <v>12.504852049313811</v>
      </c>
      <c r="F295" s="99"/>
      <c r="G295" s="99"/>
      <c r="H295" s="99"/>
      <c r="I295" s="99"/>
      <c r="J295" s="99"/>
      <c r="K295" s="99"/>
      <c r="L295" s="99"/>
      <c r="M295" s="99"/>
      <c r="N295" s="99"/>
      <c r="O295" s="131"/>
    </row>
    <row r="296" spans="1:15" x14ac:dyDescent="0.25">
      <c r="A296" s="107"/>
      <c r="B296" s="94"/>
      <c r="C296" s="94"/>
      <c r="D296" s="97" t="s">
        <v>58</v>
      </c>
      <c r="E296" s="96">
        <f>SUM(E287:E295)</f>
        <v>41.223077709776454</v>
      </c>
      <c r="F296" s="99"/>
      <c r="G296" s="99"/>
      <c r="H296" s="99"/>
      <c r="I296" s="99"/>
      <c r="J296" s="99"/>
      <c r="K296" s="99"/>
      <c r="L296" s="99"/>
      <c r="M296" s="99"/>
      <c r="N296" s="99"/>
      <c r="O296" s="93"/>
    </row>
    <row r="297" spans="1:15" x14ac:dyDescent="0.25">
      <c r="A297" s="107"/>
      <c r="B297" s="94"/>
      <c r="C297" s="94"/>
      <c r="D297" s="94"/>
      <c r="E297" s="94"/>
      <c r="F297" s="94"/>
      <c r="G297" s="94"/>
      <c r="H297" s="94"/>
      <c r="I297" s="94"/>
      <c r="J297" s="94"/>
      <c r="K297" s="94"/>
      <c r="L297" s="94"/>
      <c r="M297" s="94"/>
      <c r="N297" s="94"/>
      <c r="O297" s="93"/>
    </row>
    <row r="298" spans="1:15" x14ac:dyDescent="0.25">
      <c r="A298" s="106" t="s">
        <v>67</v>
      </c>
      <c r="B298" s="106" t="s">
        <v>112</v>
      </c>
      <c r="C298" s="106" t="s">
        <v>66</v>
      </c>
      <c r="D298" s="106" t="s">
        <v>65</v>
      </c>
      <c r="E298" s="106" t="s">
        <v>81</v>
      </c>
      <c r="F298" s="106" t="s">
        <v>80</v>
      </c>
      <c r="G298" s="106" t="s">
        <v>79</v>
      </c>
      <c r="H298" s="106" t="s">
        <v>78</v>
      </c>
      <c r="I298" s="106" t="s">
        <v>111</v>
      </c>
      <c r="J298" s="106" t="s">
        <v>110</v>
      </c>
      <c r="K298" s="106" t="s">
        <v>109</v>
      </c>
      <c r="L298" s="106" t="s">
        <v>108</v>
      </c>
      <c r="M298" s="106" t="s">
        <v>40</v>
      </c>
      <c r="N298" s="106" t="s">
        <v>58</v>
      </c>
      <c r="O298" s="93"/>
    </row>
    <row r="299" spans="1:15" x14ac:dyDescent="0.25">
      <c r="A299" s="115">
        <v>10</v>
      </c>
      <c r="B299" s="115" t="s">
        <v>355</v>
      </c>
      <c r="C299" s="115"/>
      <c r="D299" s="155">
        <v>0.15</v>
      </c>
      <c r="E299" s="115">
        <v>420</v>
      </c>
      <c r="F299" s="115" t="s">
        <v>354</v>
      </c>
      <c r="G299" s="115"/>
      <c r="H299" s="152"/>
      <c r="I299" s="154"/>
      <c r="J299" s="153"/>
      <c r="K299" s="152"/>
      <c r="L299" s="152"/>
      <c r="M299" s="167">
        <v>420</v>
      </c>
      <c r="N299" s="100">
        <f t="shared" ref="N299:N305" si="15">M299*D299</f>
        <v>63</v>
      </c>
      <c r="O299" s="93"/>
    </row>
    <row r="300" spans="1:15" x14ac:dyDescent="0.25">
      <c r="A300" s="115">
        <v>20</v>
      </c>
      <c r="B300" s="115" t="s">
        <v>352</v>
      </c>
      <c r="C300" s="114" t="s">
        <v>353</v>
      </c>
      <c r="D300" s="185">
        <v>1</v>
      </c>
      <c r="E300" s="150"/>
      <c r="F300" s="150"/>
      <c r="G300" s="150"/>
      <c r="H300" s="149"/>
      <c r="I300" s="148"/>
      <c r="J300" s="147"/>
      <c r="K300" s="146"/>
      <c r="L300" s="145"/>
      <c r="M300" s="205">
        <v>1</v>
      </c>
      <c r="N300" s="100">
        <f t="shared" si="15"/>
        <v>1</v>
      </c>
      <c r="O300" s="143"/>
    </row>
    <row r="301" spans="1:15" x14ac:dyDescent="0.25">
      <c r="A301" s="115">
        <v>30</v>
      </c>
      <c r="B301" s="115" t="s">
        <v>352</v>
      </c>
      <c r="C301" s="115" t="s">
        <v>351</v>
      </c>
      <c r="D301" s="155">
        <v>1</v>
      </c>
      <c r="E301" s="115"/>
      <c r="F301" s="115"/>
      <c r="G301" s="115"/>
      <c r="H301" s="152"/>
      <c r="I301" s="168"/>
      <c r="J301" s="167"/>
      <c r="K301" s="152"/>
      <c r="L301" s="166"/>
      <c r="M301" s="167">
        <v>1</v>
      </c>
      <c r="N301" s="100">
        <f t="shared" si="15"/>
        <v>1</v>
      </c>
      <c r="O301" s="143"/>
    </row>
    <row r="302" spans="1:15" x14ac:dyDescent="0.25">
      <c r="A302" s="115">
        <v>40</v>
      </c>
      <c r="B302" s="115" t="s">
        <v>349</v>
      </c>
      <c r="C302" s="115" t="s">
        <v>350</v>
      </c>
      <c r="D302" s="155">
        <v>0.05</v>
      </c>
      <c r="E302" s="115"/>
      <c r="F302" s="115"/>
      <c r="G302" s="115"/>
      <c r="H302" s="152"/>
      <c r="I302" s="168"/>
      <c r="J302" s="167"/>
      <c r="K302" s="152"/>
      <c r="L302" s="166"/>
      <c r="M302" s="167">
        <v>1</v>
      </c>
      <c r="N302" s="100">
        <f t="shared" si="15"/>
        <v>0.05</v>
      </c>
      <c r="O302" s="143"/>
    </row>
    <row r="303" spans="1:15" x14ac:dyDescent="0.25">
      <c r="A303" s="115">
        <v>50</v>
      </c>
      <c r="B303" s="115" t="s">
        <v>349</v>
      </c>
      <c r="C303" s="115" t="s">
        <v>348</v>
      </c>
      <c r="D303" s="155">
        <v>0.05</v>
      </c>
      <c r="E303" s="115"/>
      <c r="F303" s="115"/>
      <c r="G303" s="115"/>
      <c r="H303" s="152"/>
      <c r="I303" s="168"/>
      <c r="J303" s="167"/>
      <c r="K303" s="152"/>
      <c r="L303" s="166"/>
      <c r="M303" s="167">
        <v>1</v>
      </c>
      <c r="N303" s="100">
        <f t="shared" si="15"/>
        <v>0.05</v>
      </c>
      <c r="O303" s="143"/>
    </row>
    <row r="304" spans="1:15" x14ac:dyDescent="0.25">
      <c r="A304" s="115">
        <v>60</v>
      </c>
      <c r="B304" s="115" t="s">
        <v>347</v>
      </c>
      <c r="C304" s="115" t="s">
        <v>346</v>
      </c>
      <c r="D304" s="155">
        <v>15</v>
      </c>
      <c r="E304" s="115">
        <v>3.5</v>
      </c>
      <c r="F304" s="115" t="s">
        <v>345</v>
      </c>
      <c r="G304" s="115"/>
      <c r="H304" s="152"/>
      <c r="I304" s="168"/>
      <c r="J304" s="167"/>
      <c r="K304" s="152"/>
      <c r="L304" s="152"/>
      <c r="M304" s="167">
        <v>3.5</v>
      </c>
      <c r="N304" s="100">
        <f t="shared" si="15"/>
        <v>52.5</v>
      </c>
      <c r="O304" s="143"/>
    </row>
    <row r="305" spans="1:15" x14ac:dyDescent="0.25">
      <c r="A305" s="115">
        <v>70</v>
      </c>
      <c r="B305" s="115" t="s">
        <v>344</v>
      </c>
      <c r="C305" s="204"/>
      <c r="D305" s="155">
        <v>1</v>
      </c>
      <c r="E305" s="115"/>
      <c r="F305" s="115"/>
      <c r="G305" s="115"/>
      <c r="H305" s="152"/>
      <c r="I305" s="168"/>
      <c r="J305" s="167"/>
      <c r="K305" s="152"/>
      <c r="L305" s="152"/>
      <c r="M305" s="167">
        <v>1</v>
      </c>
      <c r="N305" s="100">
        <f t="shared" si="15"/>
        <v>1</v>
      </c>
      <c r="O305" s="143"/>
    </row>
    <row r="306" spans="1:15" x14ac:dyDescent="0.25">
      <c r="A306" s="98"/>
      <c r="B306" s="95"/>
      <c r="C306" s="95"/>
      <c r="D306" s="95"/>
      <c r="E306" s="95"/>
      <c r="F306" s="95"/>
      <c r="G306" s="95"/>
      <c r="H306" s="95"/>
      <c r="I306" s="95"/>
      <c r="J306" s="95"/>
      <c r="K306" s="95"/>
      <c r="L306" s="95"/>
      <c r="M306" s="106" t="s">
        <v>58</v>
      </c>
      <c r="N306" s="96">
        <f>SUM(N299:N305)</f>
        <v>118.6</v>
      </c>
      <c r="O306" s="93"/>
    </row>
    <row r="307" spans="1:15" x14ac:dyDescent="0.25">
      <c r="A307" s="107"/>
      <c r="B307" s="94"/>
      <c r="C307" s="94"/>
      <c r="D307" s="94"/>
      <c r="E307" s="94"/>
      <c r="F307" s="94"/>
      <c r="G307" s="94"/>
      <c r="H307" s="94"/>
      <c r="I307" s="94"/>
      <c r="J307" s="94"/>
      <c r="K307" s="94"/>
      <c r="L307" s="94"/>
      <c r="M307" s="94"/>
      <c r="N307" s="94"/>
      <c r="O307" s="93"/>
    </row>
    <row r="308" spans="1:15" x14ac:dyDescent="0.25">
      <c r="A308" s="106" t="s">
        <v>67</v>
      </c>
      <c r="B308" s="106" t="s">
        <v>106</v>
      </c>
      <c r="C308" s="106" t="s">
        <v>66</v>
      </c>
      <c r="D308" s="106" t="s">
        <v>65</v>
      </c>
      <c r="E308" s="106" t="s">
        <v>64</v>
      </c>
      <c r="F308" s="106" t="s">
        <v>40</v>
      </c>
      <c r="G308" s="106" t="s">
        <v>105</v>
      </c>
      <c r="H308" s="106" t="s">
        <v>104</v>
      </c>
      <c r="I308" s="106" t="s">
        <v>58</v>
      </c>
      <c r="J308" s="95"/>
      <c r="K308" s="95"/>
      <c r="L308" s="95"/>
      <c r="M308" s="95"/>
      <c r="N308" s="95"/>
      <c r="O308" s="120"/>
    </row>
    <row r="309" spans="1:15" x14ac:dyDescent="0.25">
      <c r="A309" s="115">
        <v>10</v>
      </c>
      <c r="B309" s="198" t="s">
        <v>95</v>
      </c>
      <c r="C309" s="177" t="s">
        <v>343</v>
      </c>
      <c r="D309" s="197">
        <v>0.19</v>
      </c>
      <c r="E309" s="198" t="s">
        <v>64</v>
      </c>
      <c r="F309" s="163">
        <v>1</v>
      </c>
      <c r="G309" s="115"/>
      <c r="H309" s="115"/>
      <c r="I309" s="100">
        <f t="shared" ref="I309:I330" si="16">IF(H309="",D309*F309,D309*F309*H309)</f>
        <v>0.19</v>
      </c>
      <c r="J309" s="94"/>
      <c r="K309" s="94"/>
      <c r="L309" s="94"/>
      <c r="M309" s="94"/>
      <c r="N309" s="94"/>
      <c r="O309" s="93"/>
    </row>
    <row r="310" spans="1:15" x14ac:dyDescent="0.25">
      <c r="A310" s="115">
        <v>20</v>
      </c>
      <c r="B310" s="198" t="s">
        <v>95</v>
      </c>
      <c r="C310" s="115" t="s">
        <v>342</v>
      </c>
      <c r="D310" s="197">
        <v>0.19</v>
      </c>
      <c r="E310" s="115" t="s">
        <v>64</v>
      </c>
      <c r="F310" s="163">
        <v>1</v>
      </c>
      <c r="G310" s="115"/>
      <c r="H310" s="115"/>
      <c r="I310" s="100">
        <f t="shared" si="16"/>
        <v>0.19</v>
      </c>
      <c r="J310" s="94"/>
      <c r="K310" s="94"/>
      <c r="L310" s="94"/>
      <c r="M310" s="94"/>
      <c r="N310" s="94"/>
      <c r="O310" s="93"/>
    </row>
    <row r="311" spans="1:15" x14ac:dyDescent="0.25">
      <c r="A311" s="115">
        <v>30</v>
      </c>
      <c r="B311" s="198" t="s">
        <v>95</v>
      </c>
      <c r="C311" s="115" t="s">
        <v>341</v>
      </c>
      <c r="D311" s="197">
        <v>0.19</v>
      </c>
      <c r="E311" s="115" t="s">
        <v>64</v>
      </c>
      <c r="F311" s="163">
        <v>1</v>
      </c>
      <c r="G311" s="115"/>
      <c r="H311" s="115"/>
      <c r="I311" s="100">
        <f t="shared" si="16"/>
        <v>0.19</v>
      </c>
      <c r="J311" s="94"/>
      <c r="K311" s="94"/>
      <c r="L311" s="94"/>
      <c r="M311" s="94"/>
      <c r="N311" s="94"/>
      <c r="O311" s="93"/>
    </row>
    <row r="312" spans="1:15" x14ac:dyDescent="0.25">
      <c r="A312" s="115">
        <v>40</v>
      </c>
      <c r="B312" s="198" t="s">
        <v>95</v>
      </c>
      <c r="C312" s="115" t="s">
        <v>340</v>
      </c>
      <c r="D312" s="197">
        <v>0.13</v>
      </c>
      <c r="E312" s="115" t="s">
        <v>64</v>
      </c>
      <c r="F312" s="163">
        <v>1</v>
      </c>
      <c r="G312" s="115"/>
      <c r="H312" s="115"/>
      <c r="I312" s="100">
        <f t="shared" si="16"/>
        <v>0.13</v>
      </c>
      <c r="J312" s="94"/>
      <c r="K312" s="94"/>
      <c r="L312" s="94"/>
      <c r="M312" s="94"/>
      <c r="N312" s="94"/>
      <c r="O312" s="93"/>
    </row>
    <row r="313" spans="1:15" x14ac:dyDescent="0.25">
      <c r="A313" s="115">
        <v>50</v>
      </c>
      <c r="B313" s="198" t="s">
        <v>95</v>
      </c>
      <c r="C313" s="115" t="s">
        <v>339</v>
      </c>
      <c r="D313" s="197">
        <v>0.13</v>
      </c>
      <c r="E313" s="115" t="s">
        <v>64</v>
      </c>
      <c r="F313" s="163">
        <v>1</v>
      </c>
      <c r="G313" s="115"/>
      <c r="H313" s="115"/>
      <c r="I313" s="100">
        <f t="shared" si="16"/>
        <v>0.13</v>
      </c>
      <c r="J313" s="94"/>
      <c r="K313" s="94"/>
      <c r="L313" s="94"/>
      <c r="M313" s="94"/>
      <c r="N313" s="94"/>
      <c r="O313" s="93"/>
    </row>
    <row r="314" spans="1:15" x14ac:dyDescent="0.25">
      <c r="A314" s="115">
        <v>60</v>
      </c>
      <c r="B314" s="198" t="s">
        <v>95</v>
      </c>
      <c r="C314" s="115" t="s">
        <v>338</v>
      </c>
      <c r="D314" s="197">
        <v>0.13</v>
      </c>
      <c r="E314" s="115" t="s">
        <v>64</v>
      </c>
      <c r="F314" s="163">
        <v>1</v>
      </c>
      <c r="G314" s="115"/>
      <c r="H314" s="115"/>
      <c r="I314" s="100">
        <f t="shared" si="16"/>
        <v>0.13</v>
      </c>
      <c r="J314" s="94"/>
      <c r="K314" s="94"/>
      <c r="L314" s="94"/>
      <c r="M314" s="94"/>
      <c r="N314" s="94"/>
      <c r="O314" s="93"/>
    </row>
    <row r="315" spans="1:15" x14ac:dyDescent="0.25">
      <c r="A315" s="115">
        <v>70</v>
      </c>
      <c r="B315" s="198" t="s">
        <v>95</v>
      </c>
      <c r="C315" s="115" t="s">
        <v>337</v>
      </c>
      <c r="D315" s="197">
        <v>0.13</v>
      </c>
      <c r="E315" s="115" t="s">
        <v>64</v>
      </c>
      <c r="F315" s="163">
        <v>1</v>
      </c>
      <c r="G315" s="115"/>
      <c r="H315" s="115"/>
      <c r="I315" s="100">
        <f t="shared" si="16"/>
        <v>0.13</v>
      </c>
      <c r="J315" s="94"/>
      <c r="K315" s="94"/>
      <c r="L315" s="94"/>
      <c r="M315" s="94"/>
      <c r="N315" s="94"/>
      <c r="O315" s="93"/>
    </row>
    <row r="316" spans="1:15" x14ac:dyDescent="0.25">
      <c r="A316" s="115">
        <v>80</v>
      </c>
      <c r="B316" s="198" t="s">
        <v>328</v>
      </c>
      <c r="C316" s="115" t="s">
        <v>336</v>
      </c>
      <c r="D316" s="197">
        <v>0.5</v>
      </c>
      <c r="E316" s="115" t="s">
        <v>64</v>
      </c>
      <c r="F316" s="163">
        <v>1</v>
      </c>
      <c r="G316" s="115"/>
      <c r="H316" s="115"/>
      <c r="I316" s="100">
        <f t="shared" si="16"/>
        <v>0.5</v>
      </c>
      <c r="J316" s="94"/>
      <c r="K316" s="94"/>
      <c r="L316" s="94"/>
      <c r="M316" s="94"/>
      <c r="N316" s="94"/>
      <c r="O316" s="93"/>
    </row>
    <row r="317" spans="1:15" x14ac:dyDescent="0.25">
      <c r="A317" s="115">
        <v>90</v>
      </c>
      <c r="B317" s="198" t="s">
        <v>326</v>
      </c>
      <c r="C317" s="115" t="s">
        <v>335</v>
      </c>
      <c r="D317" s="197">
        <v>0.25</v>
      </c>
      <c r="E317" s="115" t="s">
        <v>64</v>
      </c>
      <c r="F317" s="163">
        <v>1</v>
      </c>
      <c r="G317" s="115"/>
      <c r="H317" s="115"/>
      <c r="I317" s="100">
        <f t="shared" si="16"/>
        <v>0.25</v>
      </c>
      <c r="J317" s="94"/>
      <c r="K317" s="94"/>
      <c r="L317" s="94"/>
      <c r="M317" s="94"/>
      <c r="N317" s="94"/>
      <c r="O317" s="93"/>
    </row>
    <row r="318" spans="1:15" x14ac:dyDescent="0.25">
      <c r="A318" s="115">
        <v>100</v>
      </c>
      <c r="B318" s="198" t="s">
        <v>334</v>
      </c>
      <c r="C318" s="115" t="s">
        <v>333</v>
      </c>
      <c r="D318" s="197">
        <v>0.13</v>
      </c>
      <c r="E318" s="115" t="s">
        <v>64</v>
      </c>
      <c r="F318" s="163">
        <v>1</v>
      </c>
      <c r="G318" s="115"/>
      <c r="H318" s="115"/>
      <c r="I318" s="100">
        <f t="shared" si="16"/>
        <v>0.13</v>
      </c>
      <c r="J318" s="94"/>
      <c r="K318" s="94"/>
      <c r="L318" s="94"/>
      <c r="M318" s="94"/>
      <c r="N318" s="94"/>
      <c r="O318" s="93"/>
    </row>
    <row r="319" spans="1:15" x14ac:dyDescent="0.25">
      <c r="A319" s="115">
        <v>110</v>
      </c>
      <c r="B319" s="198" t="s">
        <v>318</v>
      </c>
      <c r="C319" s="115" t="s">
        <v>332</v>
      </c>
      <c r="D319" s="197">
        <v>0.06</v>
      </c>
      <c r="E319" s="115" t="s">
        <v>64</v>
      </c>
      <c r="F319" s="163">
        <v>1</v>
      </c>
      <c r="G319" s="115"/>
      <c r="H319" s="115"/>
      <c r="I319" s="100">
        <f t="shared" si="16"/>
        <v>0.06</v>
      </c>
      <c r="J319" s="94"/>
      <c r="K319" s="94"/>
      <c r="L319" s="94"/>
      <c r="M319" s="94"/>
      <c r="N319" s="94"/>
      <c r="O319" s="93"/>
    </row>
    <row r="320" spans="1:15" x14ac:dyDescent="0.25">
      <c r="A320" s="115">
        <v>120</v>
      </c>
      <c r="B320" s="198" t="s">
        <v>328</v>
      </c>
      <c r="C320" s="115" t="s">
        <v>331</v>
      </c>
      <c r="D320" s="197">
        <v>0.5</v>
      </c>
      <c r="E320" s="115" t="s">
        <v>64</v>
      </c>
      <c r="F320" s="163">
        <v>1</v>
      </c>
      <c r="G320" s="115"/>
      <c r="H320" s="115"/>
      <c r="I320" s="100">
        <f t="shared" si="16"/>
        <v>0.5</v>
      </c>
      <c r="J320" s="94"/>
      <c r="K320" s="94"/>
      <c r="L320" s="94"/>
      <c r="M320" s="94"/>
      <c r="N320" s="94"/>
      <c r="O320" s="93"/>
    </row>
    <row r="321" spans="1:15" x14ac:dyDescent="0.25">
      <c r="A321" s="115">
        <v>130</v>
      </c>
      <c r="B321" s="198" t="s">
        <v>87</v>
      </c>
      <c r="C321" s="115" t="s">
        <v>330</v>
      </c>
      <c r="D321" s="197">
        <v>0.06</v>
      </c>
      <c r="E321" s="115" t="s">
        <v>64</v>
      </c>
      <c r="F321" s="163">
        <v>2</v>
      </c>
      <c r="G321" s="115"/>
      <c r="H321" s="115"/>
      <c r="I321" s="100">
        <f t="shared" si="16"/>
        <v>0.12</v>
      </c>
      <c r="J321" s="94"/>
      <c r="K321" s="94"/>
      <c r="L321" s="94"/>
      <c r="M321" s="94"/>
      <c r="N321" s="94"/>
      <c r="O321" s="93"/>
    </row>
    <row r="322" spans="1:15" x14ac:dyDescent="0.25">
      <c r="A322" s="115">
        <v>140</v>
      </c>
      <c r="B322" s="198" t="s">
        <v>87</v>
      </c>
      <c r="C322" s="115" t="s">
        <v>329</v>
      </c>
      <c r="D322" s="197">
        <v>0.06</v>
      </c>
      <c r="E322" s="115" t="s">
        <v>64</v>
      </c>
      <c r="F322" s="163">
        <v>1</v>
      </c>
      <c r="G322" s="115"/>
      <c r="H322" s="115"/>
      <c r="I322" s="100">
        <f t="shared" si="16"/>
        <v>0.06</v>
      </c>
      <c r="J322" s="94"/>
      <c r="K322" s="94"/>
      <c r="L322" s="94"/>
      <c r="M322" s="94"/>
      <c r="N322" s="94"/>
      <c r="O322" s="93"/>
    </row>
    <row r="323" spans="1:15" x14ac:dyDescent="0.25">
      <c r="A323" s="115">
        <v>150</v>
      </c>
      <c r="B323" s="198" t="s">
        <v>328</v>
      </c>
      <c r="C323" s="114" t="s">
        <v>327</v>
      </c>
      <c r="D323" s="197">
        <v>0.5</v>
      </c>
      <c r="E323" s="115" t="s">
        <v>64</v>
      </c>
      <c r="F323" s="163">
        <v>2</v>
      </c>
      <c r="G323" s="115"/>
      <c r="H323" s="115"/>
      <c r="I323" s="100">
        <f t="shared" si="16"/>
        <v>1</v>
      </c>
      <c r="J323" s="94"/>
      <c r="K323" s="94"/>
      <c r="L323" s="94"/>
      <c r="M323" s="94"/>
      <c r="N323" s="94"/>
      <c r="O323" s="93"/>
    </row>
    <row r="324" spans="1:15" x14ac:dyDescent="0.25">
      <c r="A324" s="115">
        <v>160</v>
      </c>
      <c r="B324" s="198" t="s">
        <v>326</v>
      </c>
      <c r="C324" s="115" t="s">
        <v>325</v>
      </c>
      <c r="D324" s="197">
        <v>0.25</v>
      </c>
      <c r="E324" s="115" t="s">
        <v>64</v>
      </c>
      <c r="F324" s="163">
        <v>2</v>
      </c>
      <c r="G324" s="115"/>
      <c r="H324" s="115"/>
      <c r="I324" s="100">
        <f t="shared" si="16"/>
        <v>0.5</v>
      </c>
      <c r="J324" s="94"/>
      <c r="K324" s="94"/>
      <c r="L324" s="94"/>
      <c r="M324" s="94"/>
      <c r="N324" s="94"/>
      <c r="O324" s="93"/>
    </row>
    <row r="325" spans="1:15" x14ac:dyDescent="0.25">
      <c r="A325" s="115">
        <v>170</v>
      </c>
      <c r="B325" s="115" t="s">
        <v>165</v>
      </c>
      <c r="C325" s="115" t="s">
        <v>324</v>
      </c>
      <c r="D325" s="197">
        <v>0.06</v>
      </c>
      <c r="E325" s="115" t="s">
        <v>64</v>
      </c>
      <c r="F325" s="163">
        <v>1</v>
      </c>
      <c r="G325" s="163"/>
      <c r="H325" s="163"/>
      <c r="I325" s="100">
        <f t="shared" si="16"/>
        <v>0.06</v>
      </c>
      <c r="J325" s="94"/>
      <c r="K325" s="94"/>
      <c r="L325" s="94"/>
      <c r="M325" s="94"/>
      <c r="N325" s="94"/>
      <c r="O325" s="93"/>
    </row>
    <row r="326" spans="1:15" x14ac:dyDescent="0.25">
      <c r="A326" s="115">
        <v>180</v>
      </c>
      <c r="B326" s="115" t="s">
        <v>323</v>
      </c>
      <c r="C326" s="115" t="s">
        <v>322</v>
      </c>
      <c r="D326" s="197">
        <v>0.5</v>
      </c>
      <c r="E326" s="115" t="s">
        <v>64</v>
      </c>
      <c r="F326" s="163">
        <v>1</v>
      </c>
      <c r="G326" s="163"/>
      <c r="H326" s="163"/>
      <c r="I326" s="100">
        <f t="shared" si="16"/>
        <v>0.5</v>
      </c>
      <c r="J326" s="94"/>
      <c r="K326" s="94"/>
      <c r="L326" s="94"/>
      <c r="M326" s="94"/>
      <c r="N326" s="94"/>
      <c r="O326" s="93"/>
    </row>
    <row r="327" spans="1:15" x14ac:dyDescent="0.25">
      <c r="A327" s="115">
        <v>190</v>
      </c>
      <c r="B327" s="115" t="s">
        <v>165</v>
      </c>
      <c r="C327" s="115" t="s">
        <v>321</v>
      </c>
      <c r="D327" s="197">
        <v>0.06</v>
      </c>
      <c r="E327" s="115" t="s">
        <v>64</v>
      </c>
      <c r="F327" s="163">
        <v>1</v>
      </c>
      <c r="G327" s="163"/>
      <c r="H327" s="163"/>
      <c r="I327" s="100">
        <f t="shared" si="16"/>
        <v>0.06</v>
      </c>
      <c r="J327" s="94"/>
      <c r="K327" s="94"/>
      <c r="L327" s="94"/>
      <c r="M327" s="94"/>
      <c r="N327" s="94"/>
      <c r="O327" s="93"/>
    </row>
    <row r="328" spans="1:15" x14ac:dyDescent="0.25">
      <c r="A328" s="115">
        <v>200</v>
      </c>
      <c r="B328" s="115" t="s">
        <v>320</v>
      </c>
      <c r="C328" s="115" t="s">
        <v>319</v>
      </c>
      <c r="D328" s="197">
        <v>0.25</v>
      </c>
      <c r="E328" s="115" t="s">
        <v>64</v>
      </c>
      <c r="F328" s="163">
        <v>1</v>
      </c>
      <c r="G328" s="163"/>
      <c r="H328" s="163"/>
      <c r="I328" s="100">
        <f t="shared" si="16"/>
        <v>0.25</v>
      </c>
      <c r="J328" s="94"/>
      <c r="K328" s="94"/>
      <c r="L328" s="94"/>
      <c r="M328" s="94"/>
      <c r="N328" s="94"/>
      <c r="O328" s="93"/>
    </row>
    <row r="329" spans="1:15" x14ac:dyDescent="0.25">
      <c r="A329" s="115">
        <v>210</v>
      </c>
      <c r="B329" s="198" t="s">
        <v>318</v>
      </c>
      <c r="C329" s="115" t="s">
        <v>317</v>
      </c>
      <c r="D329" s="197">
        <v>0.06</v>
      </c>
      <c r="E329" s="115" t="s">
        <v>64</v>
      </c>
      <c r="F329" s="163">
        <v>1</v>
      </c>
      <c r="G329" s="115"/>
      <c r="H329" s="115"/>
      <c r="I329" s="100">
        <f t="shared" si="16"/>
        <v>0.06</v>
      </c>
      <c r="J329" s="94"/>
      <c r="K329" s="94"/>
      <c r="L329" s="94"/>
      <c r="M329" s="94"/>
      <c r="N329" s="94"/>
      <c r="O329" s="93"/>
    </row>
    <row r="330" spans="1:15" x14ac:dyDescent="0.25">
      <c r="A330" s="115">
        <v>220</v>
      </c>
      <c r="B330" s="115" t="s">
        <v>316</v>
      </c>
      <c r="C330" s="115" t="s">
        <v>315</v>
      </c>
      <c r="D330" s="197">
        <v>0.6</v>
      </c>
      <c r="E330" s="115" t="s">
        <v>64</v>
      </c>
      <c r="F330" s="115">
        <v>1</v>
      </c>
      <c r="G330" s="163"/>
      <c r="H330" s="163"/>
      <c r="I330" s="100">
        <f t="shared" si="16"/>
        <v>0.6</v>
      </c>
      <c r="J330" s="94"/>
      <c r="K330" s="94"/>
      <c r="L330" s="94"/>
      <c r="M330" s="94"/>
      <c r="N330" s="94"/>
      <c r="O330" s="93"/>
    </row>
    <row r="331" spans="1:15" x14ac:dyDescent="0.25">
      <c r="A331" s="98"/>
      <c r="B331" s="95"/>
      <c r="C331" s="95"/>
      <c r="D331" s="95"/>
      <c r="E331" s="95"/>
      <c r="F331" s="95"/>
      <c r="G331" s="95"/>
      <c r="H331" s="97" t="s">
        <v>58</v>
      </c>
      <c r="I331" s="96">
        <f>SUM(I309:I330)</f>
        <v>5.7399999999999993</v>
      </c>
      <c r="J331" s="94"/>
      <c r="K331" s="94"/>
      <c r="L331" s="94"/>
      <c r="M331" s="94"/>
      <c r="N331" s="94"/>
      <c r="O331" s="93"/>
    </row>
    <row r="332" spans="1:15" x14ac:dyDescent="0.25">
      <c r="A332" s="107"/>
      <c r="B332" s="94"/>
      <c r="C332" s="94"/>
      <c r="D332" s="94"/>
      <c r="E332" s="94"/>
      <c r="F332" s="94"/>
      <c r="G332" s="94"/>
      <c r="H332" s="94"/>
      <c r="I332" s="94"/>
      <c r="J332" s="94"/>
      <c r="K332" s="94"/>
      <c r="L332" s="94"/>
      <c r="M332" s="94"/>
      <c r="N332" s="94"/>
      <c r="O332" s="93"/>
    </row>
    <row r="333" spans="1:15" x14ac:dyDescent="0.25">
      <c r="A333" s="106" t="s">
        <v>67</v>
      </c>
      <c r="B333" s="106" t="s">
        <v>82</v>
      </c>
      <c r="C333" s="106" t="s">
        <v>66</v>
      </c>
      <c r="D333" s="106" t="s">
        <v>65</v>
      </c>
      <c r="E333" s="106" t="s">
        <v>81</v>
      </c>
      <c r="F333" s="106" t="s">
        <v>80</v>
      </c>
      <c r="G333" s="106" t="s">
        <v>79</v>
      </c>
      <c r="H333" s="106" t="s">
        <v>78</v>
      </c>
      <c r="I333" s="106" t="s">
        <v>40</v>
      </c>
      <c r="J333" s="106" t="s">
        <v>58</v>
      </c>
      <c r="K333" s="94"/>
      <c r="L333" s="94"/>
      <c r="M333" s="94"/>
      <c r="N333" s="94"/>
      <c r="O333" s="93"/>
    </row>
    <row r="334" spans="1:15" x14ac:dyDescent="0.25">
      <c r="A334" s="115">
        <v>10</v>
      </c>
      <c r="B334" s="115" t="s">
        <v>184</v>
      </c>
      <c r="C334" s="115" t="s">
        <v>314</v>
      </c>
      <c r="D334" s="175">
        <v>0.03</v>
      </c>
      <c r="E334" s="180">
        <v>5</v>
      </c>
      <c r="F334" s="180" t="s">
        <v>68</v>
      </c>
      <c r="G334" s="180">
        <v>15</v>
      </c>
      <c r="H334" s="180" t="s">
        <v>68</v>
      </c>
      <c r="I334" s="172">
        <v>1</v>
      </c>
      <c r="J334" s="100">
        <f t="shared" ref="J334:J339" si="17">I334*D334</f>
        <v>0.03</v>
      </c>
      <c r="K334" s="94"/>
      <c r="L334" s="94"/>
      <c r="M334" s="94"/>
      <c r="N334" s="94"/>
      <c r="O334" s="93"/>
    </row>
    <row r="335" spans="1:15" x14ac:dyDescent="0.25">
      <c r="A335" s="115">
        <v>20</v>
      </c>
      <c r="B335" s="115" t="s">
        <v>184</v>
      </c>
      <c r="C335" s="115" t="s">
        <v>313</v>
      </c>
      <c r="D335" s="175">
        <v>0.03</v>
      </c>
      <c r="E335" s="115">
        <v>5</v>
      </c>
      <c r="F335" s="174" t="s">
        <v>68</v>
      </c>
      <c r="G335" s="115">
        <v>20</v>
      </c>
      <c r="H335" s="173" t="s">
        <v>68</v>
      </c>
      <c r="I335" s="172">
        <v>1</v>
      </c>
      <c r="J335" s="100">
        <f t="shared" si="17"/>
        <v>0.03</v>
      </c>
      <c r="K335" s="94"/>
      <c r="L335" s="94"/>
      <c r="M335" s="94"/>
      <c r="N335" s="94"/>
      <c r="O335" s="93"/>
    </row>
    <row r="336" spans="1:15" x14ac:dyDescent="0.25">
      <c r="A336" s="115">
        <v>30</v>
      </c>
      <c r="B336" s="179" t="s">
        <v>184</v>
      </c>
      <c r="C336" s="114" t="s">
        <v>312</v>
      </c>
      <c r="D336" s="178">
        <v>0.04</v>
      </c>
      <c r="E336" s="114">
        <v>6</v>
      </c>
      <c r="F336" s="158" t="s">
        <v>68</v>
      </c>
      <c r="G336" s="114">
        <v>20</v>
      </c>
      <c r="H336" s="177" t="s">
        <v>68</v>
      </c>
      <c r="I336" s="176">
        <v>2</v>
      </c>
      <c r="J336" s="100">
        <f t="shared" si="17"/>
        <v>0.08</v>
      </c>
      <c r="K336" s="94"/>
      <c r="L336" s="94"/>
      <c r="M336" s="94"/>
      <c r="N336" s="94"/>
      <c r="O336" s="93"/>
    </row>
    <row r="337" spans="1:15" x14ac:dyDescent="0.25">
      <c r="A337" s="115">
        <v>40</v>
      </c>
      <c r="B337" s="115" t="s">
        <v>311</v>
      </c>
      <c r="C337" s="114" t="s">
        <v>310</v>
      </c>
      <c r="D337" s="178">
        <v>0.03</v>
      </c>
      <c r="E337" s="114">
        <v>6</v>
      </c>
      <c r="F337" s="158" t="s">
        <v>68</v>
      </c>
      <c r="G337" s="114"/>
      <c r="H337" s="177"/>
      <c r="I337" s="176">
        <v>2</v>
      </c>
      <c r="J337" s="100">
        <f t="shared" si="17"/>
        <v>0.06</v>
      </c>
      <c r="K337" s="94"/>
      <c r="L337" s="94"/>
      <c r="M337" s="94"/>
      <c r="N337" s="94"/>
      <c r="O337" s="93"/>
    </row>
    <row r="338" spans="1:15" x14ac:dyDescent="0.25">
      <c r="A338" s="115">
        <v>50</v>
      </c>
      <c r="B338" s="115" t="s">
        <v>309</v>
      </c>
      <c r="C338" s="114" t="s">
        <v>308</v>
      </c>
      <c r="D338" s="175">
        <v>0.01</v>
      </c>
      <c r="E338" s="115">
        <v>6</v>
      </c>
      <c r="F338" s="174" t="s">
        <v>68</v>
      </c>
      <c r="G338" s="115"/>
      <c r="H338" s="173"/>
      <c r="I338" s="172">
        <v>2</v>
      </c>
      <c r="J338" s="100">
        <f t="shared" si="17"/>
        <v>0.02</v>
      </c>
      <c r="K338" s="94"/>
      <c r="L338" s="94"/>
      <c r="M338" s="94"/>
      <c r="N338" s="94"/>
      <c r="O338" s="93"/>
    </row>
    <row r="339" spans="1:15" x14ac:dyDescent="0.25">
      <c r="A339" s="115">
        <v>60</v>
      </c>
      <c r="B339" s="179" t="s">
        <v>255</v>
      </c>
      <c r="C339" s="115" t="s">
        <v>307</v>
      </c>
      <c r="D339" s="178">
        <v>0.8</v>
      </c>
      <c r="E339" s="114">
        <v>75</v>
      </c>
      <c r="F339" s="158" t="s">
        <v>68</v>
      </c>
      <c r="G339" s="114"/>
      <c r="H339" s="177"/>
      <c r="I339" s="176">
        <v>1</v>
      </c>
      <c r="J339" s="100">
        <f t="shared" si="17"/>
        <v>0.8</v>
      </c>
      <c r="K339" s="94"/>
      <c r="L339" s="94"/>
      <c r="M339" s="94"/>
      <c r="N339" s="94"/>
      <c r="O339" s="93"/>
    </row>
    <row r="340" spans="1:15" x14ac:dyDescent="0.25">
      <c r="A340" s="98"/>
      <c r="B340" s="95"/>
      <c r="C340" s="95"/>
      <c r="D340" s="95"/>
      <c r="E340" s="95"/>
      <c r="F340" s="95"/>
      <c r="G340" s="95"/>
      <c r="H340" s="95"/>
      <c r="I340" s="97" t="s">
        <v>58</v>
      </c>
      <c r="J340" s="96">
        <f>SUM(J334:J339)</f>
        <v>1.02</v>
      </c>
      <c r="K340" s="94"/>
      <c r="L340" s="94"/>
      <c r="M340" s="94"/>
      <c r="N340" s="94"/>
      <c r="O340" s="93"/>
    </row>
    <row r="341" spans="1:15" ht="15.75" thickBot="1" x14ac:dyDescent="0.3">
      <c r="A341" s="92"/>
      <c r="B341" s="91"/>
      <c r="C341" s="91"/>
      <c r="D341" s="91"/>
      <c r="E341" s="91"/>
      <c r="F341" s="91"/>
      <c r="G341" s="91"/>
      <c r="H341" s="91"/>
      <c r="I341" s="91"/>
      <c r="J341" s="91"/>
      <c r="K341" s="91"/>
      <c r="L341" s="91"/>
      <c r="M341" s="91"/>
      <c r="N341" s="91"/>
      <c r="O341" s="90"/>
    </row>
    <row r="342" spans="1:15" ht="15.75" thickBot="1" x14ac:dyDescent="0.3"/>
    <row r="343" spans="1:15" x14ac:dyDescent="0.25">
      <c r="A343" s="141"/>
      <c r="B343" s="140"/>
      <c r="C343" s="140"/>
      <c r="D343" s="140"/>
      <c r="E343" s="140"/>
      <c r="F343" s="140"/>
      <c r="G343" s="140"/>
      <c r="H343" s="140"/>
      <c r="I343" s="140"/>
      <c r="J343" s="140"/>
      <c r="K343" s="140"/>
      <c r="L343" s="140"/>
      <c r="M343" s="140"/>
      <c r="N343" s="140"/>
      <c r="O343" s="139"/>
    </row>
    <row r="344" spans="1:15" x14ac:dyDescent="0.25">
      <c r="A344" s="106" t="s">
        <v>57</v>
      </c>
      <c r="B344" s="133" t="s">
        <v>127</v>
      </c>
      <c r="C344" s="94"/>
      <c r="D344" s="94"/>
      <c r="E344" s="94"/>
      <c r="F344" s="94"/>
      <c r="G344" s="94"/>
      <c r="H344" s="94"/>
      <c r="I344" s="94"/>
      <c r="J344" s="106" t="s">
        <v>51</v>
      </c>
      <c r="K344" s="138">
        <v>81</v>
      </c>
      <c r="L344" s="94"/>
      <c r="M344" s="106" t="s">
        <v>126</v>
      </c>
      <c r="N344" s="137">
        <f>E354+EN_A0007_m+EN_A0007_f+EN_A0007_p</f>
        <v>79.56333699999999</v>
      </c>
      <c r="O344" s="93"/>
    </row>
    <row r="345" spans="1:15" x14ac:dyDescent="0.25">
      <c r="A345" s="106" t="s">
        <v>125</v>
      </c>
      <c r="B345" s="133" t="s">
        <v>21</v>
      </c>
      <c r="C345" s="94"/>
      <c r="D345" s="94"/>
      <c r="E345" s="94"/>
      <c r="F345" s="94"/>
      <c r="G345" s="94"/>
      <c r="H345" s="94"/>
      <c r="I345" s="94"/>
      <c r="J345" s="94"/>
      <c r="K345" s="94"/>
      <c r="L345" s="94"/>
      <c r="M345" s="106" t="s">
        <v>124</v>
      </c>
      <c r="N345" s="136">
        <v>1</v>
      </c>
      <c r="O345" s="93"/>
    </row>
    <row r="346" spans="1:15" x14ac:dyDescent="0.25">
      <c r="A346" s="106" t="s">
        <v>123</v>
      </c>
      <c r="B346" s="99" t="s">
        <v>28</v>
      </c>
      <c r="C346" s="94"/>
      <c r="D346" s="94"/>
      <c r="E346" s="94"/>
      <c r="F346" s="94"/>
      <c r="G346" s="94"/>
      <c r="H346" s="94"/>
      <c r="I346" s="94"/>
      <c r="J346" s="134" t="s">
        <v>122</v>
      </c>
      <c r="K346" s="94"/>
      <c r="L346" s="94"/>
      <c r="M346" s="94"/>
      <c r="N346" s="94"/>
      <c r="O346" s="93"/>
    </row>
    <row r="347" spans="1:15" x14ac:dyDescent="0.25">
      <c r="A347" s="106" t="s">
        <v>121</v>
      </c>
      <c r="B347" s="135" t="s">
        <v>306</v>
      </c>
      <c r="C347" s="94"/>
      <c r="D347" s="94"/>
      <c r="E347" s="94"/>
      <c r="F347" s="94"/>
      <c r="G347" s="94"/>
      <c r="H347" s="94"/>
      <c r="I347" s="94"/>
      <c r="J347" s="134" t="s">
        <v>119</v>
      </c>
      <c r="K347" s="94"/>
      <c r="L347" s="94"/>
      <c r="M347" s="106" t="s">
        <v>118</v>
      </c>
      <c r="N347" s="100">
        <f>N344*N345</f>
        <v>79.56333699999999</v>
      </c>
      <c r="O347" s="93"/>
    </row>
    <row r="348" spans="1:15" x14ac:dyDescent="0.25">
      <c r="A348" s="106" t="s">
        <v>117</v>
      </c>
      <c r="B348" s="133" t="s">
        <v>23</v>
      </c>
      <c r="C348" s="94"/>
      <c r="D348" s="94"/>
      <c r="E348" s="94"/>
      <c r="F348" s="94"/>
      <c r="G348" s="94"/>
      <c r="H348" s="94"/>
      <c r="I348" s="94"/>
      <c r="J348" s="134" t="s">
        <v>116</v>
      </c>
      <c r="K348" s="94"/>
      <c r="L348" s="94"/>
      <c r="M348" s="94"/>
      <c r="N348" s="94"/>
      <c r="O348" s="93"/>
    </row>
    <row r="349" spans="1:15" x14ac:dyDescent="0.25">
      <c r="A349" s="106" t="s">
        <v>115</v>
      </c>
      <c r="B349" s="133" t="s">
        <v>305</v>
      </c>
      <c r="C349" s="94"/>
      <c r="D349" s="94"/>
      <c r="E349" s="94"/>
      <c r="F349" s="94"/>
      <c r="G349" s="94"/>
      <c r="H349" s="94"/>
      <c r="I349" s="94"/>
      <c r="J349" s="94"/>
      <c r="K349" s="94"/>
      <c r="L349" s="94"/>
      <c r="M349" s="94"/>
      <c r="N349" s="94"/>
      <c r="O349" s="93"/>
    </row>
    <row r="350" spans="1:15" x14ac:dyDescent="0.25">
      <c r="A350" s="107"/>
      <c r="B350" s="94"/>
      <c r="C350" s="94"/>
      <c r="D350" s="94"/>
      <c r="E350" s="94"/>
      <c r="F350" s="94"/>
      <c r="G350" s="94"/>
      <c r="H350" s="94"/>
      <c r="I350" s="94"/>
      <c r="J350" s="94"/>
      <c r="K350" s="94"/>
      <c r="L350" s="94"/>
      <c r="M350" s="94"/>
      <c r="N350" s="94"/>
      <c r="O350" s="93"/>
    </row>
    <row r="351" spans="1:15" x14ac:dyDescent="0.25">
      <c r="A351" s="106" t="s">
        <v>67</v>
      </c>
      <c r="B351" s="106" t="s">
        <v>114</v>
      </c>
      <c r="C351" s="106" t="s">
        <v>113</v>
      </c>
      <c r="D351" s="106" t="s">
        <v>40</v>
      </c>
      <c r="E351" s="106" t="s">
        <v>58</v>
      </c>
      <c r="F351" s="94"/>
      <c r="G351" s="94"/>
      <c r="H351" s="94"/>
      <c r="I351" s="94"/>
      <c r="J351" s="94"/>
      <c r="K351" s="94"/>
      <c r="L351" s="94"/>
      <c r="M351" s="94"/>
      <c r="N351" s="94"/>
      <c r="O351" s="93"/>
    </row>
    <row r="352" spans="1:15" x14ac:dyDescent="0.25">
      <c r="A352" s="129">
        <v>10</v>
      </c>
      <c r="B352" s="132" t="str">
        <f>'EN Parts'!B997</f>
        <v>Catch cans tabs</v>
      </c>
      <c r="C352" s="100">
        <f>'EN Parts'!N994</f>
        <v>3.3998370000000002</v>
      </c>
      <c r="D352" s="127">
        <f>EN_07001_q</f>
        <v>1</v>
      </c>
      <c r="E352" s="100">
        <f>C352*D352</f>
        <v>3.3998370000000002</v>
      </c>
      <c r="F352" s="94"/>
      <c r="G352" s="94"/>
      <c r="H352" s="94"/>
      <c r="I352" s="94"/>
      <c r="J352" s="94"/>
      <c r="K352" s="94"/>
      <c r="L352" s="94"/>
      <c r="M352" s="94"/>
      <c r="N352" s="94"/>
      <c r="O352" s="93"/>
    </row>
    <row r="353" spans="1:15" x14ac:dyDescent="0.25">
      <c r="A353" s="129">
        <v>20</v>
      </c>
      <c r="B353" s="132" t="str">
        <f>'EN Parts'!B1018</f>
        <v>Cans fittings</v>
      </c>
      <c r="C353" s="100">
        <f>'EN Parts'!N1015</f>
        <v>31.286599999999996</v>
      </c>
      <c r="D353" s="127">
        <f>EN_07002_q</f>
        <v>1</v>
      </c>
      <c r="E353" s="100">
        <f>C353*D353</f>
        <v>31.286599999999996</v>
      </c>
      <c r="F353" s="99"/>
      <c r="G353" s="99"/>
      <c r="H353" s="99"/>
      <c r="I353" s="99"/>
      <c r="J353" s="99"/>
      <c r="K353" s="99"/>
      <c r="L353" s="99"/>
      <c r="M353" s="99"/>
      <c r="N353" s="99"/>
      <c r="O353" s="93"/>
    </row>
    <row r="354" spans="1:15" x14ac:dyDescent="0.25">
      <c r="A354" s="107"/>
      <c r="B354" s="94"/>
      <c r="C354" s="94"/>
      <c r="D354" s="97" t="s">
        <v>58</v>
      </c>
      <c r="E354" s="96">
        <f>SUM(E352:E353)</f>
        <v>34.686436999999998</v>
      </c>
      <c r="F354" s="99"/>
      <c r="G354" s="99"/>
      <c r="H354" s="99"/>
      <c r="I354" s="99"/>
      <c r="J354" s="99"/>
      <c r="K354" s="99"/>
      <c r="L354" s="99"/>
      <c r="M354" s="99"/>
      <c r="N354" s="99"/>
      <c r="O354" s="93"/>
    </row>
    <row r="355" spans="1:15" x14ac:dyDescent="0.25">
      <c r="A355" s="107"/>
      <c r="B355" s="94"/>
      <c r="C355" s="94"/>
      <c r="D355" s="94"/>
      <c r="E355" s="94"/>
      <c r="F355" s="94"/>
      <c r="G355" s="94"/>
      <c r="H355" s="94"/>
      <c r="I355" s="94"/>
      <c r="J355" s="94"/>
      <c r="K355" s="94"/>
      <c r="L355" s="94"/>
      <c r="M355" s="94"/>
      <c r="N355" s="94"/>
      <c r="O355" s="93"/>
    </row>
    <row r="356" spans="1:15" x14ac:dyDescent="0.25">
      <c r="A356" s="106" t="s">
        <v>67</v>
      </c>
      <c r="B356" s="106" t="s">
        <v>112</v>
      </c>
      <c r="C356" s="106" t="s">
        <v>66</v>
      </c>
      <c r="D356" s="106" t="s">
        <v>65</v>
      </c>
      <c r="E356" s="106" t="s">
        <v>81</v>
      </c>
      <c r="F356" s="106" t="s">
        <v>80</v>
      </c>
      <c r="G356" s="106" t="s">
        <v>79</v>
      </c>
      <c r="H356" s="106" t="s">
        <v>78</v>
      </c>
      <c r="I356" s="106" t="s">
        <v>111</v>
      </c>
      <c r="J356" s="106" t="s">
        <v>110</v>
      </c>
      <c r="K356" s="106" t="s">
        <v>109</v>
      </c>
      <c r="L356" s="106" t="s">
        <v>108</v>
      </c>
      <c r="M356" s="106" t="s">
        <v>40</v>
      </c>
      <c r="N356" s="106" t="s">
        <v>58</v>
      </c>
      <c r="O356" s="93"/>
    </row>
    <row r="357" spans="1:15" ht="30" x14ac:dyDescent="0.25">
      <c r="A357" s="129">
        <v>10</v>
      </c>
      <c r="B357" s="203" t="s">
        <v>304</v>
      </c>
      <c r="C357" s="129" t="s">
        <v>303</v>
      </c>
      <c r="D357" s="100">
        <v>10</v>
      </c>
      <c r="E357" s="129"/>
      <c r="F357" s="129"/>
      <c r="G357" s="129"/>
      <c r="H357" s="200"/>
      <c r="I357" s="202"/>
      <c r="J357" s="201"/>
      <c r="K357" s="200"/>
      <c r="L357" s="200"/>
      <c r="M357" s="200">
        <v>2</v>
      </c>
      <c r="N357" s="100">
        <f>M357*D357</f>
        <v>20</v>
      </c>
      <c r="O357" s="93"/>
    </row>
    <row r="358" spans="1:15" ht="30" x14ac:dyDescent="0.25">
      <c r="A358" s="115">
        <v>20</v>
      </c>
      <c r="B358" s="115" t="s">
        <v>302</v>
      </c>
      <c r="C358" s="114" t="s">
        <v>301</v>
      </c>
      <c r="D358" s="185">
        <v>6.58</v>
      </c>
      <c r="E358" s="150">
        <v>14</v>
      </c>
      <c r="F358" s="150" t="s">
        <v>68</v>
      </c>
      <c r="G358" s="150"/>
      <c r="H358" s="149"/>
      <c r="I358" s="148"/>
      <c r="J358" s="147"/>
      <c r="K358" s="146"/>
      <c r="L358" s="145"/>
      <c r="M358" s="169">
        <v>2.5</v>
      </c>
      <c r="N358" s="100">
        <f>M358*D358</f>
        <v>16.45</v>
      </c>
      <c r="O358" s="143"/>
    </row>
    <row r="359" spans="1:15" x14ac:dyDescent="0.25">
      <c r="A359" s="129">
        <v>30</v>
      </c>
      <c r="B359" s="115" t="s">
        <v>250</v>
      </c>
      <c r="C359" s="115" t="s">
        <v>300</v>
      </c>
      <c r="D359" s="155">
        <v>10</v>
      </c>
      <c r="E359" s="115">
        <v>0.11369</v>
      </c>
      <c r="F359" s="115" t="s">
        <v>299</v>
      </c>
      <c r="G359" s="115"/>
      <c r="H359" s="152"/>
      <c r="I359" s="190"/>
      <c r="J359" s="199"/>
      <c r="K359" s="193"/>
      <c r="L359" s="152"/>
      <c r="M359" s="115">
        <v>0.11369</v>
      </c>
      <c r="N359" s="100">
        <f>M359*D359</f>
        <v>1.1369</v>
      </c>
      <c r="O359" s="93"/>
    </row>
    <row r="360" spans="1:15" x14ac:dyDescent="0.25">
      <c r="A360" s="98"/>
      <c r="B360" s="95"/>
      <c r="C360" s="95"/>
      <c r="D360" s="95"/>
      <c r="E360" s="95"/>
      <c r="F360" s="95"/>
      <c r="G360" s="95"/>
      <c r="H360" s="95"/>
      <c r="I360" s="95"/>
      <c r="J360" s="95"/>
      <c r="K360" s="95"/>
      <c r="L360" s="95"/>
      <c r="M360" s="106" t="s">
        <v>58</v>
      </c>
      <c r="N360" s="96">
        <f>SUM(N357:N359)</f>
        <v>37.5869</v>
      </c>
      <c r="O360" s="93"/>
    </row>
    <row r="361" spans="1:15" x14ac:dyDescent="0.25">
      <c r="A361" s="107"/>
      <c r="B361" s="94"/>
      <c r="C361" s="94"/>
      <c r="D361" s="94"/>
      <c r="E361" s="94"/>
      <c r="F361" s="94"/>
      <c r="G361" s="94"/>
      <c r="H361" s="94"/>
      <c r="I361" s="94"/>
      <c r="J361" s="94"/>
      <c r="K361" s="94"/>
      <c r="L361" s="94"/>
      <c r="M361" s="94"/>
      <c r="N361" s="94"/>
      <c r="O361" s="93"/>
    </row>
    <row r="362" spans="1:15" x14ac:dyDescent="0.25">
      <c r="A362" s="106" t="s">
        <v>67</v>
      </c>
      <c r="B362" s="106" t="s">
        <v>106</v>
      </c>
      <c r="C362" s="106" t="s">
        <v>66</v>
      </c>
      <c r="D362" s="106" t="s">
        <v>65</v>
      </c>
      <c r="E362" s="106" t="s">
        <v>64</v>
      </c>
      <c r="F362" s="106" t="s">
        <v>40</v>
      </c>
      <c r="G362" s="106" t="s">
        <v>105</v>
      </c>
      <c r="H362" s="106" t="s">
        <v>104</v>
      </c>
      <c r="I362" s="106" t="s">
        <v>58</v>
      </c>
      <c r="J362" s="95"/>
      <c r="K362" s="95"/>
      <c r="L362" s="95"/>
      <c r="M362" s="95"/>
      <c r="N362" s="95"/>
      <c r="O362" s="120"/>
    </row>
    <row r="363" spans="1:15" x14ac:dyDescent="0.25">
      <c r="A363" s="115">
        <v>10</v>
      </c>
      <c r="B363" s="198" t="s">
        <v>285</v>
      </c>
      <c r="C363" s="173" t="s">
        <v>298</v>
      </c>
      <c r="D363" s="197">
        <v>0.19</v>
      </c>
      <c r="E363" s="198" t="s">
        <v>64</v>
      </c>
      <c r="F363" s="163">
        <v>4</v>
      </c>
      <c r="G363" s="115"/>
      <c r="H363" s="115"/>
      <c r="I363" s="100">
        <f t="shared" ref="I363:I372" si="18">IF(H363="",D363*F363,D363*F363*H363)</f>
        <v>0.76</v>
      </c>
      <c r="J363" s="94"/>
      <c r="K363" s="94"/>
      <c r="L363" s="94"/>
      <c r="M363" s="94"/>
      <c r="N363" s="94"/>
      <c r="O363" s="93"/>
    </row>
    <row r="364" spans="1:15" x14ac:dyDescent="0.25">
      <c r="A364" s="115">
        <v>20</v>
      </c>
      <c r="B364" s="198" t="s">
        <v>296</v>
      </c>
      <c r="C364" s="173" t="s">
        <v>297</v>
      </c>
      <c r="D364" s="197">
        <v>0.35</v>
      </c>
      <c r="E364" s="198" t="s">
        <v>294</v>
      </c>
      <c r="F364" s="163">
        <v>1</v>
      </c>
      <c r="G364" s="115"/>
      <c r="H364" s="115"/>
      <c r="I364" s="100">
        <f t="shared" si="18"/>
        <v>0.35</v>
      </c>
      <c r="J364" s="94"/>
      <c r="K364" s="94"/>
      <c r="L364" s="94"/>
      <c r="M364" s="94"/>
      <c r="N364" s="94"/>
      <c r="O364" s="93"/>
    </row>
    <row r="365" spans="1:15" x14ac:dyDescent="0.25">
      <c r="A365" s="115">
        <v>30</v>
      </c>
      <c r="B365" s="198" t="s">
        <v>296</v>
      </c>
      <c r="C365" s="115" t="s">
        <v>295</v>
      </c>
      <c r="D365" s="197">
        <v>0.35</v>
      </c>
      <c r="E365" s="115" t="s">
        <v>294</v>
      </c>
      <c r="F365" s="163">
        <v>3</v>
      </c>
      <c r="G365" s="115"/>
      <c r="H365" s="115"/>
      <c r="I365" s="100">
        <f t="shared" si="18"/>
        <v>1.0499999999999998</v>
      </c>
      <c r="J365" s="94"/>
      <c r="K365" s="94"/>
      <c r="L365" s="94"/>
      <c r="M365" s="94"/>
      <c r="N365" s="94"/>
      <c r="O365" s="93"/>
    </row>
    <row r="366" spans="1:15" x14ac:dyDescent="0.25">
      <c r="A366" s="115">
        <v>40</v>
      </c>
      <c r="B366" s="115" t="s">
        <v>165</v>
      </c>
      <c r="C366" s="115" t="s">
        <v>293</v>
      </c>
      <c r="D366" s="197">
        <v>0.06</v>
      </c>
      <c r="E366" s="115" t="s">
        <v>64</v>
      </c>
      <c r="F366" s="163">
        <v>1</v>
      </c>
      <c r="G366" s="163"/>
      <c r="H366" s="163"/>
      <c r="I366" s="100">
        <f t="shared" si="18"/>
        <v>0.06</v>
      </c>
      <c r="J366" s="94"/>
      <c r="K366" s="94"/>
      <c r="L366" s="94"/>
      <c r="M366" s="94"/>
      <c r="N366" s="94"/>
      <c r="O366" s="93"/>
    </row>
    <row r="367" spans="1:15" ht="30" x14ac:dyDescent="0.25">
      <c r="A367" s="115">
        <v>50</v>
      </c>
      <c r="B367" s="115" t="s">
        <v>163</v>
      </c>
      <c r="C367" s="177" t="s">
        <v>292</v>
      </c>
      <c r="D367" s="197">
        <v>0.5</v>
      </c>
      <c r="E367" s="115" t="s">
        <v>64</v>
      </c>
      <c r="F367" s="163">
        <v>2</v>
      </c>
      <c r="G367" s="163"/>
      <c r="H367" s="163"/>
      <c r="I367" s="100">
        <f t="shared" si="18"/>
        <v>1</v>
      </c>
      <c r="J367" s="94"/>
      <c r="K367" s="94"/>
      <c r="L367" s="94"/>
      <c r="M367" s="94"/>
      <c r="N367" s="94"/>
      <c r="O367" s="93"/>
    </row>
    <row r="368" spans="1:15" x14ac:dyDescent="0.25">
      <c r="A368" s="115">
        <v>60</v>
      </c>
      <c r="B368" s="115" t="s">
        <v>162</v>
      </c>
      <c r="C368" s="177" t="s">
        <v>291</v>
      </c>
      <c r="D368" s="197">
        <v>0.25</v>
      </c>
      <c r="E368" s="115" t="s">
        <v>64</v>
      </c>
      <c r="F368" s="163">
        <v>2</v>
      </c>
      <c r="G368" s="163"/>
      <c r="H368" s="163"/>
      <c r="I368" s="100">
        <f t="shared" si="18"/>
        <v>0.5</v>
      </c>
      <c r="J368" s="94"/>
      <c r="K368" s="94"/>
      <c r="L368" s="94"/>
      <c r="M368" s="94"/>
      <c r="N368" s="94"/>
      <c r="O368" s="93"/>
    </row>
    <row r="369" spans="1:15" x14ac:dyDescent="0.25">
      <c r="A369" s="115">
        <v>70</v>
      </c>
      <c r="B369" s="198" t="s">
        <v>290</v>
      </c>
      <c r="C369" s="115" t="s">
        <v>289</v>
      </c>
      <c r="D369" s="197">
        <v>0.06</v>
      </c>
      <c r="E369" s="115" t="s">
        <v>64</v>
      </c>
      <c r="F369" s="163">
        <v>3</v>
      </c>
      <c r="G369" s="163"/>
      <c r="H369" s="163"/>
      <c r="I369" s="100">
        <f t="shared" si="18"/>
        <v>0.18</v>
      </c>
      <c r="J369" s="94"/>
      <c r="K369" s="94"/>
      <c r="L369" s="94"/>
      <c r="M369" s="94"/>
      <c r="N369" s="94"/>
      <c r="O369" s="93"/>
    </row>
    <row r="370" spans="1:15" ht="30" x14ac:dyDescent="0.25">
      <c r="A370" s="115">
        <v>80</v>
      </c>
      <c r="B370" s="115" t="s">
        <v>165</v>
      </c>
      <c r="C370" s="114" t="s">
        <v>288</v>
      </c>
      <c r="D370" s="197">
        <v>0.06</v>
      </c>
      <c r="E370" s="115" t="s">
        <v>64</v>
      </c>
      <c r="F370" s="163">
        <v>2</v>
      </c>
      <c r="G370" s="163"/>
      <c r="H370" s="163"/>
      <c r="I370" s="100">
        <f t="shared" si="18"/>
        <v>0.12</v>
      </c>
      <c r="J370" s="94"/>
      <c r="K370" s="94"/>
      <c r="L370" s="94"/>
      <c r="M370" s="94"/>
      <c r="N370" s="94"/>
      <c r="O370" s="93"/>
    </row>
    <row r="371" spans="1:15" x14ac:dyDescent="0.25">
      <c r="A371" s="115">
        <v>90</v>
      </c>
      <c r="B371" s="198" t="s">
        <v>287</v>
      </c>
      <c r="C371" s="115" t="s">
        <v>286</v>
      </c>
      <c r="D371" s="197">
        <v>0.5</v>
      </c>
      <c r="E371" s="115" t="s">
        <v>64</v>
      </c>
      <c r="F371" s="163">
        <v>2</v>
      </c>
      <c r="G371" s="163"/>
      <c r="H371" s="163"/>
      <c r="I371" s="100">
        <f t="shared" si="18"/>
        <v>1</v>
      </c>
      <c r="J371" s="94"/>
      <c r="K371" s="94"/>
      <c r="L371" s="94"/>
      <c r="M371" s="94"/>
      <c r="N371" s="94"/>
      <c r="O371" s="93"/>
    </row>
    <row r="372" spans="1:15" ht="30" x14ac:dyDescent="0.25">
      <c r="A372" s="115">
        <v>100</v>
      </c>
      <c r="B372" s="198" t="s">
        <v>285</v>
      </c>
      <c r="C372" s="114" t="s">
        <v>284</v>
      </c>
      <c r="D372" s="197">
        <v>0.19</v>
      </c>
      <c r="E372" s="198" t="s">
        <v>64</v>
      </c>
      <c r="F372" s="163">
        <v>5</v>
      </c>
      <c r="G372" s="115"/>
      <c r="H372" s="115"/>
      <c r="I372" s="100">
        <f t="shared" si="18"/>
        <v>0.95</v>
      </c>
      <c r="J372" s="94"/>
      <c r="K372" s="94"/>
      <c r="L372" s="94"/>
      <c r="M372" s="94"/>
      <c r="N372" s="94"/>
      <c r="O372" s="93"/>
    </row>
    <row r="373" spans="1:15" x14ac:dyDescent="0.25">
      <c r="A373" s="98"/>
      <c r="B373" s="95"/>
      <c r="C373" s="95"/>
      <c r="D373" s="95"/>
      <c r="E373" s="95"/>
      <c r="F373" s="95"/>
      <c r="G373" s="95"/>
      <c r="H373" s="97" t="s">
        <v>58</v>
      </c>
      <c r="I373" s="96">
        <f>SUM(I363:I372)</f>
        <v>5.97</v>
      </c>
      <c r="J373" s="94"/>
      <c r="K373" s="94"/>
      <c r="L373" s="94"/>
      <c r="M373" s="94"/>
      <c r="N373" s="94"/>
      <c r="O373" s="93"/>
    </row>
    <row r="374" spans="1:15" x14ac:dyDescent="0.25">
      <c r="A374" s="107"/>
      <c r="B374" s="94"/>
      <c r="C374" s="94"/>
      <c r="D374" s="94"/>
      <c r="E374" s="94"/>
      <c r="F374" s="94"/>
      <c r="G374" s="94"/>
      <c r="H374" s="94"/>
      <c r="I374" s="94"/>
      <c r="J374" s="94"/>
      <c r="K374" s="94"/>
      <c r="L374" s="94"/>
      <c r="M374" s="94"/>
      <c r="N374" s="94"/>
      <c r="O374" s="93"/>
    </row>
    <row r="375" spans="1:15" x14ac:dyDescent="0.25">
      <c r="A375" s="106" t="s">
        <v>67</v>
      </c>
      <c r="B375" s="106" t="s">
        <v>82</v>
      </c>
      <c r="C375" s="106" t="s">
        <v>66</v>
      </c>
      <c r="D375" s="106" t="s">
        <v>65</v>
      </c>
      <c r="E375" s="106" t="s">
        <v>81</v>
      </c>
      <c r="F375" s="106" t="s">
        <v>80</v>
      </c>
      <c r="G375" s="106" t="s">
        <v>79</v>
      </c>
      <c r="H375" s="106" t="s">
        <v>78</v>
      </c>
      <c r="I375" s="106" t="s">
        <v>40</v>
      </c>
      <c r="J375" s="106" t="s">
        <v>58</v>
      </c>
      <c r="K375" s="94"/>
      <c r="L375" s="94"/>
      <c r="M375" s="94"/>
      <c r="N375" s="94"/>
      <c r="O375" s="93"/>
    </row>
    <row r="376" spans="1:15" x14ac:dyDescent="0.25">
      <c r="A376" s="115">
        <v>10</v>
      </c>
      <c r="B376" s="115" t="s">
        <v>72</v>
      </c>
      <c r="C376" s="115" t="s">
        <v>283</v>
      </c>
      <c r="D376" s="197">
        <v>0.05</v>
      </c>
      <c r="E376" s="115">
        <v>6</v>
      </c>
      <c r="F376" s="196" t="s">
        <v>68</v>
      </c>
      <c r="G376" s="115">
        <v>25</v>
      </c>
      <c r="H376" s="173" t="s">
        <v>68</v>
      </c>
      <c r="I376" s="172">
        <v>2</v>
      </c>
      <c r="J376" s="100">
        <f>I376*D376</f>
        <v>0.1</v>
      </c>
      <c r="K376" s="94"/>
      <c r="L376" s="94"/>
      <c r="M376" s="94"/>
      <c r="N376" s="94"/>
      <c r="O376" s="93"/>
    </row>
    <row r="377" spans="1:15" x14ac:dyDescent="0.25">
      <c r="A377" s="115">
        <v>20</v>
      </c>
      <c r="B377" s="115" t="s">
        <v>75</v>
      </c>
      <c r="C377" s="115" t="s">
        <v>282</v>
      </c>
      <c r="D377" s="197">
        <v>0.03</v>
      </c>
      <c r="E377" s="115">
        <v>6</v>
      </c>
      <c r="F377" s="196" t="s">
        <v>68</v>
      </c>
      <c r="G377" s="115"/>
      <c r="H377" s="173"/>
      <c r="I377" s="172">
        <v>2</v>
      </c>
      <c r="J377" s="100">
        <f>I377*D377</f>
        <v>0.06</v>
      </c>
      <c r="K377" s="94"/>
      <c r="L377" s="94"/>
      <c r="M377" s="94"/>
      <c r="N377" s="94"/>
      <c r="O377" s="93"/>
    </row>
    <row r="378" spans="1:15" x14ac:dyDescent="0.25">
      <c r="A378" s="115">
        <v>30</v>
      </c>
      <c r="B378" s="115" t="s">
        <v>74</v>
      </c>
      <c r="C378" s="115" t="s">
        <v>281</v>
      </c>
      <c r="D378" s="197">
        <v>0.01</v>
      </c>
      <c r="E378" s="115">
        <v>6</v>
      </c>
      <c r="F378" s="196" t="s">
        <v>68</v>
      </c>
      <c r="G378" s="115"/>
      <c r="H378" s="173"/>
      <c r="I378" s="156">
        <v>4</v>
      </c>
      <c r="J378" s="100">
        <f>I378*D378</f>
        <v>0.04</v>
      </c>
      <c r="K378" s="142"/>
      <c r="L378" s="142"/>
      <c r="M378" s="142"/>
      <c r="N378" s="142"/>
      <c r="O378" s="93"/>
    </row>
    <row r="379" spans="1:15" x14ac:dyDescent="0.25">
      <c r="A379" s="115">
        <v>40</v>
      </c>
      <c r="B379" s="179" t="s">
        <v>280</v>
      </c>
      <c r="C379" s="114" t="s">
        <v>279</v>
      </c>
      <c r="D379" s="178">
        <v>0.56000000000000005</v>
      </c>
      <c r="E379" s="114">
        <v>14</v>
      </c>
      <c r="F379" s="158" t="s">
        <v>68</v>
      </c>
      <c r="G379" s="114"/>
      <c r="H379" s="177"/>
      <c r="I379" s="156">
        <v>2</v>
      </c>
      <c r="J379" s="100">
        <f>I379*D379</f>
        <v>1.1200000000000001</v>
      </c>
      <c r="K379" s="142"/>
      <c r="L379" s="142"/>
      <c r="M379" s="142"/>
      <c r="N379" s="142"/>
      <c r="O379" s="93"/>
    </row>
    <row r="380" spans="1:15" x14ac:dyDescent="0.25">
      <c r="A380" s="98"/>
      <c r="B380" s="95"/>
      <c r="C380" s="95"/>
      <c r="D380" s="95"/>
      <c r="E380" s="95"/>
      <c r="F380" s="95"/>
      <c r="G380" s="95"/>
      <c r="H380" s="95"/>
      <c r="I380" s="97" t="s">
        <v>58</v>
      </c>
      <c r="J380" s="96">
        <f>SUM(J376:J379)</f>
        <v>1.32</v>
      </c>
      <c r="K380" s="94"/>
      <c r="L380" s="94"/>
      <c r="M380" s="94"/>
      <c r="N380" s="94"/>
      <c r="O380" s="93"/>
    </row>
    <row r="381" spans="1:15" x14ac:dyDescent="0.25">
      <c r="A381" s="107"/>
      <c r="B381" s="94"/>
      <c r="C381" s="94"/>
      <c r="D381" s="94"/>
      <c r="E381" s="94"/>
      <c r="F381" s="94"/>
      <c r="G381" s="94"/>
      <c r="H381" s="94"/>
      <c r="I381" s="94"/>
      <c r="J381" s="94"/>
      <c r="K381" s="94"/>
      <c r="L381" s="94"/>
      <c r="M381" s="94"/>
      <c r="N381" s="94"/>
      <c r="O381" s="93"/>
    </row>
    <row r="382" spans="1:15" ht="15.75" thickBot="1" x14ac:dyDescent="0.3">
      <c r="A382" s="92"/>
      <c r="B382" s="91"/>
      <c r="C382" s="91"/>
      <c r="D382" s="91"/>
      <c r="E382" s="91"/>
      <c r="F382" s="91"/>
      <c r="G382" s="91"/>
      <c r="H382" s="91"/>
      <c r="I382" s="91"/>
      <c r="J382" s="91"/>
      <c r="K382" s="91"/>
      <c r="L382" s="91"/>
      <c r="M382" s="91"/>
      <c r="N382" s="91"/>
      <c r="O382" s="90"/>
    </row>
    <row r="383" spans="1:15" ht="15.75" thickBot="1" x14ac:dyDescent="0.3"/>
    <row r="384" spans="1:15" x14ac:dyDescent="0.25">
      <c r="A384" s="141"/>
      <c r="B384" s="140"/>
      <c r="C384" s="140"/>
      <c r="D384" s="140"/>
      <c r="E384" s="140"/>
      <c r="F384" s="140"/>
      <c r="G384" s="140"/>
      <c r="H384" s="140"/>
      <c r="I384" s="140"/>
      <c r="J384" s="140"/>
      <c r="K384" s="140"/>
      <c r="L384" s="140"/>
      <c r="M384" s="140"/>
      <c r="N384" s="140"/>
      <c r="O384" s="139"/>
    </row>
    <row r="385" spans="1:15" x14ac:dyDescent="0.25">
      <c r="A385" s="106" t="s">
        <v>57</v>
      </c>
      <c r="B385" s="133" t="s">
        <v>127</v>
      </c>
      <c r="C385" s="94"/>
      <c r="D385" s="94"/>
      <c r="E385" s="94"/>
      <c r="F385" s="94"/>
      <c r="G385" s="94"/>
      <c r="H385" s="94"/>
      <c r="I385" s="94"/>
      <c r="J385" s="106" t="s">
        <v>51</v>
      </c>
      <c r="K385" s="138">
        <v>81</v>
      </c>
      <c r="L385" s="94"/>
      <c r="M385" s="106" t="s">
        <v>126</v>
      </c>
      <c r="N385" s="137">
        <f>E401+EN_A0008_f+EN_A0008_m+EN_A0008_p+EN_A0008_t</f>
        <v>157.83712081899998</v>
      </c>
      <c r="O385" s="93"/>
    </row>
    <row r="386" spans="1:15" x14ac:dyDescent="0.25">
      <c r="A386" s="106" t="s">
        <v>125</v>
      </c>
      <c r="B386" s="133" t="s">
        <v>21</v>
      </c>
      <c r="C386" s="94"/>
      <c r="D386" s="94"/>
      <c r="E386" s="94"/>
      <c r="F386" s="94"/>
      <c r="G386" s="94"/>
      <c r="H386" s="94"/>
      <c r="I386" s="94"/>
      <c r="J386" s="94"/>
      <c r="K386" s="94"/>
      <c r="L386" s="94"/>
      <c r="M386" s="106" t="s">
        <v>124</v>
      </c>
      <c r="N386" s="136">
        <v>1</v>
      </c>
      <c r="O386" s="93"/>
    </row>
    <row r="387" spans="1:15" x14ac:dyDescent="0.25">
      <c r="A387" s="106" t="s">
        <v>123</v>
      </c>
      <c r="B387" s="99" t="s">
        <v>27</v>
      </c>
      <c r="C387" s="94"/>
      <c r="D387" s="94"/>
      <c r="E387" s="94"/>
      <c r="F387" s="94"/>
      <c r="G387" s="94"/>
      <c r="H387" s="94"/>
      <c r="I387" s="94"/>
      <c r="J387" s="134" t="s">
        <v>122</v>
      </c>
      <c r="K387" s="94"/>
      <c r="L387" s="94"/>
      <c r="M387" s="94"/>
      <c r="N387" s="94"/>
      <c r="O387" s="93"/>
    </row>
    <row r="388" spans="1:15" x14ac:dyDescent="0.25">
      <c r="A388" s="106" t="s">
        <v>121</v>
      </c>
      <c r="B388" s="135" t="s">
        <v>278</v>
      </c>
      <c r="C388" s="94"/>
      <c r="D388" s="94"/>
      <c r="E388" s="94"/>
      <c r="F388" s="94"/>
      <c r="G388" s="94"/>
      <c r="H388" s="94"/>
      <c r="I388" s="94"/>
      <c r="J388" s="134" t="s">
        <v>119</v>
      </c>
      <c r="K388" s="94"/>
      <c r="L388" s="94"/>
      <c r="M388" s="106" t="s">
        <v>118</v>
      </c>
      <c r="N388" s="100">
        <f>N385*N386</f>
        <v>157.83712081899998</v>
      </c>
      <c r="O388" s="93"/>
    </row>
    <row r="389" spans="1:15" x14ac:dyDescent="0.25">
      <c r="A389" s="106" t="s">
        <v>117</v>
      </c>
      <c r="B389" s="133" t="s">
        <v>23</v>
      </c>
      <c r="C389" s="94"/>
      <c r="D389" s="94"/>
      <c r="E389" s="94"/>
      <c r="F389" s="94"/>
      <c r="G389" s="94"/>
      <c r="H389" s="94"/>
      <c r="I389" s="94"/>
      <c r="J389" s="134" t="s">
        <v>116</v>
      </c>
      <c r="K389" s="94"/>
      <c r="L389" s="94"/>
      <c r="M389" s="94"/>
      <c r="N389" s="94"/>
      <c r="O389" s="93"/>
    </row>
    <row r="390" spans="1:15" x14ac:dyDescent="0.25">
      <c r="A390" s="106" t="s">
        <v>115</v>
      </c>
      <c r="B390" s="133" t="s">
        <v>277</v>
      </c>
      <c r="C390" s="94"/>
      <c r="D390" s="94"/>
      <c r="E390" s="94"/>
      <c r="F390" s="94"/>
      <c r="G390" s="94"/>
      <c r="H390" s="94"/>
      <c r="I390" s="94"/>
      <c r="J390" s="94"/>
      <c r="K390" s="94"/>
      <c r="L390" s="94"/>
      <c r="M390" s="94"/>
      <c r="N390" s="94"/>
      <c r="O390" s="93"/>
    </row>
    <row r="391" spans="1:15" x14ac:dyDescent="0.25">
      <c r="A391" s="107"/>
      <c r="B391" s="94"/>
      <c r="C391" s="94"/>
      <c r="D391" s="94"/>
      <c r="E391" s="94"/>
      <c r="F391" s="94"/>
      <c r="G391" s="94"/>
      <c r="H391" s="94"/>
      <c r="I391" s="94"/>
      <c r="J391" s="94"/>
      <c r="K391" s="94"/>
      <c r="L391" s="94"/>
      <c r="M391" s="94"/>
      <c r="N391" s="94"/>
      <c r="O391" s="93"/>
    </row>
    <row r="392" spans="1:15" x14ac:dyDescent="0.25">
      <c r="A392" s="106" t="s">
        <v>67</v>
      </c>
      <c r="B392" s="106" t="s">
        <v>114</v>
      </c>
      <c r="C392" s="106" t="s">
        <v>113</v>
      </c>
      <c r="D392" s="106" t="s">
        <v>40</v>
      </c>
      <c r="E392" s="106" t="s">
        <v>58</v>
      </c>
      <c r="F392" s="94"/>
      <c r="G392" s="94"/>
      <c r="H392" s="94"/>
      <c r="I392" s="94"/>
      <c r="J392" s="94"/>
      <c r="K392" s="94"/>
      <c r="L392" s="94"/>
      <c r="M392" s="94"/>
      <c r="N392" s="94"/>
      <c r="O392" s="93"/>
    </row>
    <row r="393" spans="1:15" x14ac:dyDescent="0.25">
      <c r="A393" s="129">
        <v>10</v>
      </c>
      <c r="B393" s="132" t="str">
        <f>'EN Parts'!B1045</f>
        <v>Coolant lines</v>
      </c>
      <c r="C393" s="100">
        <f>'EN Parts'!N1042</f>
        <v>23.156734125</v>
      </c>
      <c r="D393" s="127">
        <f>EN_08001_q</f>
        <v>1</v>
      </c>
      <c r="E393" s="100">
        <f t="shared" ref="E393:E400" si="19">C393*D393</f>
        <v>23.156734125</v>
      </c>
      <c r="F393" s="94"/>
      <c r="G393" s="94"/>
      <c r="H393" s="94"/>
      <c r="I393" s="94"/>
      <c r="J393" s="94"/>
      <c r="K393" s="94"/>
      <c r="L393" s="94"/>
      <c r="M393" s="94"/>
      <c r="N393" s="94"/>
      <c r="O393" s="93"/>
    </row>
    <row r="394" spans="1:15" x14ac:dyDescent="0.25">
      <c r="A394" s="129">
        <v>20</v>
      </c>
      <c r="B394" s="132" t="str">
        <f>'EN Parts'!B1072</f>
        <v>Radiator</v>
      </c>
      <c r="C394" s="100">
        <f>'EN Parts'!N1069</f>
        <v>11.843999999999999</v>
      </c>
      <c r="D394" s="127">
        <f>EN_08002_q</f>
        <v>2</v>
      </c>
      <c r="E394" s="100">
        <f t="shared" si="19"/>
        <v>23.687999999999999</v>
      </c>
      <c r="F394" s="99"/>
      <c r="G394" s="99"/>
      <c r="H394" s="99"/>
      <c r="I394" s="99"/>
      <c r="J394" s="99"/>
      <c r="K394" s="99"/>
      <c r="L394" s="99"/>
      <c r="M394" s="99"/>
      <c r="N394" s="99"/>
      <c r="O394" s="93"/>
    </row>
    <row r="395" spans="1:15" x14ac:dyDescent="0.25">
      <c r="A395" s="129">
        <v>30</v>
      </c>
      <c r="B395" s="132" t="str">
        <f>'EN Parts'!B1087</f>
        <v>Fan</v>
      </c>
      <c r="C395" s="100">
        <f>'EN Parts'!N1084</f>
        <v>30.41</v>
      </c>
      <c r="D395" s="127">
        <f>EN_08003_q</f>
        <v>1</v>
      </c>
      <c r="E395" s="100">
        <f t="shared" si="19"/>
        <v>30.41</v>
      </c>
      <c r="F395" s="99"/>
      <c r="G395" s="99"/>
      <c r="H395" s="99"/>
      <c r="I395" s="99"/>
      <c r="J395" s="99"/>
      <c r="K395" s="99"/>
      <c r="L395" s="99"/>
      <c r="M395" s="99"/>
      <c r="N395" s="99"/>
      <c r="O395" s="131"/>
    </row>
    <row r="396" spans="1:15" x14ac:dyDescent="0.25">
      <c r="A396" s="129">
        <v>40</v>
      </c>
      <c r="B396" s="132" t="str">
        <f>'EN Parts'!B1111</f>
        <v>Expansion tank</v>
      </c>
      <c r="C396" s="100">
        <f>'EN Parts'!N1108</f>
        <v>21.602428873333334</v>
      </c>
      <c r="D396" s="127">
        <f>EN_08004_q</f>
        <v>1</v>
      </c>
      <c r="E396" s="100">
        <f t="shared" si="19"/>
        <v>21.602428873333334</v>
      </c>
      <c r="F396" s="99"/>
      <c r="G396" s="99"/>
      <c r="H396" s="99"/>
      <c r="I396" s="99"/>
      <c r="J396" s="99"/>
      <c r="K396" s="99"/>
      <c r="L396" s="99"/>
      <c r="M396" s="99"/>
      <c r="N396" s="99"/>
      <c r="O396" s="131"/>
    </row>
    <row r="397" spans="1:15" x14ac:dyDescent="0.25">
      <c r="A397" s="129">
        <v>50</v>
      </c>
      <c r="B397" s="128" t="str">
        <f>'EN Parts'!B1146</f>
        <v>Radiator upper tab</v>
      </c>
      <c r="C397" s="100">
        <f>'EN Parts'!N1143</f>
        <v>1.7533264800000001</v>
      </c>
      <c r="D397" s="127">
        <f>EN_08005_q</f>
        <v>1</v>
      </c>
      <c r="E397" s="100">
        <f t="shared" si="19"/>
        <v>1.7533264800000001</v>
      </c>
      <c r="F397" s="99"/>
      <c r="G397" s="99"/>
      <c r="H397" s="99"/>
      <c r="I397" s="99"/>
      <c r="J397" s="99"/>
      <c r="K397" s="99"/>
      <c r="L397" s="99"/>
      <c r="M397" s="99"/>
      <c r="N397" s="99"/>
      <c r="O397" s="130"/>
    </row>
    <row r="398" spans="1:15" x14ac:dyDescent="0.25">
      <c r="A398" s="129">
        <v>60</v>
      </c>
      <c r="B398" s="128" t="str">
        <f>'EN Parts'!B1168</f>
        <v>Radiator lower tab</v>
      </c>
      <c r="C398" s="100">
        <f>'EN Parts'!N1165</f>
        <v>1.7072912499999999</v>
      </c>
      <c r="D398" s="127">
        <f>EN_08006_q</f>
        <v>1</v>
      </c>
      <c r="E398" s="100">
        <f t="shared" si="19"/>
        <v>1.7072912499999999</v>
      </c>
      <c r="F398" s="99"/>
      <c r="G398" s="99"/>
      <c r="H398" s="99"/>
      <c r="I398" s="99"/>
      <c r="J398" s="99"/>
      <c r="K398" s="99"/>
      <c r="L398" s="99"/>
      <c r="M398" s="99"/>
      <c r="N398" s="99"/>
      <c r="O398" s="130"/>
    </row>
    <row r="399" spans="1:15" x14ac:dyDescent="0.25">
      <c r="A399" s="129">
        <v>70</v>
      </c>
      <c r="B399" s="128" t="str">
        <f>'EN Parts'!B1190</f>
        <v>Radiator lateral tab</v>
      </c>
      <c r="C399" s="100">
        <f>'EN Parts'!N1187</f>
        <v>1.7530829999999999</v>
      </c>
      <c r="D399" s="127">
        <f>EN_08007_q</f>
        <v>2</v>
      </c>
      <c r="E399" s="100">
        <f t="shared" si="19"/>
        <v>3.5061659999999999</v>
      </c>
      <c r="F399" s="99"/>
      <c r="G399" s="99"/>
      <c r="H399" s="99"/>
      <c r="I399" s="99"/>
      <c r="J399" s="99"/>
      <c r="K399" s="99"/>
      <c r="L399" s="99"/>
      <c r="M399" s="99"/>
      <c r="N399" s="99"/>
      <c r="O399" s="130"/>
    </row>
    <row r="400" spans="1:15" x14ac:dyDescent="0.25">
      <c r="A400" s="129">
        <v>80</v>
      </c>
      <c r="B400" s="128" t="str">
        <f>'EN Parts'!B1213</f>
        <v>Tube fittings</v>
      </c>
      <c r="C400" s="100">
        <f>'EN Parts'!N1210</f>
        <v>2.933253712</v>
      </c>
      <c r="D400" s="127">
        <f>EN_08008_q</f>
        <v>2</v>
      </c>
      <c r="E400" s="100">
        <f t="shared" si="19"/>
        <v>5.8665074239999999</v>
      </c>
      <c r="F400" s="99"/>
      <c r="G400" s="99"/>
      <c r="H400" s="99"/>
      <c r="I400" s="99"/>
      <c r="J400" s="99"/>
      <c r="K400" s="99"/>
      <c r="L400" s="99"/>
      <c r="M400" s="99"/>
      <c r="N400" s="99"/>
      <c r="O400" s="130"/>
    </row>
    <row r="401" spans="1:15" x14ac:dyDescent="0.25">
      <c r="A401" s="107"/>
      <c r="B401" s="94"/>
      <c r="C401" s="94"/>
      <c r="D401" s="97" t="s">
        <v>58</v>
      </c>
      <c r="E401" s="96">
        <f>SUM(E393:E400)</f>
        <v>111.69045415233333</v>
      </c>
      <c r="F401" s="99"/>
      <c r="G401" s="99"/>
      <c r="H401" s="99"/>
      <c r="I401" s="99"/>
      <c r="J401" s="99"/>
      <c r="K401" s="99"/>
      <c r="L401" s="99"/>
      <c r="M401" s="99"/>
      <c r="N401" s="99"/>
      <c r="O401" s="93"/>
    </row>
    <row r="402" spans="1:15" x14ac:dyDescent="0.25">
      <c r="A402" s="107"/>
      <c r="B402" s="94"/>
      <c r="C402" s="94"/>
      <c r="D402" s="94"/>
      <c r="E402" s="94"/>
      <c r="F402" s="94"/>
      <c r="G402" s="94"/>
      <c r="H402" s="94"/>
      <c r="I402" s="94"/>
      <c r="J402" s="94"/>
      <c r="K402" s="94"/>
      <c r="L402" s="94"/>
      <c r="M402" s="94"/>
      <c r="N402" s="94"/>
      <c r="O402" s="93"/>
    </row>
    <row r="403" spans="1:15" x14ac:dyDescent="0.25">
      <c r="A403" s="106" t="s">
        <v>67</v>
      </c>
      <c r="B403" s="106" t="s">
        <v>112</v>
      </c>
      <c r="C403" s="106" t="s">
        <v>66</v>
      </c>
      <c r="D403" s="106" t="s">
        <v>65</v>
      </c>
      <c r="E403" s="106" t="s">
        <v>81</v>
      </c>
      <c r="F403" s="106" t="s">
        <v>80</v>
      </c>
      <c r="G403" s="106" t="s">
        <v>79</v>
      </c>
      <c r="H403" s="106" t="s">
        <v>78</v>
      </c>
      <c r="I403" s="106" t="s">
        <v>111</v>
      </c>
      <c r="J403" s="106" t="s">
        <v>110</v>
      </c>
      <c r="K403" s="106" t="s">
        <v>109</v>
      </c>
      <c r="L403" s="106" t="s">
        <v>108</v>
      </c>
      <c r="M403" s="106" t="s">
        <v>40</v>
      </c>
      <c r="N403" s="106" t="s">
        <v>58</v>
      </c>
      <c r="O403" s="93"/>
    </row>
    <row r="404" spans="1:15" x14ac:dyDescent="0.25">
      <c r="A404" s="115">
        <v>10</v>
      </c>
      <c r="B404" s="115" t="s">
        <v>276</v>
      </c>
      <c r="C404" s="115" t="s">
        <v>275</v>
      </c>
      <c r="D404" s="100">
        <v>0</v>
      </c>
      <c r="E404" s="115">
        <v>2</v>
      </c>
      <c r="F404" s="115" t="s">
        <v>274</v>
      </c>
      <c r="G404" s="115"/>
      <c r="H404" s="152"/>
      <c r="I404" s="154"/>
      <c r="J404" s="167"/>
      <c r="K404" s="152"/>
      <c r="L404" s="152"/>
      <c r="M404" s="151">
        <v>1</v>
      </c>
      <c r="N404" s="100">
        <f>M404*D404</f>
        <v>0</v>
      </c>
      <c r="O404" s="93"/>
    </row>
    <row r="405" spans="1:15" ht="30" x14ac:dyDescent="0.25">
      <c r="A405" s="115">
        <v>20</v>
      </c>
      <c r="B405" s="114" t="s">
        <v>273</v>
      </c>
      <c r="C405" s="115" t="s">
        <v>272</v>
      </c>
      <c r="D405" s="155">
        <f>0.27*E405</f>
        <v>6.75</v>
      </c>
      <c r="E405" s="115">
        <v>25</v>
      </c>
      <c r="F405" s="115" t="s">
        <v>68</v>
      </c>
      <c r="G405" s="115"/>
      <c r="H405" s="152"/>
      <c r="I405" s="154"/>
      <c r="J405" s="167"/>
      <c r="K405" s="152"/>
      <c r="L405" s="152"/>
      <c r="M405" s="167">
        <v>4</v>
      </c>
      <c r="N405" s="100">
        <f>M405*D405</f>
        <v>27</v>
      </c>
      <c r="O405" s="93"/>
    </row>
    <row r="406" spans="1:15" x14ac:dyDescent="0.25">
      <c r="A406" s="98"/>
      <c r="B406" s="95"/>
      <c r="C406" s="95"/>
      <c r="D406" s="95"/>
      <c r="E406" s="95"/>
      <c r="F406" s="95"/>
      <c r="G406" s="95"/>
      <c r="H406" s="95"/>
      <c r="I406" s="95"/>
      <c r="J406" s="95"/>
      <c r="K406" s="95"/>
      <c r="L406" s="95"/>
      <c r="M406" s="106" t="s">
        <v>58</v>
      </c>
      <c r="N406" s="96">
        <f>SUM(N404:N405)</f>
        <v>27</v>
      </c>
      <c r="O406" s="93"/>
    </row>
    <row r="407" spans="1:15" x14ac:dyDescent="0.25">
      <c r="A407" s="107"/>
      <c r="B407" s="94"/>
      <c r="C407" s="94"/>
      <c r="D407" s="94"/>
      <c r="E407" s="94"/>
      <c r="F407" s="94"/>
      <c r="G407" s="94"/>
      <c r="H407" s="94"/>
      <c r="I407" s="94"/>
      <c r="J407" s="94"/>
      <c r="K407" s="94"/>
      <c r="L407" s="94"/>
      <c r="M407" s="94"/>
      <c r="N407" s="94"/>
      <c r="O407" s="93"/>
    </row>
    <row r="408" spans="1:15" x14ac:dyDescent="0.25">
      <c r="A408" s="106" t="s">
        <v>67</v>
      </c>
      <c r="B408" s="106" t="s">
        <v>106</v>
      </c>
      <c r="C408" s="106" t="s">
        <v>66</v>
      </c>
      <c r="D408" s="106" t="s">
        <v>65</v>
      </c>
      <c r="E408" s="106" t="s">
        <v>64</v>
      </c>
      <c r="F408" s="106" t="s">
        <v>40</v>
      </c>
      <c r="G408" s="106" t="s">
        <v>105</v>
      </c>
      <c r="H408" s="106" t="s">
        <v>104</v>
      </c>
      <c r="I408" s="106" t="s">
        <v>58</v>
      </c>
      <c r="J408" s="95"/>
      <c r="K408" s="95"/>
      <c r="L408" s="95"/>
      <c r="M408" s="95"/>
      <c r="N408" s="95"/>
      <c r="O408" s="120"/>
    </row>
    <row r="409" spans="1:15" x14ac:dyDescent="0.25">
      <c r="A409" s="115">
        <v>10</v>
      </c>
      <c r="B409" s="173" t="s">
        <v>103</v>
      </c>
      <c r="C409" s="173" t="s">
        <v>271</v>
      </c>
      <c r="D409" s="155">
        <v>0.15</v>
      </c>
      <c r="E409" s="115" t="s">
        <v>101</v>
      </c>
      <c r="F409" s="115">
        <v>6</v>
      </c>
      <c r="G409" s="115"/>
      <c r="H409" s="115">
        <v>1</v>
      </c>
      <c r="I409" s="155">
        <f t="shared" ref="I409:I422" si="20">D409*F409*H409</f>
        <v>0.89999999999999991</v>
      </c>
      <c r="J409" s="94"/>
      <c r="K409" s="94"/>
      <c r="L409" s="94"/>
      <c r="M409" s="94"/>
      <c r="N409" s="94"/>
      <c r="O409" s="93"/>
    </row>
    <row r="410" spans="1:15" x14ac:dyDescent="0.25">
      <c r="A410" s="115">
        <v>20</v>
      </c>
      <c r="B410" s="173" t="s">
        <v>103</v>
      </c>
      <c r="C410" s="173" t="s">
        <v>270</v>
      </c>
      <c r="D410" s="155">
        <v>0.15</v>
      </c>
      <c r="E410" s="115" t="s">
        <v>101</v>
      </c>
      <c r="F410" s="115">
        <v>7.8</v>
      </c>
      <c r="G410" s="115"/>
      <c r="H410" s="115">
        <v>1</v>
      </c>
      <c r="I410" s="155">
        <f t="shared" si="20"/>
        <v>1.17</v>
      </c>
      <c r="J410" s="94"/>
      <c r="K410" s="94"/>
      <c r="L410" s="94"/>
      <c r="M410" s="94"/>
      <c r="N410" s="94"/>
      <c r="O410" s="93"/>
    </row>
    <row r="411" spans="1:15" x14ac:dyDescent="0.25">
      <c r="A411" s="115">
        <v>30</v>
      </c>
      <c r="B411" s="173" t="s">
        <v>103</v>
      </c>
      <c r="C411" s="173" t="s">
        <v>269</v>
      </c>
      <c r="D411" s="155">
        <v>0.15</v>
      </c>
      <c r="E411" s="115" t="s">
        <v>101</v>
      </c>
      <c r="F411" s="115">
        <v>18.8</v>
      </c>
      <c r="G411" s="115"/>
      <c r="H411" s="115">
        <v>1</v>
      </c>
      <c r="I411" s="155">
        <f t="shared" si="20"/>
        <v>2.82</v>
      </c>
      <c r="J411" s="94"/>
      <c r="K411" s="94"/>
      <c r="L411" s="94"/>
      <c r="M411" s="94"/>
      <c r="N411" s="94"/>
      <c r="O411" s="93"/>
    </row>
    <row r="412" spans="1:15" ht="30" x14ac:dyDescent="0.25">
      <c r="A412" s="115">
        <v>40</v>
      </c>
      <c r="B412" s="173" t="s">
        <v>87</v>
      </c>
      <c r="C412" s="177" t="s">
        <v>268</v>
      </c>
      <c r="D412" s="155">
        <v>0.06</v>
      </c>
      <c r="E412" s="115" t="s">
        <v>258</v>
      </c>
      <c r="F412" s="115">
        <v>4</v>
      </c>
      <c r="G412" s="115"/>
      <c r="H412" s="115">
        <v>1</v>
      </c>
      <c r="I412" s="155">
        <f t="shared" si="20"/>
        <v>0.24</v>
      </c>
      <c r="J412" s="94"/>
      <c r="K412" s="94"/>
      <c r="L412" s="94"/>
      <c r="M412" s="94"/>
      <c r="N412" s="94"/>
      <c r="O412" s="93"/>
    </row>
    <row r="413" spans="1:15" ht="30" x14ac:dyDescent="0.25">
      <c r="A413" s="115">
        <v>50</v>
      </c>
      <c r="B413" s="173" t="s">
        <v>267</v>
      </c>
      <c r="C413" s="177" t="s">
        <v>266</v>
      </c>
      <c r="D413" s="155">
        <v>0.38</v>
      </c>
      <c r="E413" s="115" t="s">
        <v>258</v>
      </c>
      <c r="F413" s="115">
        <v>1</v>
      </c>
      <c r="G413" s="115"/>
      <c r="H413" s="115">
        <v>1</v>
      </c>
      <c r="I413" s="155">
        <f t="shared" si="20"/>
        <v>0.38</v>
      </c>
      <c r="J413" s="94"/>
      <c r="K413" s="94"/>
      <c r="L413" s="94"/>
      <c r="M413" s="94"/>
      <c r="N413" s="94"/>
      <c r="O413" s="93"/>
    </row>
    <row r="414" spans="1:15" ht="30" x14ac:dyDescent="0.25">
      <c r="A414" s="115">
        <v>60</v>
      </c>
      <c r="B414" s="173" t="s">
        <v>145</v>
      </c>
      <c r="C414" s="177" t="s">
        <v>265</v>
      </c>
      <c r="D414" s="155">
        <v>0.13</v>
      </c>
      <c r="E414" s="115" t="s">
        <v>258</v>
      </c>
      <c r="F414" s="115">
        <v>3</v>
      </c>
      <c r="G414" s="115"/>
      <c r="H414" s="115">
        <v>1</v>
      </c>
      <c r="I414" s="155">
        <f t="shared" si="20"/>
        <v>0.39</v>
      </c>
      <c r="J414" s="94"/>
      <c r="K414" s="94"/>
      <c r="L414" s="94"/>
      <c r="M414" s="94"/>
      <c r="N414" s="94"/>
      <c r="O414" s="93"/>
    </row>
    <row r="415" spans="1:15" x14ac:dyDescent="0.25">
      <c r="A415" s="115">
        <v>70</v>
      </c>
      <c r="B415" s="173" t="s">
        <v>87</v>
      </c>
      <c r="C415" s="177" t="s">
        <v>264</v>
      </c>
      <c r="D415" s="155">
        <v>0.06</v>
      </c>
      <c r="E415" s="115" t="s">
        <v>258</v>
      </c>
      <c r="F415" s="115">
        <v>8</v>
      </c>
      <c r="G415" s="115"/>
      <c r="H415" s="115">
        <v>1</v>
      </c>
      <c r="I415" s="155">
        <f t="shared" si="20"/>
        <v>0.48</v>
      </c>
      <c r="J415" s="94"/>
      <c r="K415" s="94"/>
      <c r="L415" s="94"/>
      <c r="M415" s="94"/>
      <c r="N415" s="94"/>
      <c r="O415" s="93"/>
    </row>
    <row r="416" spans="1:15" x14ac:dyDescent="0.25">
      <c r="A416" s="115">
        <v>80</v>
      </c>
      <c r="B416" s="173" t="s">
        <v>85</v>
      </c>
      <c r="C416" s="177" t="s">
        <v>264</v>
      </c>
      <c r="D416" s="155">
        <v>0.75</v>
      </c>
      <c r="E416" s="115" t="s">
        <v>258</v>
      </c>
      <c r="F416" s="115">
        <v>8</v>
      </c>
      <c r="G416" s="115"/>
      <c r="H416" s="115">
        <v>1</v>
      </c>
      <c r="I416" s="155">
        <f t="shared" si="20"/>
        <v>6</v>
      </c>
      <c r="J416" s="94"/>
      <c r="K416" s="94"/>
      <c r="L416" s="94"/>
      <c r="M416" s="94"/>
      <c r="N416" s="94"/>
      <c r="O416" s="93"/>
    </row>
    <row r="417" spans="1:15" x14ac:dyDescent="0.25">
      <c r="A417" s="115">
        <v>90</v>
      </c>
      <c r="B417" s="173" t="s">
        <v>87</v>
      </c>
      <c r="C417" s="177" t="s">
        <v>263</v>
      </c>
      <c r="D417" s="155">
        <v>0.06</v>
      </c>
      <c r="E417" s="115" t="s">
        <v>258</v>
      </c>
      <c r="F417" s="115">
        <v>1</v>
      </c>
      <c r="G417" s="115"/>
      <c r="H417" s="115">
        <v>1</v>
      </c>
      <c r="I417" s="155">
        <f t="shared" si="20"/>
        <v>0.06</v>
      </c>
      <c r="J417" s="94"/>
      <c r="K417" s="94"/>
      <c r="L417" s="94"/>
      <c r="M417" s="94"/>
      <c r="N417" s="94"/>
      <c r="O417" s="93"/>
    </row>
    <row r="418" spans="1:15" x14ac:dyDescent="0.25">
      <c r="A418" s="115">
        <v>100</v>
      </c>
      <c r="B418" s="173" t="s">
        <v>87</v>
      </c>
      <c r="C418" s="177" t="s">
        <v>261</v>
      </c>
      <c r="D418" s="155">
        <v>0.06</v>
      </c>
      <c r="E418" s="115" t="s">
        <v>258</v>
      </c>
      <c r="F418" s="115">
        <v>1</v>
      </c>
      <c r="G418" s="115"/>
      <c r="H418" s="115">
        <v>1</v>
      </c>
      <c r="I418" s="155">
        <f t="shared" si="20"/>
        <v>0.06</v>
      </c>
      <c r="J418" s="94"/>
      <c r="K418" s="94"/>
      <c r="L418" s="94"/>
      <c r="M418" s="94"/>
      <c r="N418" s="94"/>
      <c r="O418" s="93"/>
    </row>
    <row r="419" spans="1:15" x14ac:dyDescent="0.25">
      <c r="A419" s="115">
        <v>110</v>
      </c>
      <c r="B419" s="173" t="s">
        <v>85</v>
      </c>
      <c r="C419" s="177" t="s">
        <v>261</v>
      </c>
      <c r="D419" s="155">
        <v>0.75</v>
      </c>
      <c r="E419" s="115" t="s">
        <v>258</v>
      </c>
      <c r="F419" s="115">
        <v>1</v>
      </c>
      <c r="G419" s="115"/>
      <c r="H419" s="115">
        <v>1</v>
      </c>
      <c r="I419" s="155">
        <f t="shared" si="20"/>
        <v>0.75</v>
      </c>
      <c r="J419" s="94"/>
      <c r="K419" s="94"/>
      <c r="L419" s="94"/>
      <c r="M419" s="94"/>
      <c r="N419" s="94"/>
      <c r="O419" s="93"/>
    </row>
    <row r="420" spans="1:15" x14ac:dyDescent="0.25">
      <c r="A420" s="115">
        <v>120</v>
      </c>
      <c r="B420" s="173" t="s">
        <v>262</v>
      </c>
      <c r="C420" s="177" t="s">
        <v>261</v>
      </c>
      <c r="D420" s="155">
        <v>0.25</v>
      </c>
      <c r="E420" s="115" t="s">
        <v>258</v>
      </c>
      <c r="F420" s="115">
        <v>1</v>
      </c>
      <c r="G420" s="115"/>
      <c r="H420" s="115">
        <v>1</v>
      </c>
      <c r="I420" s="155">
        <f t="shared" si="20"/>
        <v>0.25</v>
      </c>
      <c r="J420" s="94"/>
      <c r="K420" s="94"/>
      <c r="L420" s="94"/>
      <c r="M420" s="94"/>
      <c r="N420" s="94"/>
      <c r="O420" s="93"/>
    </row>
    <row r="421" spans="1:15" x14ac:dyDescent="0.25">
      <c r="A421" s="115">
        <v>130</v>
      </c>
      <c r="B421" s="177" t="s">
        <v>95</v>
      </c>
      <c r="C421" s="177" t="s">
        <v>260</v>
      </c>
      <c r="D421" s="155">
        <v>0.19</v>
      </c>
      <c r="E421" s="115" t="s">
        <v>258</v>
      </c>
      <c r="F421" s="115">
        <v>2</v>
      </c>
      <c r="G421" s="115"/>
      <c r="H421" s="115">
        <v>1</v>
      </c>
      <c r="I421" s="155">
        <f t="shared" si="20"/>
        <v>0.38</v>
      </c>
      <c r="J421" s="94"/>
      <c r="K421" s="94"/>
      <c r="L421" s="94"/>
      <c r="M421" s="94"/>
      <c r="N421" s="94"/>
      <c r="O421" s="93"/>
    </row>
    <row r="422" spans="1:15" x14ac:dyDescent="0.25">
      <c r="A422" s="115">
        <v>140</v>
      </c>
      <c r="B422" s="177" t="s">
        <v>163</v>
      </c>
      <c r="C422" s="177" t="s">
        <v>259</v>
      </c>
      <c r="D422" s="155">
        <v>0.5</v>
      </c>
      <c r="E422" s="115" t="s">
        <v>258</v>
      </c>
      <c r="F422" s="115">
        <v>2</v>
      </c>
      <c r="G422" s="115"/>
      <c r="H422" s="115">
        <v>1</v>
      </c>
      <c r="I422" s="155">
        <f t="shared" si="20"/>
        <v>1</v>
      </c>
      <c r="J422" s="94"/>
      <c r="K422" s="94"/>
      <c r="L422" s="94"/>
      <c r="M422" s="94"/>
      <c r="N422" s="94"/>
      <c r="O422" s="93"/>
    </row>
    <row r="423" spans="1:15" x14ac:dyDescent="0.25">
      <c r="A423" s="98"/>
      <c r="B423" s="95"/>
      <c r="C423" s="95"/>
      <c r="D423" s="95"/>
      <c r="E423" s="95"/>
      <c r="F423" s="95"/>
      <c r="G423" s="95"/>
      <c r="H423" s="97" t="s">
        <v>58</v>
      </c>
      <c r="I423" s="96">
        <f>SUM(I409:I422)</f>
        <v>14.88</v>
      </c>
      <c r="J423" s="94"/>
      <c r="K423" s="94"/>
      <c r="L423" s="94"/>
      <c r="M423" s="94"/>
      <c r="N423" s="94"/>
      <c r="O423" s="93"/>
    </row>
    <row r="424" spans="1:15" x14ac:dyDescent="0.25">
      <c r="A424" s="107"/>
      <c r="B424" s="94"/>
      <c r="C424" s="94"/>
      <c r="D424" s="94"/>
      <c r="E424" s="94"/>
      <c r="F424" s="94"/>
      <c r="G424" s="94"/>
      <c r="H424" s="94"/>
      <c r="I424" s="94"/>
      <c r="J424" s="94"/>
      <c r="K424" s="94"/>
      <c r="L424" s="94"/>
      <c r="M424" s="94"/>
      <c r="N424" s="94"/>
      <c r="O424" s="93"/>
    </row>
    <row r="425" spans="1:15" x14ac:dyDescent="0.25">
      <c r="A425" s="106" t="s">
        <v>67</v>
      </c>
      <c r="B425" s="106" t="s">
        <v>82</v>
      </c>
      <c r="C425" s="106" t="s">
        <v>66</v>
      </c>
      <c r="D425" s="106" t="s">
        <v>65</v>
      </c>
      <c r="E425" s="106" t="s">
        <v>81</v>
      </c>
      <c r="F425" s="106" t="s">
        <v>80</v>
      </c>
      <c r="G425" s="106" t="s">
        <v>79</v>
      </c>
      <c r="H425" s="106" t="s">
        <v>78</v>
      </c>
      <c r="I425" s="106" t="s">
        <v>40</v>
      </c>
      <c r="J425" s="106" t="s">
        <v>58</v>
      </c>
      <c r="K425" s="94"/>
      <c r="L425" s="94"/>
      <c r="M425" s="94"/>
      <c r="N425" s="94"/>
      <c r="O425" s="93"/>
    </row>
    <row r="426" spans="1:15" x14ac:dyDescent="0.25">
      <c r="A426" s="115">
        <v>10</v>
      </c>
      <c r="B426" s="115" t="s">
        <v>72</v>
      </c>
      <c r="C426" s="115" t="s">
        <v>257</v>
      </c>
      <c r="D426" s="115">
        <v>0.05</v>
      </c>
      <c r="E426" s="115">
        <v>6</v>
      </c>
      <c r="F426" s="196" t="s">
        <v>68</v>
      </c>
      <c r="G426" s="115">
        <v>25</v>
      </c>
      <c r="H426" s="173" t="s">
        <v>68</v>
      </c>
      <c r="I426" s="195">
        <v>5</v>
      </c>
      <c r="J426" s="100">
        <f>I426*D426</f>
        <v>0.25</v>
      </c>
      <c r="K426" s="94"/>
      <c r="L426" s="94"/>
      <c r="M426" s="94"/>
      <c r="N426" s="94"/>
      <c r="O426" s="93"/>
    </row>
    <row r="427" spans="1:15" x14ac:dyDescent="0.25">
      <c r="A427" s="115">
        <v>20</v>
      </c>
      <c r="B427" s="115" t="s">
        <v>75</v>
      </c>
      <c r="C427" s="114" t="s">
        <v>256</v>
      </c>
      <c r="D427" s="115">
        <v>0.03</v>
      </c>
      <c r="E427" s="115">
        <v>6</v>
      </c>
      <c r="F427" s="196" t="s">
        <v>68</v>
      </c>
      <c r="G427" s="115"/>
      <c r="H427" s="173"/>
      <c r="I427" s="195">
        <v>5</v>
      </c>
      <c r="J427" s="100">
        <f>I427*D427</f>
        <v>0.15</v>
      </c>
      <c r="K427" s="94"/>
      <c r="L427" s="94"/>
      <c r="M427" s="94"/>
      <c r="N427" s="94"/>
      <c r="O427" s="93"/>
    </row>
    <row r="428" spans="1:15" x14ac:dyDescent="0.25">
      <c r="A428" s="115">
        <v>30</v>
      </c>
      <c r="B428" s="115" t="s">
        <v>255</v>
      </c>
      <c r="C428" s="115" t="s">
        <v>254</v>
      </c>
      <c r="D428" s="115">
        <v>0.6</v>
      </c>
      <c r="E428" s="115">
        <v>25.4</v>
      </c>
      <c r="F428" s="196" t="s">
        <v>68</v>
      </c>
      <c r="G428" s="115"/>
      <c r="H428" s="173"/>
      <c r="I428" s="195">
        <v>2</v>
      </c>
      <c r="J428" s="100">
        <f>I428*D428</f>
        <v>1.2</v>
      </c>
      <c r="K428" s="94"/>
      <c r="L428" s="94"/>
      <c r="M428" s="94"/>
      <c r="N428" s="94"/>
      <c r="O428" s="93"/>
    </row>
    <row r="429" spans="1:15" x14ac:dyDescent="0.25">
      <c r="A429" s="98"/>
      <c r="B429" s="95"/>
      <c r="C429" s="95"/>
      <c r="D429" s="95"/>
      <c r="E429" s="95"/>
      <c r="F429" s="95"/>
      <c r="G429" s="95"/>
      <c r="H429" s="95"/>
      <c r="I429" s="97" t="s">
        <v>58</v>
      </c>
      <c r="J429" s="96">
        <f>SUM(J426:J428)</f>
        <v>1.6</v>
      </c>
      <c r="K429" s="94"/>
      <c r="L429" s="94"/>
      <c r="M429" s="94"/>
      <c r="N429" s="94"/>
      <c r="O429" s="93"/>
    </row>
    <row r="430" spans="1:15" x14ac:dyDescent="0.25">
      <c r="A430" s="107"/>
      <c r="B430" s="94"/>
      <c r="C430" s="94"/>
      <c r="D430" s="94"/>
      <c r="E430" s="94"/>
      <c r="F430" s="94"/>
      <c r="G430" s="94"/>
      <c r="H430" s="94"/>
      <c r="I430" s="94"/>
      <c r="J430" s="94"/>
      <c r="K430" s="94"/>
      <c r="L430" s="94"/>
      <c r="M430" s="94"/>
      <c r="N430" s="94"/>
      <c r="O430" s="93"/>
    </row>
    <row r="431" spans="1:15" x14ac:dyDescent="0.25">
      <c r="A431" s="106" t="s">
        <v>67</v>
      </c>
      <c r="B431" s="106" t="s">
        <v>13</v>
      </c>
      <c r="C431" s="106" t="s">
        <v>66</v>
      </c>
      <c r="D431" s="106" t="s">
        <v>65</v>
      </c>
      <c r="E431" s="106" t="s">
        <v>64</v>
      </c>
      <c r="F431" s="106" t="s">
        <v>40</v>
      </c>
      <c r="G431" s="106" t="s">
        <v>63</v>
      </c>
      <c r="H431" s="106" t="s">
        <v>62</v>
      </c>
      <c r="I431" s="106" t="s">
        <v>58</v>
      </c>
      <c r="J431" s="95"/>
      <c r="K431" s="94"/>
      <c r="L431" s="94"/>
      <c r="M431" s="94"/>
      <c r="N431" s="94"/>
      <c r="O431" s="93"/>
    </row>
    <row r="432" spans="1:15" x14ac:dyDescent="0.25">
      <c r="A432" s="115">
        <v>10</v>
      </c>
      <c r="B432" s="114" t="s">
        <v>253</v>
      </c>
      <c r="C432" s="115" t="s">
        <v>60</v>
      </c>
      <c r="D432" s="155">
        <v>500</v>
      </c>
      <c r="E432" s="115" t="s">
        <v>59</v>
      </c>
      <c r="F432" s="115">
        <v>16</v>
      </c>
      <c r="G432" s="115">
        <v>3000</v>
      </c>
      <c r="H432" s="115">
        <v>1</v>
      </c>
      <c r="I432" s="100">
        <f>D432*F432/G432*H432</f>
        <v>2.6666666666666665</v>
      </c>
      <c r="J432" s="99"/>
      <c r="K432" s="94"/>
      <c r="L432" s="94"/>
      <c r="M432" s="94"/>
      <c r="N432" s="94"/>
      <c r="O432" s="93"/>
    </row>
    <row r="433" spans="1:15" x14ac:dyDescent="0.25">
      <c r="A433" s="98"/>
      <c r="B433" s="95"/>
      <c r="C433" s="95"/>
      <c r="D433" s="95"/>
      <c r="E433" s="95"/>
      <c r="F433" s="95"/>
      <c r="G433" s="95"/>
      <c r="H433" s="97" t="s">
        <v>58</v>
      </c>
      <c r="I433" s="96">
        <f>SUM(I432)</f>
        <v>2.6666666666666665</v>
      </c>
      <c r="J433" s="95"/>
      <c r="K433" s="94"/>
      <c r="L433" s="94"/>
      <c r="M433" s="94"/>
      <c r="N433" s="94"/>
      <c r="O433" s="93"/>
    </row>
    <row r="434" spans="1:15" ht="15.75" thickBot="1" x14ac:dyDescent="0.3">
      <c r="A434" s="92"/>
      <c r="B434" s="91"/>
      <c r="C434" s="91"/>
      <c r="D434" s="91"/>
      <c r="E434" s="91"/>
      <c r="F434" s="91"/>
      <c r="G434" s="91"/>
      <c r="H434" s="91"/>
      <c r="I434" s="91"/>
      <c r="J434" s="91"/>
      <c r="K434" s="91"/>
      <c r="L434" s="91"/>
      <c r="M434" s="91"/>
      <c r="N434" s="91"/>
      <c r="O434" s="90"/>
    </row>
    <row r="435" spans="1:15" ht="15.75" thickBot="1" x14ac:dyDescent="0.3"/>
    <row r="436" spans="1:15" x14ac:dyDescent="0.25">
      <c r="A436" s="141"/>
      <c r="B436" s="140"/>
      <c r="C436" s="140"/>
      <c r="D436" s="140"/>
      <c r="E436" s="140"/>
      <c r="F436" s="140"/>
      <c r="G436" s="140"/>
      <c r="H436" s="140"/>
      <c r="I436" s="140"/>
      <c r="J436" s="140"/>
      <c r="K436" s="140"/>
      <c r="L436" s="140"/>
      <c r="M436" s="140"/>
      <c r="N436" s="140"/>
      <c r="O436" s="139"/>
    </row>
    <row r="437" spans="1:15" x14ac:dyDescent="0.25">
      <c r="A437" s="106" t="s">
        <v>57</v>
      </c>
      <c r="B437" s="133" t="s">
        <v>127</v>
      </c>
      <c r="C437" s="94"/>
      <c r="D437" s="94"/>
      <c r="E437" s="94"/>
      <c r="F437" s="94"/>
      <c r="G437" s="94"/>
      <c r="H437" s="94"/>
      <c r="I437" s="94"/>
      <c r="J437" s="106" t="s">
        <v>51</v>
      </c>
      <c r="K437" s="138">
        <v>81</v>
      </c>
      <c r="L437" s="94"/>
      <c r="M437" s="106" t="s">
        <v>126</v>
      </c>
      <c r="N437" s="137">
        <f>E451+EN_A0009_f+EN_A0009_m+EN_A0009_p+EN_A0009_t</f>
        <v>187.57621410987329</v>
      </c>
      <c r="O437" s="93"/>
    </row>
    <row r="438" spans="1:15" x14ac:dyDescent="0.25">
      <c r="A438" s="106" t="s">
        <v>125</v>
      </c>
      <c r="B438" s="133" t="s">
        <v>21</v>
      </c>
      <c r="C438" s="94"/>
      <c r="D438" s="94"/>
      <c r="E438" s="94"/>
      <c r="F438" s="94"/>
      <c r="G438" s="94"/>
      <c r="H438" s="94"/>
      <c r="I438" s="94"/>
      <c r="J438" s="94"/>
      <c r="K438" s="94"/>
      <c r="L438" s="94"/>
      <c r="M438" s="106" t="s">
        <v>124</v>
      </c>
      <c r="N438" s="136">
        <v>1</v>
      </c>
      <c r="O438" s="93"/>
    </row>
    <row r="439" spans="1:15" x14ac:dyDescent="0.25">
      <c r="A439" s="106" t="s">
        <v>123</v>
      </c>
      <c r="B439" s="99" t="s">
        <v>26</v>
      </c>
      <c r="C439" s="94"/>
      <c r="D439" s="94"/>
      <c r="E439" s="94"/>
      <c r="F439" s="94"/>
      <c r="G439" s="94"/>
      <c r="H439" s="94"/>
      <c r="I439" s="94"/>
      <c r="J439" s="134" t="s">
        <v>122</v>
      </c>
      <c r="K439" s="94"/>
      <c r="L439" s="94"/>
      <c r="M439" s="94"/>
      <c r="N439" s="94"/>
      <c r="O439" s="93"/>
    </row>
    <row r="440" spans="1:15" x14ac:dyDescent="0.25">
      <c r="A440" s="106" t="s">
        <v>121</v>
      </c>
      <c r="B440" s="135" t="s">
        <v>252</v>
      </c>
      <c r="C440" s="94"/>
      <c r="D440" s="94"/>
      <c r="E440" s="94"/>
      <c r="F440" s="94"/>
      <c r="G440" s="94"/>
      <c r="H440" s="94"/>
      <c r="I440" s="94"/>
      <c r="J440" s="134" t="s">
        <v>119</v>
      </c>
      <c r="K440" s="94"/>
      <c r="L440" s="94"/>
      <c r="M440" s="106" t="s">
        <v>118</v>
      </c>
      <c r="N440" s="100">
        <f>N437*N438</f>
        <v>187.57621410987329</v>
      </c>
      <c r="O440" s="93"/>
    </row>
    <row r="441" spans="1:15" x14ac:dyDescent="0.25">
      <c r="A441" s="106" t="s">
        <v>117</v>
      </c>
      <c r="B441" s="133" t="s">
        <v>23</v>
      </c>
      <c r="C441" s="94"/>
      <c r="D441" s="94"/>
      <c r="E441" s="94"/>
      <c r="F441" s="94"/>
      <c r="G441" s="94"/>
      <c r="H441" s="94"/>
      <c r="I441" s="94"/>
      <c r="J441" s="134" t="s">
        <v>116</v>
      </c>
      <c r="K441" s="94"/>
      <c r="L441" s="94"/>
      <c r="M441" s="94"/>
      <c r="N441" s="94"/>
      <c r="O441" s="93"/>
    </row>
    <row r="442" spans="1:15" x14ac:dyDescent="0.25">
      <c r="A442" s="106" t="s">
        <v>115</v>
      </c>
      <c r="B442" s="194" t="s">
        <v>251</v>
      </c>
      <c r="C442" s="94"/>
      <c r="D442" s="94"/>
      <c r="E442" s="94"/>
      <c r="F442" s="94"/>
      <c r="G442" s="94"/>
      <c r="H442" s="94"/>
      <c r="I442" s="94"/>
      <c r="J442" s="94"/>
      <c r="K442" s="94"/>
      <c r="L442" s="94"/>
      <c r="M442" s="94"/>
      <c r="N442" s="94"/>
      <c r="O442" s="93"/>
    </row>
    <row r="443" spans="1:15" x14ac:dyDescent="0.25">
      <c r="A443" s="107"/>
      <c r="B443" s="94"/>
      <c r="C443" s="94"/>
      <c r="D443" s="94"/>
      <c r="E443" s="94"/>
      <c r="F443" s="94"/>
      <c r="G443" s="94"/>
      <c r="H443" s="94"/>
      <c r="I443" s="94"/>
      <c r="J443" s="94"/>
      <c r="K443" s="94"/>
      <c r="L443" s="94"/>
      <c r="M443" s="94"/>
      <c r="N443" s="94"/>
      <c r="O443" s="93"/>
    </row>
    <row r="444" spans="1:15" x14ac:dyDescent="0.25">
      <c r="A444" s="106" t="s">
        <v>67</v>
      </c>
      <c r="B444" s="106" t="s">
        <v>114</v>
      </c>
      <c r="C444" s="106" t="s">
        <v>113</v>
      </c>
      <c r="D444" s="106" t="s">
        <v>40</v>
      </c>
      <c r="E444" s="106" t="s">
        <v>58</v>
      </c>
      <c r="F444" s="94"/>
      <c r="G444" s="94"/>
      <c r="H444" s="94"/>
      <c r="I444" s="94"/>
      <c r="J444" s="94"/>
      <c r="K444" s="94"/>
      <c r="L444" s="94"/>
      <c r="M444" s="94"/>
      <c r="N444" s="94"/>
      <c r="O444" s="93"/>
    </row>
    <row r="445" spans="1:15" x14ac:dyDescent="0.25">
      <c r="A445" s="129">
        <v>10</v>
      </c>
      <c r="B445" s="132" t="str">
        <f>'EN Parts'!B1235</f>
        <v>Engine Gearbox drum gear</v>
      </c>
      <c r="C445" s="100">
        <f>'EN Parts'!N1232</f>
        <v>67.473779046899992</v>
      </c>
      <c r="D445" s="127">
        <f>EN_09001_q</f>
        <v>1</v>
      </c>
      <c r="E445" s="100">
        <f t="shared" ref="E445:E450" si="21">C445*D445</f>
        <v>67.473779046899992</v>
      </c>
      <c r="F445" s="94"/>
      <c r="G445" s="94"/>
      <c r="H445" s="94"/>
      <c r="I445" s="94"/>
      <c r="J445" s="94"/>
      <c r="K445" s="94"/>
      <c r="L445" s="94"/>
      <c r="M445" s="94"/>
      <c r="N445" s="94"/>
      <c r="O445" s="93"/>
    </row>
    <row r="446" spans="1:15" x14ac:dyDescent="0.25">
      <c r="A446" s="129">
        <v>20</v>
      </c>
      <c r="B446" s="132" t="str">
        <f>'EN Parts'!B1259</f>
        <v>Engine gearbox pinion shaft</v>
      </c>
      <c r="C446" s="100">
        <f>'EN Parts'!N1256</f>
        <v>37.098439539899999</v>
      </c>
      <c r="D446" s="127">
        <f>EN_09002_q</f>
        <v>1</v>
      </c>
      <c r="E446" s="100">
        <f t="shared" si="21"/>
        <v>37.098439539899999</v>
      </c>
      <c r="F446" s="99"/>
      <c r="G446" s="99"/>
      <c r="H446" s="99"/>
      <c r="I446" s="99"/>
      <c r="J446" s="99"/>
      <c r="K446" s="99"/>
      <c r="L446" s="99"/>
      <c r="M446" s="99"/>
      <c r="N446" s="99"/>
      <c r="O446" s="93"/>
    </row>
    <row r="447" spans="1:15" x14ac:dyDescent="0.25">
      <c r="A447" s="129">
        <v>30</v>
      </c>
      <c r="B447" s="132" t="str">
        <f>'EN Parts'!B1282</f>
        <v>Engine gearbox actuator tab</v>
      </c>
      <c r="C447" s="100">
        <f>'EN Parts'!N1279</f>
        <v>1.8851498050000002</v>
      </c>
      <c r="D447" s="127">
        <f>EN_09003_q</f>
        <v>1</v>
      </c>
      <c r="E447" s="100">
        <f t="shared" si="21"/>
        <v>1.8851498050000002</v>
      </c>
      <c r="F447" s="99"/>
      <c r="G447" s="99"/>
      <c r="H447" s="99"/>
      <c r="I447" s="99"/>
      <c r="J447" s="99"/>
      <c r="K447" s="99"/>
      <c r="L447" s="99"/>
      <c r="M447" s="99"/>
      <c r="N447" s="99"/>
      <c r="O447" s="93"/>
    </row>
    <row r="448" spans="1:15" ht="30" x14ac:dyDescent="0.25">
      <c r="A448" s="129">
        <v>40</v>
      </c>
      <c r="B448" s="171" t="str">
        <f>'EN Parts'!B1302</f>
        <v>Front engine gearbox actuator mout</v>
      </c>
      <c r="C448" s="100">
        <f>'EN Parts'!N1299</f>
        <v>2.5660420159999999</v>
      </c>
      <c r="D448" s="127">
        <f>EN_09004_q</f>
        <v>1</v>
      </c>
      <c r="E448" s="100">
        <f t="shared" si="21"/>
        <v>2.5660420159999999</v>
      </c>
      <c r="F448" s="99"/>
      <c r="G448" s="99"/>
      <c r="H448" s="99"/>
      <c r="I448" s="99"/>
      <c r="J448" s="99"/>
      <c r="K448" s="99"/>
      <c r="L448" s="99"/>
      <c r="M448" s="99"/>
      <c r="N448" s="99"/>
      <c r="O448" s="93"/>
    </row>
    <row r="449" spans="1:15" ht="30" x14ac:dyDescent="0.25">
      <c r="A449" s="129">
        <v>50</v>
      </c>
      <c r="B449" s="171" t="str">
        <f>'EN Parts'!B1323</f>
        <v>Rear engine gearbox actuator mout</v>
      </c>
      <c r="C449" s="100">
        <f>'EN Parts'!N1320</f>
        <v>2.9317066000000005</v>
      </c>
      <c r="D449" s="127">
        <f>EN_09005_q</f>
        <v>1</v>
      </c>
      <c r="E449" s="100">
        <f t="shared" si="21"/>
        <v>2.9317066000000005</v>
      </c>
      <c r="F449" s="99"/>
      <c r="G449" s="99"/>
      <c r="H449" s="99"/>
      <c r="I449" s="99"/>
      <c r="J449" s="99"/>
      <c r="K449" s="99"/>
      <c r="L449" s="99"/>
      <c r="M449" s="99"/>
      <c r="N449" s="99"/>
      <c r="O449" s="93"/>
    </row>
    <row r="450" spans="1:15" x14ac:dyDescent="0.25">
      <c r="A450" s="129">
        <v>60</v>
      </c>
      <c r="B450" s="132" t="str">
        <f>'EN Parts'!B1344</f>
        <v>Engine -Pinion shaft link</v>
      </c>
      <c r="C450" s="100">
        <f>'EN Parts'!N1341</f>
        <v>5.7375137687400004</v>
      </c>
      <c r="D450" s="127">
        <f>EN_09006_q</f>
        <v>1</v>
      </c>
      <c r="E450" s="100">
        <f t="shared" si="21"/>
        <v>5.7375137687400004</v>
      </c>
      <c r="F450" s="99"/>
      <c r="G450" s="99"/>
      <c r="H450" s="99"/>
      <c r="I450" s="99"/>
      <c r="J450" s="99"/>
      <c r="K450" s="99"/>
      <c r="L450" s="99"/>
      <c r="M450" s="99"/>
      <c r="N450" s="99"/>
      <c r="O450" s="131"/>
    </row>
    <row r="451" spans="1:15" x14ac:dyDescent="0.25">
      <c r="A451" s="107"/>
      <c r="B451" s="94"/>
      <c r="C451" s="94"/>
      <c r="D451" s="97" t="s">
        <v>58</v>
      </c>
      <c r="E451" s="96">
        <f>SUM(E445:E450)</f>
        <v>117.69263077653999</v>
      </c>
      <c r="F451" s="99"/>
      <c r="G451" s="99"/>
      <c r="H451" s="99"/>
      <c r="I451" s="99"/>
      <c r="J451" s="99"/>
      <c r="K451" s="99"/>
      <c r="L451" s="99"/>
      <c r="M451" s="99"/>
      <c r="N451" s="99"/>
      <c r="O451" s="93"/>
    </row>
    <row r="452" spans="1:15" x14ac:dyDescent="0.25">
      <c r="A452" s="107"/>
      <c r="B452" s="94"/>
      <c r="C452" s="94"/>
      <c r="D452" s="94"/>
      <c r="E452" s="94"/>
      <c r="F452" s="94"/>
      <c r="G452" s="94"/>
      <c r="H452" s="94"/>
      <c r="I452" s="94"/>
      <c r="J452" s="94"/>
      <c r="K452" s="94"/>
      <c r="L452" s="94"/>
      <c r="M452" s="94"/>
      <c r="N452" s="94"/>
      <c r="O452" s="93"/>
    </row>
    <row r="453" spans="1:15" x14ac:dyDescent="0.25">
      <c r="A453" s="106" t="s">
        <v>67</v>
      </c>
      <c r="B453" s="106" t="s">
        <v>112</v>
      </c>
      <c r="C453" s="106" t="s">
        <v>66</v>
      </c>
      <c r="D453" s="106" t="s">
        <v>65</v>
      </c>
      <c r="E453" s="106" t="s">
        <v>81</v>
      </c>
      <c r="F453" s="106" t="s">
        <v>80</v>
      </c>
      <c r="G453" s="106" t="s">
        <v>79</v>
      </c>
      <c r="H453" s="106" t="s">
        <v>78</v>
      </c>
      <c r="I453" s="106" t="s">
        <v>111</v>
      </c>
      <c r="J453" s="106" t="s">
        <v>110</v>
      </c>
      <c r="K453" s="106" t="s">
        <v>109</v>
      </c>
      <c r="L453" s="106" t="s">
        <v>108</v>
      </c>
      <c r="M453" s="106" t="s">
        <v>40</v>
      </c>
      <c r="N453" s="106" t="s">
        <v>58</v>
      </c>
      <c r="O453" s="93"/>
    </row>
    <row r="454" spans="1:15" x14ac:dyDescent="0.25">
      <c r="A454" s="115">
        <v>10</v>
      </c>
      <c r="B454" s="115" t="s">
        <v>250</v>
      </c>
      <c r="C454" s="115" t="s">
        <v>249</v>
      </c>
      <c r="D454" s="155">
        <v>10</v>
      </c>
      <c r="E454" s="115">
        <v>1E-3</v>
      </c>
      <c r="F454" s="115" t="s">
        <v>241</v>
      </c>
      <c r="G454" s="115"/>
      <c r="H454" s="152"/>
      <c r="I454" s="154"/>
      <c r="J454" s="153"/>
      <c r="K454" s="152"/>
      <c r="L454" s="152"/>
      <c r="M454" s="193">
        <v>1E-3</v>
      </c>
      <c r="N454" s="100">
        <f>M454*D454</f>
        <v>0.01</v>
      </c>
      <c r="O454" s="93"/>
    </row>
    <row r="455" spans="1:15" ht="30" x14ac:dyDescent="0.25">
      <c r="A455" s="115">
        <v>20</v>
      </c>
      <c r="B455" s="179" t="s">
        <v>248</v>
      </c>
      <c r="C455" s="114" t="s">
        <v>247</v>
      </c>
      <c r="D455" s="192">
        <v>40</v>
      </c>
      <c r="E455" s="114"/>
      <c r="F455" s="114"/>
      <c r="G455" s="114"/>
      <c r="H455" s="191"/>
      <c r="I455" s="190"/>
      <c r="J455" s="189"/>
      <c r="K455" s="188"/>
      <c r="L455" s="187"/>
      <c r="M455" s="186">
        <v>1</v>
      </c>
      <c r="N455" s="182">
        <f>M455*D455</f>
        <v>40</v>
      </c>
      <c r="O455" s="93"/>
    </row>
    <row r="456" spans="1:15" ht="30" x14ac:dyDescent="0.25">
      <c r="A456" s="115">
        <v>30</v>
      </c>
      <c r="B456" s="179" t="s">
        <v>246</v>
      </c>
      <c r="C456" s="114" t="s">
        <v>245</v>
      </c>
      <c r="D456" s="185">
        <v>2.4300000000000002</v>
      </c>
      <c r="E456" s="150">
        <v>9</v>
      </c>
      <c r="F456" s="150" t="s">
        <v>68</v>
      </c>
      <c r="G456" s="150"/>
      <c r="H456" s="149"/>
      <c r="I456" s="148"/>
      <c r="J456" s="147"/>
      <c r="K456" s="146"/>
      <c r="L456" s="184"/>
      <c r="M456" s="183">
        <v>1</v>
      </c>
      <c r="N456" s="182">
        <f>M456*D456</f>
        <v>2.4300000000000002</v>
      </c>
      <c r="O456" s="93"/>
    </row>
    <row r="457" spans="1:15" x14ac:dyDescent="0.25">
      <c r="A457" s="98"/>
      <c r="B457" s="95"/>
      <c r="C457" s="95"/>
      <c r="D457" s="95"/>
      <c r="E457" s="95"/>
      <c r="F457" s="95"/>
      <c r="G457" s="95"/>
      <c r="H457" s="95"/>
      <c r="I457" s="95"/>
      <c r="J457" s="95"/>
      <c r="K457" s="95"/>
      <c r="L457" s="95"/>
      <c r="M457" s="181" t="s">
        <v>58</v>
      </c>
      <c r="N457" s="96">
        <f>SUM(N454:N456)</f>
        <v>42.44</v>
      </c>
      <c r="O457" s="93"/>
    </row>
    <row r="458" spans="1:15" x14ac:dyDescent="0.25">
      <c r="A458" s="107"/>
      <c r="B458" s="94"/>
      <c r="C458" s="94"/>
      <c r="D458" s="94"/>
      <c r="E458" s="94"/>
      <c r="F458" s="94"/>
      <c r="G458" s="94"/>
      <c r="H458" s="94"/>
      <c r="I458" s="94"/>
      <c r="J458" s="94"/>
      <c r="K458" s="94"/>
      <c r="L458" s="94"/>
      <c r="M458" s="94"/>
      <c r="N458" s="94"/>
      <c r="O458" s="93"/>
    </row>
    <row r="459" spans="1:15" x14ac:dyDescent="0.25">
      <c r="A459" s="106" t="s">
        <v>67</v>
      </c>
      <c r="B459" s="106" t="s">
        <v>106</v>
      </c>
      <c r="C459" s="106" t="s">
        <v>66</v>
      </c>
      <c r="D459" s="106" t="s">
        <v>65</v>
      </c>
      <c r="E459" s="106" t="s">
        <v>64</v>
      </c>
      <c r="F459" s="106" t="s">
        <v>40</v>
      </c>
      <c r="G459" s="106" t="s">
        <v>105</v>
      </c>
      <c r="H459" s="106" t="s">
        <v>104</v>
      </c>
      <c r="I459" s="106" t="s">
        <v>58</v>
      </c>
      <c r="J459" s="95"/>
      <c r="K459" s="95"/>
      <c r="L459" s="95"/>
      <c r="M459" s="95"/>
      <c r="N459" s="95"/>
      <c r="O459" s="120"/>
    </row>
    <row r="460" spans="1:15" x14ac:dyDescent="0.25">
      <c r="A460" s="115">
        <v>10</v>
      </c>
      <c r="B460" s="115" t="s">
        <v>103</v>
      </c>
      <c r="C460" s="115" t="s">
        <v>244</v>
      </c>
      <c r="D460" s="115">
        <v>0.15</v>
      </c>
      <c r="E460" s="115" t="s">
        <v>64</v>
      </c>
      <c r="F460" s="115">
        <v>5</v>
      </c>
      <c r="G460" s="115"/>
      <c r="H460" s="115"/>
      <c r="I460" s="100">
        <f t="shared" ref="I460:I491" si="22">IF(H460="",D460*F460,D460*F460*H460)</f>
        <v>0.75</v>
      </c>
      <c r="J460" s="94"/>
      <c r="K460" s="94"/>
      <c r="L460" s="94"/>
      <c r="M460" s="94"/>
      <c r="N460" s="94"/>
      <c r="O460" s="93"/>
    </row>
    <row r="461" spans="1:15" x14ac:dyDescent="0.25">
      <c r="A461" s="115">
        <v>20</v>
      </c>
      <c r="B461" s="115" t="s">
        <v>243</v>
      </c>
      <c r="C461" s="115" t="s">
        <v>242</v>
      </c>
      <c r="D461" s="115">
        <v>5.25</v>
      </c>
      <c r="E461" s="115" t="s">
        <v>241</v>
      </c>
      <c r="F461" s="115">
        <v>1E-3</v>
      </c>
      <c r="G461" s="115"/>
      <c r="H461" s="115"/>
      <c r="I461" s="100">
        <f t="shared" si="22"/>
        <v>5.2500000000000003E-3</v>
      </c>
      <c r="J461" s="94"/>
      <c r="K461" s="94"/>
      <c r="L461" s="94"/>
      <c r="M461" s="94"/>
      <c r="N461" s="94"/>
      <c r="O461" s="93"/>
    </row>
    <row r="462" spans="1:15" x14ac:dyDescent="0.25">
      <c r="A462" s="115">
        <v>30</v>
      </c>
      <c r="B462" s="115" t="s">
        <v>203</v>
      </c>
      <c r="C462" s="115" t="s">
        <v>240</v>
      </c>
      <c r="D462" s="115">
        <v>0.25</v>
      </c>
      <c r="E462" s="115" t="s">
        <v>64</v>
      </c>
      <c r="F462" s="115">
        <v>13</v>
      </c>
      <c r="G462" s="115" t="s">
        <v>222</v>
      </c>
      <c r="H462" s="115">
        <v>0.8</v>
      </c>
      <c r="I462" s="100">
        <f t="shared" si="22"/>
        <v>2.6</v>
      </c>
      <c r="J462" s="94"/>
      <c r="K462" s="94"/>
      <c r="L462" s="94"/>
      <c r="M462" s="94"/>
      <c r="N462" s="94"/>
      <c r="O462" s="93"/>
    </row>
    <row r="463" spans="1:15" x14ac:dyDescent="0.25">
      <c r="A463" s="115">
        <v>40</v>
      </c>
      <c r="B463" s="115" t="s">
        <v>167</v>
      </c>
      <c r="C463" s="115" t="s">
        <v>239</v>
      </c>
      <c r="D463" s="115">
        <v>0.38</v>
      </c>
      <c r="E463" s="115" t="s">
        <v>64</v>
      </c>
      <c r="F463" s="115">
        <v>1</v>
      </c>
      <c r="G463" s="115" t="s">
        <v>222</v>
      </c>
      <c r="H463" s="115">
        <v>0.8</v>
      </c>
      <c r="I463" s="100">
        <f t="shared" si="22"/>
        <v>0.30400000000000005</v>
      </c>
      <c r="J463" s="94"/>
      <c r="K463" s="94"/>
      <c r="L463" s="94"/>
      <c r="M463" s="94"/>
      <c r="N463" s="94"/>
      <c r="O463" s="93"/>
    </row>
    <row r="464" spans="1:15" x14ac:dyDescent="0.25">
      <c r="A464" s="115">
        <v>50</v>
      </c>
      <c r="B464" s="115" t="s">
        <v>206</v>
      </c>
      <c r="C464" s="115" t="s">
        <v>238</v>
      </c>
      <c r="D464" s="115">
        <v>0.25</v>
      </c>
      <c r="E464" s="115" t="s">
        <v>64</v>
      </c>
      <c r="F464" s="115">
        <v>5</v>
      </c>
      <c r="G464" s="115" t="s">
        <v>222</v>
      </c>
      <c r="H464" s="115">
        <v>0.8</v>
      </c>
      <c r="I464" s="100">
        <f t="shared" si="22"/>
        <v>1</v>
      </c>
      <c r="J464" s="94"/>
      <c r="K464" s="94"/>
      <c r="L464" s="94"/>
      <c r="M464" s="94"/>
      <c r="N464" s="94"/>
      <c r="O464" s="93"/>
    </row>
    <row r="465" spans="1:15" x14ac:dyDescent="0.25">
      <c r="A465" s="115">
        <v>60</v>
      </c>
      <c r="B465" s="115" t="s">
        <v>87</v>
      </c>
      <c r="C465" s="115" t="s">
        <v>237</v>
      </c>
      <c r="D465" s="115">
        <v>0.06</v>
      </c>
      <c r="E465" s="115" t="s">
        <v>64</v>
      </c>
      <c r="F465" s="115">
        <v>5</v>
      </c>
      <c r="G465" s="115" t="s">
        <v>222</v>
      </c>
      <c r="H465" s="115">
        <v>0.8</v>
      </c>
      <c r="I465" s="100">
        <f t="shared" si="22"/>
        <v>0.24</v>
      </c>
      <c r="J465" s="94"/>
      <c r="K465" s="94"/>
      <c r="L465" s="94"/>
      <c r="M465" s="94"/>
      <c r="N465" s="94"/>
      <c r="O465" s="93"/>
    </row>
    <row r="466" spans="1:15" x14ac:dyDescent="0.25">
      <c r="A466" s="115">
        <v>70</v>
      </c>
      <c r="B466" s="115" t="s">
        <v>87</v>
      </c>
      <c r="C466" s="115" t="s">
        <v>236</v>
      </c>
      <c r="D466" s="115">
        <v>0.06</v>
      </c>
      <c r="E466" s="115" t="s">
        <v>64</v>
      </c>
      <c r="F466" s="115">
        <v>1</v>
      </c>
      <c r="G466" s="115" t="s">
        <v>222</v>
      </c>
      <c r="H466" s="115">
        <v>0.8</v>
      </c>
      <c r="I466" s="100">
        <f t="shared" si="22"/>
        <v>4.8000000000000001E-2</v>
      </c>
      <c r="J466" s="94"/>
      <c r="K466" s="94"/>
      <c r="L466" s="94"/>
      <c r="M466" s="94"/>
      <c r="N466" s="94"/>
      <c r="O466" s="93"/>
    </row>
    <row r="467" spans="1:15" x14ac:dyDescent="0.25">
      <c r="A467" s="115">
        <v>80</v>
      </c>
      <c r="B467" s="115" t="s">
        <v>87</v>
      </c>
      <c r="C467" s="115" t="s">
        <v>235</v>
      </c>
      <c r="D467" s="115">
        <v>0.06</v>
      </c>
      <c r="E467" s="115" t="s">
        <v>64</v>
      </c>
      <c r="F467" s="115">
        <v>1</v>
      </c>
      <c r="G467" s="115" t="s">
        <v>222</v>
      </c>
      <c r="H467" s="115">
        <v>0.8</v>
      </c>
      <c r="I467" s="100">
        <f t="shared" si="22"/>
        <v>4.8000000000000001E-2</v>
      </c>
      <c r="J467" s="94"/>
      <c r="K467" s="94"/>
      <c r="L467" s="94"/>
      <c r="M467" s="94"/>
      <c r="N467" s="94"/>
      <c r="O467" s="93"/>
    </row>
    <row r="468" spans="1:15" x14ac:dyDescent="0.25">
      <c r="A468" s="115">
        <v>90</v>
      </c>
      <c r="B468" s="115" t="s">
        <v>203</v>
      </c>
      <c r="C468" s="115" t="s">
        <v>234</v>
      </c>
      <c r="D468" s="115">
        <v>0.25</v>
      </c>
      <c r="E468" s="115" t="s">
        <v>64</v>
      </c>
      <c r="F468" s="115">
        <v>1</v>
      </c>
      <c r="G468" s="115" t="s">
        <v>222</v>
      </c>
      <c r="H468" s="115">
        <v>0.8</v>
      </c>
      <c r="I468" s="100">
        <f t="shared" si="22"/>
        <v>0.2</v>
      </c>
      <c r="J468" s="94"/>
      <c r="K468" s="94"/>
      <c r="L468" s="94"/>
      <c r="M468" s="94"/>
      <c r="N468" s="94"/>
      <c r="O468" s="93"/>
    </row>
    <row r="469" spans="1:15" x14ac:dyDescent="0.25">
      <c r="A469" s="115">
        <v>100</v>
      </c>
      <c r="B469" s="115" t="s">
        <v>87</v>
      </c>
      <c r="C469" s="115" t="s">
        <v>233</v>
      </c>
      <c r="D469" s="115">
        <v>0.06</v>
      </c>
      <c r="E469" s="115" t="s">
        <v>64</v>
      </c>
      <c r="F469" s="115">
        <v>1</v>
      </c>
      <c r="G469" s="115" t="s">
        <v>222</v>
      </c>
      <c r="H469" s="115">
        <v>0.8</v>
      </c>
      <c r="I469" s="100">
        <f t="shared" si="22"/>
        <v>4.8000000000000001E-2</v>
      </c>
      <c r="J469" s="94"/>
      <c r="K469" s="94"/>
      <c r="L469" s="94"/>
      <c r="M469" s="94"/>
      <c r="N469" s="94"/>
      <c r="O469" s="93"/>
    </row>
    <row r="470" spans="1:15" x14ac:dyDescent="0.25">
      <c r="A470" s="115">
        <v>110</v>
      </c>
      <c r="B470" s="115" t="s">
        <v>87</v>
      </c>
      <c r="C470" s="115" t="s">
        <v>232</v>
      </c>
      <c r="D470" s="115">
        <v>0.06</v>
      </c>
      <c r="E470" s="115" t="s">
        <v>64</v>
      </c>
      <c r="F470" s="115">
        <v>1</v>
      </c>
      <c r="G470" s="115" t="s">
        <v>222</v>
      </c>
      <c r="H470" s="115">
        <v>0.8</v>
      </c>
      <c r="I470" s="100">
        <f t="shared" si="22"/>
        <v>4.8000000000000001E-2</v>
      </c>
      <c r="J470" s="94"/>
      <c r="K470" s="94"/>
      <c r="L470" s="94"/>
      <c r="M470" s="94"/>
      <c r="N470" s="94"/>
      <c r="O470" s="93"/>
    </row>
    <row r="471" spans="1:15" x14ac:dyDescent="0.25">
      <c r="A471" s="115">
        <v>120</v>
      </c>
      <c r="B471" s="115" t="s">
        <v>87</v>
      </c>
      <c r="C471" s="115" t="s">
        <v>231</v>
      </c>
      <c r="D471" s="115">
        <v>0.06</v>
      </c>
      <c r="E471" s="115" t="s">
        <v>64</v>
      </c>
      <c r="F471" s="115">
        <v>1</v>
      </c>
      <c r="G471" s="115" t="s">
        <v>222</v>
      </c>
      <c r="H471" s="115">
        <v>0.8</v>
      </c>
      <c r="I471" s="100">
        <f t="shared" si="22"/>
        <v>4.8000000000000001E-2</v>
      </c>
      <c r="J471" s="94"/>
      <c r="K471" s="94"/>
      <c r="L471" s="94"/>
      <c r="M471" s="94"/>
      <c r="N471" s="94"/>
      <c r="O471" s="93"/>
    </row>
    <row r="472" spans="1:15" x14ac:dyDescent="0.25">
      <c r="A472" s="115">
        <v>130</v>
      </c>
      <c r="B472" s="115" t="s">
        <v>142</v>
      </c>
      <c r="C472" s="115" t="s">
        <v>230</v>
      </c>
      <c r="D472" s="115">
        <v>0.19</v>
      </c>
      <c r="E472" s="115" t="s">
        <v>64</v>
      </c>
      <c r="F472" s="115">
        <v>1</v>
      </c>
      <c r="G472" s="115" t="s">
        <v>222</v>
      </c>
      <c r="H472" s="115">
        <v>0.8</v>
      </c>
      <c r="I472" s="100">
        <f t="shared" si="22"/>
        <v>0.15200000000000002</v>
      </c>
      <c r="J472" s="94"/>
      <c r="K472" s="94"/>
      <c r="L472" s="94"/>
      <c r="M472" s="94"/>
      <c r="N472" s="94"/>
      <c r="O472" s="93"/>
    </row>
    <row r="473" spans="1:15" x14ac:dyDescent="0.25">
      <c r="A473" s="115">
        <v>140</v>
      </c>
      <c r="B473" s="115" t="s">
        <v>206</v>
      </c>
      <c r="C473" s="115" t="s">
        <v>229</v>
      </c>
      <c r="D473" s="115">
        <v>0.25</v>
      </c>
      <c r="E473" s="115" t="s">
        <v>64</v>
      </c>
      <c r="F473" s="115">
        <v>1</v>
      </c>
      <c r="G473" s="115" t="s">
        <v>222</v>
      </c>
      <c r="H473" s="115">
        <v>0.8</v>
      </c>
      <c r="I473" s="100">
        <f t="shared" si="22"/>
        <v>0.2</v>
      </c>
      <c r="J473" s="94"/>
      <c r="K473" s="94"/>
      <c r="L473" s="94"/>
      <c r="M473" s="94"/>
      <c r="N473" s="94"/>
      <c r="O473" s="93"/>
    </row>
    <row r="474" spans="1:15" x14ac:dyDescent="0.25">
      <c r="A474" s="115">
        <v>150</v>
      </c>
      <c r="B474" s="115" t="s">
        <v>87</v>
      </c>
      <c r="C474" s="115" t="s">
        <v>228</v>
      </c>
      <c r="D474" s="115">
        <v>0.06</v>
      </c>
      <c r="E474" s="115" t="s">
        <v>64</v>
      </c>
      <c r="F474" s="115">
        <v>1</v>
      </c>
      <c r="G474" s="115" t="s">
        <v>222</v>
      </c>
      <c r="H474" s="115">
        <v>0.8</v>
      </c>
      <c r="I474" s="100">
        <f t="shared" si="22"/>
        <v>4.8000000000000001E-2</v>
      </c>
      <c r="J474" s="94"/>
      <c r="K474" s="94"/>
      <c r="L474" s="94"/>
      <c r="M474" s="94"/>
      <c r="N474" s="94"/>
      <c r="O474" s="93"/>
    </row>
    <row r="475" spans="1:15" x14ac:dyDescent="0.25">
      <c r="A475" s="115">
        <v>160</v>
      </c>
      <c r="B475" s="115" t="s">
        <v>145</v>
      </c>
      <c r="C475" s="115" t="s">
        <v>227</v>
      </c>
      <c r="D475" s="115">
        <v>0.13</v>
      </c>
      <c r="E475" s="115" t="s">
        <v>64</v>
      </c>
      <c r="F475" s="115">
        <v>1</v>
      </c>
      <c r="G475" s="115" t="s">
        <v>222</v>
      </c>
      <c r="H475" s="115">
        <v>0.8</v>
      </c>
      <c r="I475" s="100">
        <f t="shared" si="22"/>
        <v>0.10400000000000001</v>
      </c>
      <c r="J475" s="94"/>
      <c r="K475" s="94"/>
      <c r="L475" s="94"/>
      <c r="M475" s="94"/>
      <c r="N475" s="94"/>
      <c r="O475" s="93"/>
    </row>
    <row r="476" spans="1:15" x14ac:dyDescent="0.25">
      <c r="A476" s="115">
        <v>170</v>
      </c>
      <c r="B476" s="115" t="s">
        <v>203</v>
      </c>
      <c r="C476" s="115" t="s">
        <v>226</v>
      </c>
      <c r="D476" s="115">
        <v>0.25</v>
      </c>
      <c r="E476" s="115" t="s">
        <v>64</v>
      </c>
      <c r="F476" s="115">
        <v>1</v>
      </c>
      <c r="G476" s="115" t="s">
        <v>222</v>
      </c>
      <c r="H476" s="115">
        <v>0.8</v>
      </c>
      <c r="I476" s="100">
        <f t="shared" si="22"/>
        <v>0.2</v>
      </c>
      <c r="J476" s="94"/>
      <c r="K476" s="94"/>
      <c r="L476" s="94"/>
      <c r="M476" s="94"/>
      <c r="N476" s="94"/>
      <c r="O476" s="93"/>
    </row>
    <row r="477" spans="1:15" x14ac:dyDescent="0.25">
      <c r="A477" s="115">
        <v>180</v>
      </c>
      <c r="B477" s="115" t="s">
        <v>206</v>
      </c>
      <c r="C477" s="115" t="s">
        <v>225</v>
      </c>
      <c r="D477" s="115">
        <v>0.25</v>
      </c>
      <c r="E477" s="115" t="s">
        <v>64</v>
      </c>
      <c r="F477" s="115">
        <v>1</v>
      </c>
      <c r="G477" s="115" t="s">
        <v>222</v>
      </c>
      <c r="H477" s="115">
        <v>0.8</v>
      </c>
      <c r="I477" s="100">
        <f t="shared" si="22"/>
        <v>0.2</v>
      </c>
      <c r="J477" s="94"/>
      <c r="K477" s="94"/>
      <c r="L477" s="94"/>
      <c r="M477" s="94"/>
      <c r="N477" s="94"/>
      <c r="O477" s="93"/>
    </row>
    <row r="478" spans="1:15" x14ac:dyDescent="0.25">
      <c r="A478" s="115">
        <v>190</v>
      </c>
      <c r="B478" s="115" t="s">
        <v>95</v>
      </c>
      <c r="C478" s="115" t="s">
        <v>224</v>
      </c>
      <c r="D478" s="115">
        <v>0.19</v>
      </c>
      <c r="E478" s="115" t="s">
        <v>64</v>
      </c>
      <c r="F478" s="115">
        <v>1</v>
      </c>
      <c r="G478" s="115" t="s">
        <v>222</v>
      </c>
      <c r="H478" s="115">
        <v>0.8</v>
      </c>
      <c r="I478" s="100">
        <f t="shared" si="22"/>
        <v>0.15200000000000002</v>
      </c>
      <c r="J478" s="94"/>
      <c r="K478" s="94"/>
      <c r="L478" s="94"/>
      <c r="M478" s="94"/>
      <c r="N478" s="94"/>
      <c r="O478" s="93"/>
    </row>
    <row r="479" spans="1:15" x14ac:dyDescent="0.25">
      <c r="A479" s="115">
        <v>200</v>
      </c>
      <c r="B479" s="115" t="s">
        <v>203</v>
      </c>
      <c r="C479" s="115" t="s">
        <v>223</v>
      </c>
      <c r="D479" s="115">
        <v>0.25</v>
      </c>
      <c r="E479" s="115" t="s">
        <v>64</v>
      </c>
      <c r="F479" s="115">
        <v>1</v>
      </c>
      <c r="G479" s="115" t="s">
        <v>222</v>
      </c>
      <c r="H479" s="115">
        <v>0.8</v>
      </c>
      <c r="I479" s="100">
        <f t="shared" si="22"/>
        <v>0.2</v>
      </c>
      <c r="J479" s="94"/>
      <c r="K479" s="94"/>
      <c r="L479" s="94"/>
      <c r="M479" s="94"/>
      <c r="N479" s="94"/>
      <c r="O479" s="93"/>
    </row>
    <row r="480" spans="1:15" x14ac:dyDescent="0.25">
      <c r="A480" s="115">
        <v>210</v>
      </c>
      <c r="B480" s="115" t="s">
        <v>87</v>
      </c>
      <c r="C480" s="115" t="s">
        <v>221</v>
      </c>
      <c r="D480" s="115">
        <v>0.06</v>
      </c>
      <c r="E480" s="115" t="s">
        <v>64</v>
      </c>
      <c r="F480" s="115">
        <v>1</v>
      </c>
      <c r="G480" s="115"/>
      <c r="H480" s="115"/>
      <c r="I480" s="100">
        <f t="shared" si="22"/>
        <v>0.06</v>
      </c>
      <c r="J480" s="94"/>
      <c r="K480" s="94"/>
      <c r="L480" s="94"/>
      <c r="M480" s="94"/>
      <c r="N480" s="94"/>
      <c r="O480" s="93"/>
    </row>
    <row r="481" spans="1:15" x14ac:dyDescent="0.25">
      <c r="A481" s="115">
        <v>220</v>
      </c>
      <c r="B481" s="115" t="s">
        <v>203</v>
      </c>
      <c r="C481" s="115" t="s">
        <v>220</v>
      </c>
      <c r="D481" s="115">
        <v>0.25</v>
      </c>
      <c r="E481" s="115" t="s">
        <v>64</v>
      </c>
      <c r="F481" s="115">
        <v>1</v>
      </c>
      <c r="G481" s="115"/>
      <c r="H481" s="115"/>
      <c r="I481" s="100">
        <f t="shared" si="22"/>
        <v>0.25</v>
      </c>
      <c r="J481" s="94"/>
      <c r="K481" s="94"/>
      <c r="L481" s="94"/>
      <c r="M481" s="94"/>
      <c r="N481" s="94"/>
      <c r="O481" s="93"/>
    </row>
    <row r="482" spans="1:15" x14ac:dyDescent="0.25">
      <c r="A482" s="115">
        <v>230</v>
      </c>
      <c r="B482" s="115" t="s">
        <v>95</v>
      </c>
      <c r="C482" s="115" t="s">
        <v>217</v>
      </c>
      <c r="D482" s="115">
        <v>0.19</v>
      </c>
      <c r="E482" s="115" t="s">
        <v>64</v>
      </c>
      <c r="F482" s="115">
        <v>1</v>
      </c>
      <c r="G482" s="115"/>
      <c r="H482" s="115"/>
      <c r="I482" s="100">
        <f t="shared" si="22"/>
        <v>0.19</v>
      </c>
      <c r="J482" s="94"/>
      <c r="K482" s="94"/>
      <c r="L482" s="94"/>
      <c r="M482" s="94"/>
      <c r="N482" s="94"/>
      <c r="O482" s="93"/>
    </row>
    <row r="483" spans="1:15" x14ac:dyDescent="0.25">
      <c r="A483" s="115">
        <v>240</v>
      </c>
      <c r="B483" s="115" t="s">
        <v>87</v>
      </c>
      <c r="C483" s="115" t="s">
        <v>218</v>
      </c>
      <c r="D483" s="115">
        <v>0.06</v>
      </c>
      <c r="E483" s="115" t="s">
        <v>64</v>
      </c>
      <c r="F483" s="115">
        <v>1</v>
      </c>
      <c r="G483" s="115"/>
      <c r="H483" s="115"/>
      <c r="I483" s="100">
        <f t="shared" si="22"/>
        <v>0.06</v>
      </c>
      <c r="J483" s="94"/>
      <c r="K483" s="94"/>
      <c r="L483" s="94"/>
      <c r="M483" s="94"/>
      <c r="N483" s="94"/>
      <c r="O483" s="93"/>
    </row>
    <row r="484" spans="1:15" x14ac:dyDescent="0.25">
      <c r="A484" s="115">
        <v>250</v>
      </c>
      <c r="B484" s="115" t="s">
        <v>145</v>
      </c>
      <c r="C484" s="115" t="s">
        <v>219</v>
      </c>
      <c r="D484" s="115">
        <v>0.13</v>
      </c>
      <c r="E484" s="115" t="s">
        <v>64</v>
      </c>
      <c r="F484" s="115">
        <v>1</v>
      </c>
      <c r="G484" s="115"/>
      <c r="H484" s="115"/>
      <c r="I484" s="100">
        <f t="shared" si="22"/>
        <v>0.13</v>
      </c>
      <c r="J484" s="94"/>
      <c r="K484" s="94"/>
      <c r="L484" s="94"/>
      <c r="M484" s="94"/>
      <c r="N484" s="94"/>
      <c r="O484" s="93"/>
    </row>
    <row r="485" spans="1:15" x14ac:dyDescent="0.25">
      <c r="A485" s="115">
        <v>260</v>
      </c>
      <c r="B485" s="115" t="s">
        <v>87</v>
      </c>
      <c r="C485" s="115" t="s">
        <v>218</v>
      </c>
      <c r="D485" s="115">
        <v>0.06</v>
      </c>
      <c r="E485" s="115" t="s">
        <v>64</v>
      </c>
      <c r="F485" s="115">
        <v>1</v>
      </c>
      <c r="G485" s="115"/>
      <c r="H485" s="115"/>
      <c r="I485" s="100">
        <f t="shared" si="22"/>
        <v>0.06</v>
      </c>
      <c r="J485" s="94"/>
      <c r="K485" s="94"/>
      <c r="L485" s="94"/>
      <c r="M485" s="94"/>
      <c r="N485" s="94"/>
      <c r="O485" s="93"/>
    </row>
    <row r="486" spans="1:15" x14ac:dyDescent="0.25">
      <c r="A486" s="115">
        <v>270</v>
      </c>
      <c r="B486" s="115" t="s">
        <v>95</v>
      </c>
      <c r="C486" s="115" t="s">
        <v>217</v>
      </c>
      <c r="D486" s="115">
        <v>0.19</v>
      </c>
      <c r="E486" s="115" t="s">
        <v>64</v>
      </c>
      <c r="F486" s="115">
        <v>1</v>
      </c>
      <c r="G486" s="115"/>
      <c r="H486" s="115"/>
      <c r="I486" s="100">
        <f t="shared" si="22"/>
        <v>0.19</v>
      </c>
      <c r="J486" s="94"/>
      <c r="K486" s="94"/>
      <c r="L486" s="94"/>
      <c r="M486" s="94"/>
      <c r="N486" s="94"/>
      <c r="O486" s="93"/>
    </row>
    <row r="487" spans="1:15" x14ac:dyDescent="0.25">
      <c r="A487" s="115">
        <v>280</v>
      </c>
      <c r="B487" s="115" t="s">
        <v>145</v>
      </c>
      <c r="C487" s="115" t="s">
        <v>216</v>
      </c>
      <c r="D487" s="115">
        <v>0.13</v>
      </c>
      <c r="E487" s="115" t="s">
        <v>64</v>
      </c>
      <c r="F487" s="115">
        <v>1</v>
      </c>
      <c r="G487" s="115"/>
      <c r="H487" s="115"/>
      <c r="I487" s="100">
        <f t="shared" si="22"/>
        <v>0.13</v>
      </c>
      <c r="J487" s="94"/>
      <c r="K487" s="94"/>
      <c r="L487" s="94"/>
      <c r="M487" s="94"/>
      <c r="N487" s="94"/>
      <c r="O487" s="93"/>
    </row>
    <row r="488" spans="1:15" x14ac:dyDescent="0.25">
      <c r="A488" s="115">
        <v>290</v>
      </c>
      <c r="B488" s="115" t="s">
        <v>142</v>
      </c>
      <c r="C488" s="115" t="s">
        <v>215</v>
      </c>
      <c r="D488" s="115">
        <v>0.19</v>
      </c>
      <c r="E488" s="115" t="s">
        <v>64</v>
      </c>
      <c r="F488" s="115">
        <v>1</v>
      </c>
      <c r="G488" s="115"/>
      <c r="H488" s="115"/>
      <c r="I488" s="100">
        <f t="shared" si="22"/>
        <v>0.19</v>
      </c>
      <c r="J488" s="94"/>
      <c r="K488" s="94"/>
      <c r="L488" s="94"/>
      <c r="M488" s="94"/>
      <c r="N488" s="94"/>
      <c r="O488" s="93"/>
    </row>
    <row r="489" spans="1:15" x14ac:dyDescent="0.25">
      <c r="A489" s="115">
        <v>300</v>
      </c>
      <c r="B489" s="115" t="s">
        <v>87</v>
      </c>
      <c r="C489" s="115" t="s">
        <v>214</v>
      </c>
      <c r="D489" s="115">
        <v>0.06</v>
      </c>
      <c r="E489" s="115" t="s">
        <v>64</v>
      </c>
      <c r="F489" s="115">
        <v>1</v>
      </c>
      <c r="G489" s="115"/>
      <c r="H489" s="115"/>
      <c r="I489" s="100">
        <f t="shared" si="22"/>
        <v>0.06</v>
      </c>
      <c r="J489" s="94"/>
      <c r="K489" s="94"/>
      <c r="L489" s="94"/>
      <c r="M489" s="94"/>
      <c r="N489" s="94"/>
      <c r="O489" s="93"/>
    </row>
    <row r="490" spans="1:15" x14ac:dyDescent="0.25">
      <c r="A490" s="115">
        <v>310</v>
      </c>
      <c r="B490" s="115" t="s">
        <v>87</v>
      </c>
      <c r="C490" s="115" t="s">
        <v>213</v>
      </c>
      <c r="D490" s="115">
        <v>0.06</v>
      </c>
      <c r="E490" s="115" t="s">
        <v>64</v>
      </c>
      <c r="F490" s="115">
        <v>1</v>
      </c>
      <c r="G490" s="115"/>
      <c r="H490" s="115"/>
      <c r="I490" s="100">
        <f t="shared" si="22"/>
        <v>0.06</v>
      </c>
      <c r="J490" s="94"/>
      <c r="K490" s="94"/>
      <c r="L490" s="94"/>
      <c r="M490" s="94"/>
      <c r="N490" s="94"/>
      <c r="O490" s="93"/>
    </row>
    <row r="491" spans="1:15" x14ac:dyDescent="0.25">
      <c r="A491" s="115">
        <v>320</v>
      </c>
      <c r="B491" s="115" t="s">
        <v>87</v>
      </c>
      <c r="C491" s="115" t="s">
        <v>212</v>
      </c>
      <c r="D491" s="115">
        <v>0.06</v>
      </c>
      <c r="E491" s="115" t="s">
        <v>64</v>
      </c>
      <c r="F491" s="115">
        <v>1</v>
      </c>
      <c r="G491" s="115"/>
      <c r="H491" s="115"/>
      <c r="I491" s="100">
        <f t="shared" si="22"/>
        <v>0.06</v>
      </c>
      <c r="J491" s="94"/>
      <c r="K491" s="94"/>
      <c r="L491" s="94"/>
      <c r="M491" s="94"/>
      <c r="N491" s="94"/>
      <c r="O491" s="93"/>
    </row>
    <row r="492" spans="1:15" x14ac:dyDescent="0.25">
      <c r="A492" s="115">
        <v>330</v>
      </c>
      <c r="B492" s="115" t="s">
        <v>87</v>
      </c>
      <c r="C492" s="115" t="s">
        <v>211</v>
      </c>
      <c r="D492" s="115">
        <v>0.06</v>
      </c>
      <c r="E492" s="115" t="s">
        <v>64</v>
      </c>
      <c r="F492" s="115">
        <v>2</v>
      </c>
      <c r="G492" s="115"/>
      <c r="H492" s="115"/>
      <c r="I492" s="100">
        <f t="shared" ref="I492:I513" si="23">IF(H492="",D492*F492,D492*F492*H492)</f>
        <v>0.12</v>
      </c>
      <c r="J492" s="94"/>
      <c r="K492" s="94"/>
      <c r="L492" s="94"/>
      <c r="M492" s="94"/>
      <c r="N492" s="94"/>
      <c r="O492" s="93"/>
    </row>
    <row r="493" spans="1:15" x14ac:dyDescent="0.25">
      <c r="A493" s="115">
        <v>340</v>
      </c>
      <c r="B493" s="115" t="s">
        <v>203</v>
      </c>
      <c r="C493" s="115" t="s">
        <v>210</v>
      </c>
      <c r="D493" s="115">
        <v>0.25</v>
      </c>
      <c r="E493" s="115" t="s">
        <v>64</v>
      </c>
      <c r="F493" s="115">
        <v>1</v>
      </c>
      <c r="G493" s="115"/>
      <c r="H493" s="115"/>
      <c r="I493" s="100">
        <f t="shared" si="23"/>
        <v>0.25</v>
      </c>
      <c r="J493" s="94"/>
      <c r="K493" s="94"/>
      <c r="L493" s="94"/>
      <c r="M493" s="94"/>
      <c r="N493" s="94"/>
      <c r="O493" s="93"/>
    </row>
    <row r="494" spans="1:15" x14ac:dyDescent="0.25">
      <c r="A494" s="115">
        <v>350</v>
      </c>
      <c r="B494" s="115" t="s">
        <v>87</v>
      </c>
      <c r="C494" s="115" t="s">
        <v>209</v>
      </c>
      <c r="D494" s="115">
        <v>0.06</v>
      </c>
      <c r="E494" s="115" t="s">
        <v>64</v>
      </c>
      <c r="F494" s="115">
        <v>15</v>
      </c>
      <c r="G494" s="115"/>
      <c r="H494" s="115"/>
      <c r="I494" s="100">
        <f t="shared" si="23"/>
        <v>0.89999999999999991</v>
      </c>
      <c r="J494" s="94"/>
      <c r="K494" s="94"/>
      <c r="L494" s="94"/>
      <c r="M494" s="94"/>
      <c r="N494" s="94"/>
      <c r="O494" s="93"/>
    </row>
    <row r="495" spans="1:15" x14ac:dyDescent="0.25">
      <c r="A495" s="115">
        <v>360</v>
      </c>
      <c r="B495" s="115" t="s">
        <v>87</v>
      </c>
      <c r="C495" s="115" t="s">
        <v>208</v>
      </c>
      <c r="D495" s="115">
        <v>0.06</v>
      </c>
      <c r="E495" s="115" t="s">
        <v>64</v>
      </c>
      <c r="F495" s="115">
        <v>1</v>
      </c>
      <c r="G495" s="115"/>
      <c r="H495" s="115"/>
      <c r="I495" s="100">
        <f t="shared" si="23"/>
        <v>0.06</v>
      </c>
      <c r="J495" s="94"/>
      <c r="K495" s="94"/>
      <c r="L495" s="94"/>
      <c r="M495" s="94"/>
      <c r="N495" s="94"/>
      <c r="O495" s="93"/>
    </row>
    <row r="496" spans="1:15" x14ac:dyDescent="0.25">
      <c r="A496" s="115">
        <v>370</v>
      </c>
      <c r="B496" s="115" t="s">
        <v>87</v>
      </c>
      <c r="C496" s="115" t="s">
        <v>207</v>
      </c>
      <c r="D496" s="115">
        <v>0.06</v>
      </c>
      <c r="E496" s="115" t="s">
        <v>64</v>
      </c>
      <c r="F496" s="115">
        <v>5</v>
      </c>
      <c r="G496" s="115"/>
      <c r="H496" s="115"/>
      <c r="I496" s="100">
        <f t="shared" si="23"/>
        <v>0.3</v>
      </c>
      <c r="J496" s="94"/>
      <c r="K496" s="94"/>
      <c r="L496" s="94"/>
      <c r="M496" s="94"/>
      <c r="N496" s="94"/>
      <c r="O496" s="93"/>
    </row>
    <row r="497" spans="1:15" ht="45" x14ac:dyDescent="0.25">
      <c r="A497" s="115">
        <v>380</v>
      </c>
      <c r="B497" s="115" t="s">
        <v>206</v>
      </c>
      <c r="C497" s="115" t="s">
        <v>205</v>
      </c>
      <c r="D497" s="115">
        <v>0.25</v>
      </c>
      <c r="E497" s="115" t="s">
        <v>64</v>
      </c>
      <c r="F497" s="115">
        <v>5</v>
      </c>
      <c r="G497" s="114" t="s">
        <v>186</v>
      </c>
      <c r="H497" s="115">
        <v>1.25</v>
      </c>
      <c r="I497" s="100">
        <f t="shared" si="23"/>
        <v>1.5625</v>
      </c>
      <c r="J497" s="94"/>
      <c r="K497" s="94"/>
      <c r="L497" s="94"/>
      <c r="M497" s="94"/>
      <c r="N497" s="94"/>
      <c r="O497" s="93"/>
    </row>
    <row r="498" spans="1:15" x14ac:dyDescent="0.25">
      <c r="A498" s="115">
        <v>390</v>
      </c>
      <c r="B498" s="115" t="s">
        <v>167</v>
      </c>
      <c r="C498" s="115" t="s">
        <v>204</v>
      </c>
      <c r="D498" s="115">
        <v>0.38</v>
      </c>
      <c r="E498" s="115" t="s">
        <v>64</v>
      </c>
      <c r="F498" s="115">
        <v>1</v>
      </c>
      <c r="G498" s="115"/>
      <c r="H498" s="115"/>
      <c r="I498" s="100">
        <f t="shared" si="23"/>
        <v>0.38</v>
      </c>
      <c r="J498" s="94"/>
      <c r="K498" s="94"/>
      <c r="L498" s="94"/>
      <c r="M498" s="94"/>
      <c r="N498" s="94"/>
      <c r="O498" s="93"/>
    </row>
    <row r="499" spans="1:15" ht="45" x14ac:dyDescent="0.25">
      <c r="A499" s="115">
        <v>400</v>
      </c>
      <c r="B499" s="115" t="s">
        <v>203</v>
      </c>
      <c r="C499" s="115" t="s">
        <v>202</v>
      </c>
      <c r="D499" s="115">
        <v>0.25</v>
      </c>
      <c r="E499" s="115" t="s">
        <v>64</v>
      </c>
      <c r="F499" s="115">
        <v>13</v>
      </c>
      <c r="G499" s="114" t="s">
        <v>186</v>
      </c>
      <c r="H499" s="115">
        <v>1.25</v>
      </c>
      <c r="I499" s="100">
        <f t="shared" si="23"/>
        <v>4.0625</v>
      </c>
      <c r="J499" s="94"/>
      <c r="K499" s="94"/>
      <c r="L499" s="94"/>
      <c r="M499" s="94"/>
      <c r="N499" s="94"/>
      <c r="O499" s="93"/>
    </row>
    <row r="500" spans="1:15" x14ac:dyDescent="0.25">
      <c r="A500" s="115">
        <v>410</v>
      </c>
      <c r="B500" s="115" t="s">
        <v>87</v>
      </c>
      <c r="C500" s="115" t="s">
        <v>201</v>
      </c>
      <c r="D500" s="115">
        <v>0.06</v>
      </c>
      <c r="E500" s="115" t="s">
        <v>64</v>
      </c>
      <c r="F500" s="115">
        <v>1</v>
      </c>
      <c r="G500" s="115"/>
      <c r="H500" s="115"/>
      <c r="I500" s="100">
        <f t="shared" si="23"/>
        <v>0.06</v>
      </c>
      <c r="J500" s="94"/>
      <c r="K500" s="94"/>
      <c r="L500" s="94"/>
      <c r="M500" s="94"/>
      <c r="N500" s="94"/>
      <c r="O500" s="93"/>
    </row>
    <row r="501" spans="1:15" x14ac:dyDescent="0.25">
      <c r="A501" s="115">
        <v>420</v>
      </c>
      <c r="B501" s="115" t="s">
        <v>87</v>
      </c>
      <c r="C501" s="115" t="s">
        <v>200</v>
      </c>
      <c r="D501" s="115">
        <v>0.06</v>
      </c>
      <c r="E501" s="115" t="s">
        <v>64</v>
      </c>
      <c r="F501" s="115">
        <v>1</v>
      </c>
      <c r="G501" s="115"/>
      <c r="H501" s="115"/>
      <c r="I501" s="100">
        <f t="shared" si="23"/>
        <v>0.06</v>
      </c>
      <c r="J501" s="94"/>
      <c r="K501" s="94"/>
      <c r="L501" s="94"/>
      <c r="M501" s="94"/>
      <c r="N501" s="94"/>
      <c r="O501" s="93"/>
    </row>
    <row r="502" spans="1:15" x14ac:dyDescent="0.25">
      <c r="A502" s="115">
        <v>430</v>
      </c>
      <c r="B502" s="115" t="s">
        <v>87</v>
      </c>
      <c r="C502" s="115" t="s">
        <v>198</v>
      </c>
      <c r="D502" s="115">
        <v>0.06</v>
      </c>
      <c r="E502" s="115" t="s">
        <v>64</v>
      </c>
      <c r="F502" s="115">
        <v>2</v>
      </c>
      <c r="G502" s="115"/>
      <c r="H502" s="115"/>
      <c r="I502" s="100">
        <f t="shared" si="23"/>
        <v>0.12</v>
      </c>
      <c r="J502" s="94"/>
      <c r="K502" s="94"/>
      <c r="L502" s="94"/>
      <c r="M502" s="94"/>
      <c r="N502" s="94"/>
      <c r="O502" s="93"/>
    </row>
    <row r="503" spans="1:15" x14ac:dyDescent="0.25">
      <c r="A503" s="115">
        <v>440</v>
      </c>
      <c r="B503" s="115" t="s">
        <v>87</v>
      </c>
      <c r="C503" s="115" t="s">
        <v>199</v>
      </c>
      <c r="D503" s="115">
        <v>0.06</v>
      </c>
      <c r="E503" s="115" t="s">
        <v>64</v>
      </c>
      <c r="F503" s="115">
        <v>2</v>
      </c>
      <c r="G503" s="115"/>
      <c r="H503" s="115"/>
      <c r="I503" s="100">
        <f t="shared" si="23"/>
        <v>0.12</v>
      </c>
      <c r="J503" s="94"/>
      <c r="K503" s="94"/>
      <c r="L503" s="94"/>
      <c r="M503" s="94"/>
      <c r="N503" s="94"/>
      <c r="O503" s="93"/>
    </row>
    <row r="504" spans="1:15" x14ac:dyDescent="0.25">
      <c r="A504" s="115">
        <v>450</v>
      </c>
      <c r="B504" s="115" t="s">
        <v>87</v>
      </c>
      <c r="C504" s="115" t="s">
        <v>198</v>
      </c>
      <c r="D504" s="115">
        <v>0.06</v>
      </c>
      <c r="E504" s="115" t="s">
        <v>64</v>
      </c>
      <c r="F504" s="115">
        <v>2</v>
      </c>
      <c r="G504" s="115"/>
      <c r="H504" s="115"/>
      <c r="I504" s="100">
        <f t="shared" si="23"/>
        <v>0.12</v>
      </c>
      <c r="J504" s="94"/>
      <c r="K504" s="94"/>
      <c r="L504" s="94"/>
      <c r="M504" s="94"/>
      <c r="N504" s="94"/>
      <c r="O504" s="93"/>
    </row>
    <row r="505" spans="1:15" x14ac:dyDescent="0.25">
      <c r="A505" s="115">
        <v>460</v>
      </c>
      <c r="B505" s="115" t="s">
        <v>197</v>
      </c>
      <c r="C505" s="115" t="s">
        <v>196</v>
      </c>
      <c r="D505" s="115">
        <v>0.12</v>
      </c>
      <c r="E505" s="115" t="s">
        <v>64</v>
      </c>
      <c r="F505" s="115">
        <v>2</v>
      </c>
      <c r="G505" s="115"/>
      <c r="H505" s="115"/>
      <c r="I505" s="100">
        <f t="shared" si="23"/>
        <v>0.24</v>
      </c>
      <c r="J505" s="94"/>
      <c r="K505" s="94"/>
      <c r="L505" s="94"/>
      <c r="M505" s="94"/>
      <c r="N505" s="94"/>
      <c r="O505" s="93"/>
    </row>
    <row r="506" spans="1:15" x14ac:dyDescent="0.25">
      <c r="A506" s="115">
        <v>470</v>
      </c>
      <c r="B506" s="115" t="s">
        <v>167</v>
      </c>
      <c r="C506" s="115" t="s">
        <v>195</v>
      </c>
      <c r="D506" s="115">
        <v>0.38</v>
      </c>
      <c r="E506" s="115" t="s">
        <v>64</v>
      </c>
      <c r="F506" s="115">
        <v>1</v>
      </c>
      <c r="G506" s="115"/>
      <c r="H506" s="115"/>
      <c r="I506" s="100">
        <f t="shared" si="23"/>
        <v>0.38</v>
      </c>
      <c r="J506" s="94"/>
      <c r="K506" s="94"/>
      <c r="L506" s="94"/>
      <c r="M506" s="94"/>
      <c r="N506" s="94"/>
      <c r="O506" s="93"/>
    </row>
    <row r="507" spans="1:15" x14ac:dyDescent="0.25">
      <c r="A507" s="115">
        <v>480</v>
      </c>
      <c r="B507" s="115" t="s">
        <v>87</v>
      </c>
      <c r="C507" s="115" t="s">
        <v>194</v>
      </c>
      <c r="D507" s="115">
        <v>0.06</v>
      </c>
      <c r="E507" s="115" t="s">
        <v>64</v>
      </c>
      <c r="F507" s="115">
        <v>1</v>
      </c>
      <c r="G507" s="115"/>
      <c r="H507" s="115"/>
      <c r="I507" s="100">
        <f t="shared" si="23"/>
        <v>0.06</v>
      </c>
      <c r="J507" s="94"/>
      <c r="K507" s="94"/>
      <c r="L507" s="94"/>
      <c r="M507" s="94"/>
      <c r="N507" s="94"/>
      <c r="O507" s="93"/>
    </row>
    <row r="508" spans="1:15" x14ac:dyDescent="0.25">
      <c r="A508" s="115">
        <v>490</v>
      </c>
      <c r="B508" s="115" t="s">
        <v>87</v>
      </c>
      <c r="C508" s="115" t="s">
        <v>193</v>
      </c>
      <c r="D508" s="115">
        <v>0.06</v>
      </c>
      <c r="E508" s="115" t="s">
        <v>64</v>
      </c>
      <c r="F508" s="115">
        <v>1</v>
      </c>
      <c r="G508" s="115"/>
      <c r="H508" s="115"/>
      <c r="I508" s="100">
        <f t="shared" si="23"/>
        <v>0.06</v>
      </c>
      <c r="J508" s="94"/>
      <c r="K508" s="94"/>
      <c r="L508" s="94"/>
      <c r="M508" s="94"/>
      <c r="N508" s="94"/>
      <c r="O508" s="93"/>
    </row>
    <row r="509" spans="1:15" x14ac:dyDescent="0.25">
      <c r="A509" s="115">
        <v>500</v>
      </c>
      <c r="B509" s="115" t="s">
        <v>87</v>
      </c>
      <c r="C509" s="115" t="s">
        <v>192</v>
      </c>
      <c r="D509" s="115">
        <v>0.06</v>
      </c>
      <c r="E509" s="115" t="s">
        <v>64</v>
      </c>
      <c r="F509" s="115">
        <v>1</v>
      </c>
      <c r="G509" s="115"/>
      <c r="H509" s="115"/>
      <c r="I509" s="100">
        <f t="shared" si="23"/>
        <v>0.06</v>
      </c>
      <c r="J509" s="94"/>
      <c r="K509" s="94"/>
      <c r="L509" s="94"/>
      <c r="M509" s="94"/>
      <c r="N509" s="94"/>
      <c r="O509" s="93"/>
    </row>
    <row r="510" spans="1:15" ht="45" x14ac:dyDescent="0.25">
      <c r="A510" s="115">
        <v>510</v>
      </c>
      <c r="B510" s="115" t="s">
        <v>188</v>
      </c>
      <c r="C510" s="115" t="s">
        <v>191</v>
      </c>
      <c r="D510" s="115">
        <v>1</v>
      </c>
      <c r="E510" s="115" t="s">
        <v>64</v>
      </c>
      <c r="F510" s="115">
        <v>1</v>
      </c>
      <c r="G510" s="114" t="s">
        <v>186</v>
      </c>
      <c r="H510" s="115">
        <v>1.25</v>
      </c>
      <c r="I510" s="100">
        <f t="shared" si="23"/>
        <v>1.25</v>
      </c>
      <c r="J510" s="94"/>
      <c r="K510" s="94"/>
      <c r="L510" s="94"/>
      <c r="M510" s="94"/>
      <c r="N510" s="94"/>
      <c r="O510" s="93"/>
    </row>
    <row r="511" spans="1:15" ht="45" x14ac:dyDescent="0.25">
      <c r="A511" s="115">
        <v>520</v>
      </c>
      <c r="B511" s="115" t="s">
        <v>188</v>
      </c>
      <c r="C511" s="115" t="s">
        <v>190</v>
      </c>
      <c r="D511" s="115">
        <v>1</v>
      </c>
      <c r="E511" s="115" t="s">
        <v>64</v>
      </c>
      <c r="F511" s="115">
        <v>2</v>
      </c>
      <c r="G511" s="114" t="s">
        <v>189</v>
      </c>
      <c r="H511" s="115">
        <v>1.5</v>
      </c>
      <c r="I511" s="100">
        <f t="shared" si="23"/>
        <v>3</v>
      </c>
      <c r="J511" s="94"/>
      <c r="K511" s="94"/>
      <c r="L511" s="94"/>
      <c r="M511" s="94"/>
      <c r="N511" s="94"/>
      <c r="O511" s="93"/>
    </row>
    <row r="512" spans="1:15" x14ac:dyDescent="0.25">
      <c r="A512" s="115">
        <v>530</v>
      </c>
      <c r="B512" s="115" t="s">
        <v>162</v>
      </c>
      <c r="C512" s="115"/>
      <c r="D512" s="115">
        <v>0.25</v>
      </c>
      <c r="E512" s="115" t="s">
        <v>64</v>
      </c>
      <c r="F512" s="115">
        <v>2</v>
      </c>
      <c r="G512" s="115"/>
      <c r="H512" s="115"/>
      <c r="I512" s="100">
        <f t="shared" si="23"/>
        <v>0.5</v>
      </c>
      <c r="J512" s="94"/>
      <c r="K512" s="94"/>
      <c r="L512" s="94"/>
      <c r="M512" s="94"/>
      <c r="N512" s="94"/>
      <c r="O512" s="93"/>
    </row>
    <row r="513" spans="1:15" ht="45" x14ac:dyDescent="0.25">
      <c r="A513" s="115">
        <v>540</v>
      </c>
      <c r="B513" s="115" t="s">
        <v>188</v>
      </c>
      <c r="C513" s="115" t="s">
        <v>187</v>
      </c>
      <c r="D513" s="115">
        <v>1</v>
      </c>
      <c r="E513" s="115" t="s">
        <v>64</v>
      </c>
      <c r="F513" s="115">
        <v>4</v>
      </c>
      <c r="G513" s="114" t="s">
        <v>186</v>
      </c>
      <c r="H513" s="115">
        <v>1.25</v>
      </c>
      <c r="I513" s="100">
        <f t="shared" si="23"/>
        <v>5</v>
      </c>
      <c r="J513" s="94"/>
      <c r="K513" s="94"/>
      <c r="L513" s="94"/>
      <c r="M513" s="94"/>
      <c r="N513" s="94"/>
      <c r="O513" s="93"/>
    </row>
    <row r="514" spans="1:15" x14ac:dyDescent="0.25">
      <c r="A514" s="98"/>
      <c r="B514" s="95"/>
      <c r="C514" s="95"/>
      <c r="D514" s="95"/>
      <c r="E514" s="95"/>
      <c r="F514" s="95"/>
      <c r="G514" s="95"/>
      <c r="H514" s="97" t="s">
        <v>58</v>
      </c>
      <c r="I514" s="96">
        <f>SUM(I460:I513)</f>
        <v>26.700249999999997</v>
      </c>
      <c r="J514" s="94"/>
      <c r="K514" s="94"/>
      <c r="L514" s="94"/>
      <c r="M514" s="94"/>
      <c r="N514" s="94"/>
      <c r="O514" s="93"/>
    </row>
    <row r="515" spans="1:15" x14ac:dyDescent="0.25">
      <c r="A515" s="107"/>
      <c r="B515" s="94"/>
      <c r="C515" s="94"/>
      <c r="D515" s="94"/>
      <c r="E515" s="94"/>
      <c r="F515" s="94"/>
      <c r="G515" s="94"/>
      <c r="H515" s="94"/>
      <c r="I515" s="94"/>
      <c r="J515" s="94"/>
      <c r="K515" s="94"/>
      <c r="L515" s="94"/>
      <c r="M515" s="94"/>
      <c r="N515" s="94"/>
      <c r="O515" s="93"/>
    </row>
    <row r="516" spans="1:15" x14ac:dyDescent="0.25">
      <c r="A516" s="106" t="s">
        <v>67</v>
      </c>
      <c r="B516" s="106" t="s">
        <v>82</v>
      </c>
      <c r="C516" s="106" t="s">
        <v>66</v>
      </c>
      <c r="D516" s="106" t="s">
        <v>65</v>
      </c>
      <c r="E516" s="106" t="s">
        <v>81</v>
      </c>
      <c r="F516" s="106" t="s">
        <v>80</v>
      </c>
      <c r="G516" s="106" t="s">
        <v>79</v>
      </c>
      <c r="H516" s="106" t="s">
        <v>78</v>
      </c>
      <c r="I516" s="106" t="s">
        <v>40</v>
      </c>
      <c r="J516" s="106" t="s">
        <v>58</v>
      </c>
      <c r="K516" s="94"/>
      <c r="L516" s="94"/>
      <c r="M516" s="94"/>
      <c r="N516" s="94"/>
      <c r="O516" s="93"/>
    </row>
    <row r="517" spans="1:15" x14ac:dyDescent="0.25">
      <c r="A517" s="115">
        <v>10</v>
      </c>
      <c r="B517" s="115" t="s">
        <v>184</v>
      </c>
      <c r="C517" s="115" t="s">
        <v>185</v>
      </c>
      <c r="D517" s="175">
        <v>0.16</v>
      </c>
      <c r="E517" s="180">
        <v>8</v>
      </c>
      <c r="F517" s="180" t="s">
        <v>68</v>
      </c>
      <c r="G517" s="180">
        <v>40</v>
      </c>
      <c r="H517" s="180" t="s">
        <v>68</v>
      </c>
      <c r="I517" s="172">
        <v>1</v>
      </c>
      <c r="J517" s="100">
        <f t="shared" ref="J517:J522" si="24">I517*D517</f>
        <v>0.16</v>
      </c>
      <c r="K517" s="94"/>
      <c r="L517" s="94"/>
      <c r="M517" s="94"/>
      <c r="N517" s="94"/>
      <c r="O517" s="93"/>
    </row>
    <row r="518" spans="1:15" x14ac:dyDescent="0.25">
      <c r="A518" s="115">
        <v>20</v>
      </c>
      <c r="B518" s="115" t="s">
        <v>184</v>
      </c>
      <c r="C518" s="115" t="s">
        <v>183</v>
      </c>
      <c r="D518" s="175">
        <v>0.02</v>
      </c>
      <c r="E518" s="115">
        <v>4</v>
      </c>
      <c r="F518" s="174" t="s">
        <v>68</v>
      </c>
      <c r="G518" s="115">
        <v>20</v>
      </c>
      <c r="H518" s="173" t="s">
        <v>68</v>
      </c>
      <c r="I518" s="172">
        <v>3</v>
      </c>
      <c r="J518" s="100">
        <f t="shared" si="24"/>
        <v>0.06</v>
      </c>
      <c r="K518" s="94"/>
      <c r="L518" s="94"/>
      <c r="M518" s="94"/>
      <c r="N518" s="94"/>
      <c r="O518" s="93"/>
    </row>
    <row r="519" spans="1:15" x14ac:dyDescent="0.25">
      <c r="A519" s="115">
        <v>30</v>
      </c>
      <c r="B519" s="115" t="s">
        <v>74</v>
      </c>
      <c r="C519" s="115" t="s">
        <v>183</v>
      </c>
      <c r="D519" s="175">
        <v>0.01</v>
      </c>
      <c r="E519" s="115">
        <v>4</v>
      </c>
      <c r="F519" s="174" t="s">
        <v>68</v>
      </c>
      <c r="G519" s="115"/>
      <c r="H519" s="173"/>
      <c r="I519" s="172">
        <v>5</v>
      </c>
      <c r="J519" s="100">
        <f t="shared" si="24"/>
        <v>0.05</v>
      </c>
      <c r="K519" s="94"/>
      <c r="L519" s="94"/>
      <c r="M519" s="94"/>
      <c r="N519" s="94"/>
      <c r="O519" s="93"/>
    </row>
    <row r="520" spans="1:15" x14ac:dyDescent="0.25">
      <c r="A520" s="115">
        <v>40</v>
      </c>
      <c r="B520" s="179" t="s">
        <v>75</v>
      </c>
      <c r="C520" s="114" t="s">
        <v>183</v>
      </c>
      <c r="D520" s="178">
        <v>0.01</v>
      </c>
      <c r="E520" s="114">
        <v>4</v>
      </c>
      <c r="F520" s="158" t="s">
        <v>68</v>
      </c>
      <c r="G520" s="114"/>
      <c r="H520" s="177"/>
      <c r="I520" s="176">
        <v>2</v>
      </c>
      <c r="J520" s="100">
        <f t="shared" si="24"/>
        <v>0.02</v>
      </c>
      <c r="K520" s="142"/>
      <c r="L520" s="142"/>
      <c r="M520" s="142"/>
      <c r="N520" s="142"/>
      <c r="O520" s="93"/>
    </row>
    <row r="521" spans="1:15" ht="30" x14ac:dyDescent="0.25">
      <c r="A521" s="115">
        <v>50</v>
      </c>
      <c r="B521" s="179" t="s">
        <v>74</v>
      </c>
      <c r="C521" s="114" t="s">
        <v>182</v>
      </c>
      <c r="D521" s="178">
        <v>0.01</v>
      </c>
      <c r="E521" s="114">
        <v>14</v>
      </c>
      <c r="F521" s="158" t="s">
        <v>68</v>
      </c>
      <c r="G521" s="114">
        <v>21</v>
      </c>
      <c r="H521" s="177" t="s">
        <v>68</v>
      </c>
      <c r="I521" s="176">
        <v>2</v>
      </c>
      <c r="J521" s="100">
        <f t="shared" si="24"/>
        <v>0.02</v>
      </c>
      <c r="K521" s="142"/>
      <c r="L521" s="142"/>
      <c r="M521" s="142"/>
      <c r="N521" s="142"/>
      <c r="O521" s="93"/>
    </row>
    <row r="522" spans="1:15" x14ac:dyDescent="0.25">
      <c r="A522" s="115">
        <v>60</v>
      </c>
      <c r="B522" s="115" t="s">
        <v>70</v>
      </c>
      <c r="C522" s="114" t="s">
        <v>181</v>
      </c>
      <c r="D522" s="175">
        <v>0.05</v>
      </c>
      <c r="E522" s="115">
        <v>14</v>
      </c>
      <c r="F522" s="174" t="s">
        <v>68</v>
      </c>
      <c r="G522" s="115"/>
      <c r="H522" s="173"/>
      <c r="I522" s="172">
        <v>2</v>
      </c>
      <c r="J522" s="100">
        <f t="shared" si="24"/>
        <v>0.1</v>
      </c>
      <c r="K522" s="99"/>
      <c r="L522" s="99"/>
      <c r="M522" s="99"/>
      <c r="N522" s="99"/>
      <c r="O522" s="130"/>
    </row>
    <row r="523" spans="1:15" x14ac:dyDescent="0.25">
      <c r="A523" s="98"/>
      <c r="B523" s="95"/>
      <c r="C523" s="95"/>
      <c r="D523" s="95"/>
      <c r="E523" s="95"/>
      <c r="F523" s="95"/>
      <c r="G523" s="95"/>
      <c r="H523" s="95"/>
      <c r="I523" s="97" t="s">
        <v>58</v>
      </c>
      <c r="J523" s="96">
        <f>SUM(J517:J522)</f>
        <v>0.41000000000000003</v>
      </c>
      <c r="K523" s="94"/>
      <c r="L523" s="94"/>
      <c r="M523" s="94"/>
      <c r="N523" s="94"/>
      <c r="O523" s="93"/>
    </row>
    <row r="524" spans="1:15" x14ac:dyDescent="0.25">
      <c r="A524" s="107"/>
      <c r="B524" s="94"/>
      <c r="C524" s="94"/>
      <c r="D524" s="94"/>
      <c r="E524" s="94"/>
      <c r="F524" s="94"/>
      <c r="G524" s="94"/>
      <c r="H524" s="94"/>
      <c r="I524" s="94"/>
      <c r="J524" s="94"/>
      <c r="K524" s="94"/>
      <c r="L524" s="94"/>
      <c r="M524" s="94"/>
      <c r="N524" s="94"/>
      <c r="O524" s="93"/>
    </row>
    <row r="525" spans="1:15" x14ac:dyDescent="0.25">
      <c r="A525" s="106" t="s">
        <v>67</v>
      </c>
      <c r="B525" s="106" t="s">
        <v>13</v>
      </c>
      <c r="C525" s="106" t="s">
        <v>66</v>
      </c>
      <c r="D525" s="106" t="s">
        <v>65</v>
      </c>
      <c r="E525" s="106" t="s">
        <v>64</v>
      </c>
      <c r="F525" s="106" t="s">
        <v>40</v>
      </c>
      <c r="G525" s="106" t="s">
        <v>63</v>
      </c>
      <c r="H525" s="106" t="s">
        <v>62</v>
      </c>
      <c r="I525" s="106" t="s">
        <v>58</v>
      </c>
      <c r="J525" s="95"/>
      <c r="K525" s="94"/>
      <c r="L525" s="94"/>
      <c r="M525" s="94"/>
      <c r="N525" s="94"/>
      <c r="O525" s="93"/>
    </row>
    <row r="526" spans="1:15" x14ac:dyDescent="0.25">
      <c r="A526" s="115">
        <v>10</v>
      </c>
      <c r="B526" s="115" t="s">
        <v>61</v>
      </c>
      <c r="C526" s="115"/>
      <c r="D526" s="155">
        <v>500</v>
      </c>
      <c r="E526" s="115" t="s">
        <v>59</v>
      </c>
      <c r="F526" s="115">
        <v>2</v>
      </c>
      <c r="G526" s="115">
        <v>3000</v>
      </c>
      <c r="H526" s="115">
        <v>1</v>
      </c>
      <c r="I526" s="100">
        <f>D526*F526/G526*H526</f>
        <v>0.33333333333333331</v>
      </c>
      <c r="J526" s="99"/>
      <c r="K526" s="94"/>
      <c r="L526" s="94"/>
      <c r="M526" s="94"/>
      <c r="N526" s="94"/>
      <c r="O526" s="93"/>
    </row>
    <row r="527" spans="1:15" x14ac:dyDescent="0.25">
      <c r="A527" s="98"/>
      <c r="B527" s="95"/>
      <c r="C527" s="95"/>
      <c r="D527" s="95"/>
      <c r="E527" s="95"/>
      <c r="F527" s="95"/>
      <c r="G527" s="95"/>
      <c r="H527" s="97" t="s">
        <v>58</v>
      </c>
      <c r="I527" s="96">
        <f>SUM(I526)</f>
        <v>0.33333333333333331</v>
      </c>
      <c r="J527" s="95"/>
      <c r="K527" s="94"/>
      <c r="L527" s="94"/>
      <c r="M527" s="94"/>
      <c r="N527" s="94"/>
      <c r="O527" s="93"/>
    </row>
    <row r="528" spans="1:15" ht="15.75" thickBot="1" x14ac:dyDescent="0.3">
      <c r="A528" s="92"/>
      <c r="B528" s="91"/>
      <c r="C528" s="91"/>
      <c r="D528" s="91"/>
      <c r="E528" s="91"/>
      <c r="F528" s="91"/>
      <c r="G528" s="91"/>
      <c r="H528" s="91"/>
      <c r="I528" s="91"/>
      <c r="J528" s="91"/>
      <c r="K528" s="91"/>
      <c r="L528" s="91"/>
      <c r="M528" s="91"/>
      <c r="N528" s="91"/>
      <c r="O528" s="90"/>
    </row>
    <row r="529" spans="1:15" ht="15.75" thickBot="1" x14ac:dyDescent="0.3"/>
    <row r="530" spans="1:15" x14ac:dyDescent="0.25">
      <c r="A530" s="141"/>
      <c r="B530" s="140"/>
      <c r="C530" s="140"/>
      <c r="D530" s="140"/>
      <c r="E530" s="140"/>
      <c r="F530" s="140"/>
      <c r="G530" s="140"/>
      <c r="H530" s="140"/>
      <c r="I530" s="140"/>
      <c r="J530" s="140"/>
      <c r="K530" s="140"/>
      <c r="L530" s="140"/>
      <c r="M530" s="140"/>
      <c r="N530" s="140"/>
      <c r="O530" s="139"/>
    </row>
    <row r="531" spans="1:15" x14ac:dyDescent="0.25">
      <c r="A531" s="106" t="s">
        <v>57</v>
      </c>
      <c r="B531" s="133" t="s">
        <v>127</v>
      </c>
      <c r="C531" s="94"/>
      <c r="D531" s="94"/>
      <c r="E531" s="94"/>
      <c r="F531" s="94"/>
      <c r="G531" s="94"/>
      <c r="H531" s="94"/>
      <c r="I531" s="94"/>
      <c r="J531" s="106" t="s">
        <v>51</v>
      </c>
      <c r="K531" s="138">
        <v>81</v>
      </c>
      <c r="L531" s="94"/>
      <c r="M531" s="106" t="s">
        <v>126</v>
      </c>
      <c r="N531" s="137">
        <f>E547+EN_A0010_f+EN_A0010_m+EN_A0010_p+EN_A0010_t</f>
        <v>478.17382365295117</v>
      </c>
      <c r="O531" s="93"/>
    </row>
    <row r="532" spans="1:15" x14ac:dyDescent="0.25">
      <c r="A532" s="106" t="s">
        <v>125</v>
      </c>
      <c r="B532" s="133" t="s">
        <v>21</v>
      </c>
      <c r="C532" s="94"/>
      <c r="D532" s="94"/>
      <c r="E532" s="94"/>
      <c r="F532" s="94"/>
      <c r="G532" s="94"/>
      <c r="H532" s="94"/>
      <c r="I532" s="94"/>
      <c r="J532" s="94"/>
      <c r="K532" s="94"/>
      <c r="L532" s="94"/>
      <c r="M532" s="106" t="s">
        <v>124</v>
      </c>
      <c r="N532" s="136">
        <v>1</v>
      </c>
      <c r="O532" s="93"/>
    </row>
    <row r="533" spans="1:15" x14ac:dyDescent="0.25">
      <c r="A533" s="106" t="s">
        <v>123</v>
      </c>
      <c r="B533" s="99" t="s">
        <v>25</v>
      </c>
      <c r="C533" s="94"/>
      <c r="D533" s="94"/>
      <c r="E533" s="94"/>
      <c r="F533" s="94"/>
      <c r="G533" s="94"/>
      <c r="H533" s="94"/>
      <c r="I533" s="94"/>
      <c r="J533" s="134" t="s">
        <v>122</v>
      </c>
      <c r="K533" s="94"/>
      <c r="L533" s="94"/>
      <c r="M533" s="94"/>
      <c r="N533" s="94"/>
      <c r="O533" s="93"/>
    </row>
    <row r="534" spans="1:15" x14ac:dyDescent="0.25">
      <c r="A534" s="106" t="s">
        <v>121</v>
      </c>
      <c r="B534" s="135" t="s">
        <v>180</v>
      </c>
      <c r="C534" s="94"/>
      <c r="D534" s="94"/>
      <c r="E534" s="94"/>
      <c r="F534" s="94"/>
      <c r="G534" s="94"/>
      <c r="H534" s="94"/>
      <c r="I534" s="94"/>
      <c r="J534" s="134" t="s">
        <v>119</v>
      </c>
      <c r="K534" s="94"/>
      <c r="L534" s="94"/>
      <c r="M534" s="106" t="s">
        <v>118</v>
      </c>
      <c r="N534" s="100">
        <f>N531*N532</f>
        <v>478.17382365295117</v>
      </c>
      <c r="O534" s="93"/>
    </row>
    <row r="535" spans="1:15" x14ac:dyDescent="0.25">
      <c r="A535" s="106" t="s">
        <v>117</v>
      </c>
      <c r="B535" s="133" t="s">
        <v>23</v>
      </c>
      <c r="C535" s="94"/>
      <c r="D535" s="94"/>
      <c r="E535" s="94"/>
      <c r="F535" s="94"/>
      <c r="G535" s="94"/>
      <c r="H535" s="94"/>
      <c r="I535" s="94"/>
      <c r="J535" s="134" t="s">
        <v>116</v>
      </c>
      <c r="K535" s="94"/>
      <c r="L535" s="94"/>
      <c r="M535" s="94"/>
      <c r="N535" s="94"/>
      <c r="O535" s="93"/>
    </row>
    <row r="536" spans="1:15" x14ac:dyDescent="0.25">
      <c r="A536" s="106" t="s">
        <v>115</v>
      </c>
      <c r="B536" s="133" t="s">
        <v>179</v>
      </c>
      <c r="C536" s="94"/>
      <c r="D536" s="94"/>
      <c r="E536" s="94"/>
      <c r="F536" s="94"/>
      <c r="G536" s="94"/>
      <c r="H536" s="94"/>
      <c r="I536" s="94"/>
      <c r="J536" s="94"/>
      <c r="K536" s="94"/>
      <c r="L536" s="94"/>
      <c r="M536" s="94"/>
      <c r="N536" s="94"/>
      <c r="O536" s="93"/>
    </row>
    <row r="537" spans="1:15" x14ac:dyDescent="0.25">
      <c r="A537" s="107"/>
      <c r="B537" s="94"/>
      <c r="C537" s="94"/>
      <c r="D537" s="94"/>
      <c r="E537" s="94"/>
      <c r="F537" s="94"/>
      <c r="G537" s="94"/>
      <c r="H537" s="94"/>
      <c r="I537" s="94"/>
      <c r="J537" s="94"/>
      <c r="K537" s="94"/>
      <c r="L537" s="94"/>
      <c r="M537" s="94"/>
      <c r="N537" s="94"/>
      <c r="O537" s="93"/>
    </row>
    <row r="538" spans="1:15" x14ac:dyDescent="0.25">
      <c r="A538" s="106" t="s">
        <v>67</v>
      </c>
      <c r="B538" s="106" t="s">
        <v>114</v>
      </c>
      <c r="C538" s="106" t="s">
        <v>113</v>
      </c>
      <c r="D538" s="106" t="s">
        <v>40</v>
      </c>
      <c r="E538" s="106" t="s">
        <v>58</v>
      </c>
      <c r="F538" s="94"/>
      <c r="G538" s="94"/>
      <c r="H538" s="94"/>
      <c r="I538" s="94"/>
      <c r="J538" s="94"/>
      <c r="K538" s="94"/>
      <c r="L538" s="94"/>
      <c r="M538" s="94"/>
      <c r="N538" s="94"/>
      <c r="O538" s="93"/>
    </row>
    <row r="539" spans="1:15" x14ac:dyDescent="0.25">
      <c r="A539" s="129">
        <v>10</v>
      </c>
      <c r="B539" s="132" t="str">
        <f>'EN Parts'!B1376</f>
        <v>Housing</v>
      </c>
      <c r="C539" s="100">
        <f>'EN Parts'!N1373</f>
        <v>125.31212934775738</v>
      </c>
      <c r="D539" s="127">
        <f>EN_10001_q</f>
        <v>1</v>
      </c>
      <c r="E539" s="100">
        <f t="shared" ref="E539:E546" si="25">C539*D539</f>
        <v>125.31212934775738</v>
      </c>
      <c r="F539" s="94"/>
      <c r="G539" s="94"/>
      <c r="H539" s="94"/>
      <c r="I539" s="94"/>
      <c r="J539" s="94"/>
      <c r="K539" s="94"/>
      <c r="L539" s="94"/>
      <c r="M539" s="94"/>
      <c r="N539" s="94"/>
      <c r="O539" s="93"/>
    </row>
    <row r="540" spans="1:15" x14ac:dyDescent="0.25">
      <c r="A540" s="129">
        <v>20</v>
      </c>
      <c r="B540" s="132" t="str">
        <f>'EN Parts'!B1418</f>
        <v>Internals</v>
      </c>
      <c r="C540" s="100">
        <f>'EN Parts'!N1415</f>
        <v>110</v>
      </c>
      <c r="D540" s="127">
        <f>EN_10002_q</f>
        <v>1</v>
      </c>
      <c r="E540" s="100">
        <f t="shared" si="25"/>
        <v>110</v>
      </c>
      <c r="F540" s="99"/>
      <c r="G540" s="99"/>
      <c r="H540" s="99"/>
      <c r="I540" s="99"/>
      <c r="J540" s="99"/>
      <c r="K540" s="99"/>
      <c r="L540" s="99"/>
      <c r="M540" s="99"/>
      <c r="N540" s="99"/>
      <c r="O540" s="93"/>
    </row>
    <row r="541" spans="1:15" x14ac:dyDescent="0.25">
      <c r="A541" s="129">
        <v>30</v>
      </c>
      <c r="B541" s="132" t="str">
        <f>'EN Parts'!B1433</f>
        <v>Right bearing carrier</v>
      </c>
      <c r="C541" s="100">
        <f>'EN Parts'!N1430</f>
        <v>44.381595999999995</v>
      </c>
      <c r="D541" s="127">
        <f>EN_10003_q</f>
        <v>1</v>
      </c>
      <c r="E541" s="100">
        <f t="shared" si="25"/>
        <v>44.381595999999995</v>
      </c>
      <c r="F541" s="99"/>
      <c r="G541" s="99"/>
      <c r="H541" s="99"/>
      <c r="I541" s="99"/>
      <c r="J541" s="99"/>
      <c r="K541" s="99"/>
      <c r="L541" s="99"/>
      <c r="M541" s="99"/>
      <c r="N541" s="99"/>
      <c r="O541" s="131"/>
    </row>
    <row r="542" spans="1:15" x14ac:dyDescent="0.25">
      <c r="A542" s="129">
        <v>40</v>
      </c>
      <c r="B542" s="132" t="str">
        <f>'EN Parts'!B1455</f>
        <v>Left bearing carrier</v>
      </c>
      <c r="C542" s="100">
        <f>'EN Parts'!N1452</f>
        <v>48.333755599999989</v>
      </c>
      <c r="D542" s="127">
        <f>EN_10004_q</f>
        <v>1</v>
      </c>
      <c r="E542" s="100">
        <f t="shared" si="25"/>
        <v>48.333755599999989</v>
      </c>
      <c r="F542" s="99"/>
      <c r="G542" s="99"/>
      <c r="H542" s="99"/>
      <c r="I542" s="99"/>
      <c r="J542" s="99"/>
      <c r="K542" s="99"/>
      <c r="L542" s="99"/>
      <c r="M542" s="99"/>
      <c r="N542" s="99"/>
      <c r="O542" s="131"/>
    </row>
    <row r="543" spans="1:15" ht="30" x14ac:dyDescent="0.25">
      <c r="A543" s="129">
        <v>50</v>
      </c>
      <c r="B543" s="171" t="str">
        <f>'EN Parts'!B1477</f>
        <v>Front bearing carrier tab (right and left)</v>
      </c>
      <c r="C543" s="100">
        <f>'EN Parts'!N1474</f>
        <v>1.7176529500000002</v>
      </c>
      <c r="D543" s="127">
        <f>EN_10005_q</f>
        <v>4</v>
      </c>
      <c r="E543" s="100">
        <f t="shared" si="25"/>
        <v>6.8706118000000007</v>
      </c>
      <c r="F543" s="99"/>
      <c r="G543" s="99"/>
      <c r="H543" s="99"/>
      <c r="I543" s="99"/>
      <c r="J543" s="99"/>
      <c r="K543" s="99"/>
      <c r="L543" s="99"/>
      <c r="M543" s="99"/>
      <c r="N543" s="99"/>
      <c r="O543" s="131"/>
    </row>
    <row r="544" spans="1:15" ht="30" x14ac:dyDescent="0.25">
      <c r="A544" s="129">
        <v>60</v>
      </c>
      <c r="B544" s="171" t="str">
        <f>'EN Parts'!B1499</f>
        <v>Rear bearing carrier tab (right and left)</v>
      </c>
      <c r="C544" s="100">
        <f>'EN Parts'!N1496</f>
        <v>1.7090719000000001</v>
      </c>
      <c r="D544" s="127">
        <f>EN_10006_q</f>
        <v>4</v>
      </c>
      <c r="E544" s="100">
        <f t="shared" si="25"/>
        <v>6.8362876000000004</v>
      </c>
      <c r="F544" s="99"/>
      <c r="G544" s="99"/>
      <c r="H544" s="99"/>
      <c r="I544" s="99"/>
      <c r="J544" s="99"/>
      <c r="K544" s="99"/>
      <c r="L544" s="99"/>
      <c r="M544" s="99"/>
      <c r="N544" s="99"/>
      <c r="O544" s="131"/>
    </row>
    <row r="545" spans="1:15" x14ac:dyDescent="0.25">
      <c r="A545" s="129">
        <v>70</v>
      </c>
      <c r="B545" s="132" t="str">
        <f>'EN Parts'!B1521</f>
        <v>Right eccentric</v>
      </c>
      <c r="C545" s="100">
        <f>'EN Parts'!N1518</f>
        <v>24.323332786493054</v>
      </c>
      <c r="D545" s="127">
        <f>EN_10007_q</f>
        <v>1</v>
      </c>
      <c r="E545" s="100">
        <f t="shared" si="25"/>
        <v>24.323332786493054</v>
      </c>
      <c r="F545" s="99"/>
      <c r="G545" s="99"/>
      <c r="H545" s="99"/>
      <c r="I545" s="99"/>
      <c r="J545" s="99"/>
      <c r="K545" s="99"/>
      <c r="L545" s="99"/>
      <c r="M545" s="99"/>
      <c r="N545" s="99"/>
      <c r="O545" s="131"/>
    </row>
    <row r="546" spans="1:15" x14ac:dyDescent="0.25">
      <c r="A546" s="129">
        <v>80</v>
      </c>
      <c r="B546" s="132" t="str">
        <f>'EN Parts'!B1544</f>
        <v>Left eccentric</v>
      </c>
      <c r="C546" s="100">
        <f>'EN Parts'!N1541</f>
        <v>25.977777185367472</v>
      </c>
      <c r="D546" s="127">
        <f>EN_10008_q</f>
        <v>1</v>
      </c>
      <c r="E546" s="100">
        <f t="shared" si="25"/>
        <v>25.977777185367472</v>
      </c>
      <c r="F546" s="99"/>
      <c r="G546" s="99"/>
      <c r="H546" s="99"/>
      <c r="I546" s="99"/>
      <c r="J546" s="99"/>
      <c r="K546" s="99"/>
      <c r="L546" s="99"/>
      <c r="M546" s="99"/>
      <c r="N546" s="99"/>
      <c r="O546" s="131"/>
    </row>
    <row r="547" spans="1:15" x14ac:dyDescent="0.25">
      <c r="A547" s="107"/>
      <c r="B547" s="94"/>
      <c r="C547" s="94"/>
      <c r="D547" s="97" t="s">
        <v>58</v>
      </c>
      <c r="E547" s="96">
        <f>SUM(E539:E546)</f>
        <v>392.03549031961785</v>
      </c>
      <c r="F547" s="99"/>
      <c r="G547" s="99"/>
      <c r="H547" s="99"/>
      <c r="I547" s="99"/>
      <c r="J547" s="99"/>
      <c r="K547" s="99"/>
      <c r="L547" s="99"/>
      <c r="M547" s="99"/>
      <c r="N547" s="99"/>
      <c r="O547" s="93"/>
    </row>
    <row r="548" spans="1:15" x14ac:dyDescent="0.25">
      <c r="A548" s="107"/>
      <c r="B548" s="94"/>
      <c r="C548" s="94"/>
      <c r="D548" s="94"/>
      <c r="E548" s="94"/>
      <c r="F548" s="94"/>
      <c r="G548" s="94"/>
      <c r="H548" s="94"/>
      <c r="I548" s="94"/>
      <c r="J548" s="94"/>
      <c r="K548" s="94"/>
      <c r="L548" s="94"/>
      <c r="M548" s="94"/>
      <c r="N548" s="94"/>
      <c r="O548" s="93"/>
    </row>
    <row r="549" spans="1:15" x14ac:dyDescent="0.25">
      <c r="A549" s="106" t="s">
        <v>67</v>
      </c>
      <c r="B549" s="106" t="s">
        <v>112</v>
      </c>
      <c r="C549" s="106" t="s">
        <v>66</v>
      </c>
      <c r="D549" s="106" t="s">
        <v>65</v>
      </c>
      <c r="E549" s="106" t="s">
        <v>81</v>
      </c>
      <c r="F549" s="106" t="s">
        <v>80</v>
      </c>
      <c r="G549" s="106" t="s">
        <v>79</v>
      </c>
      <c r="H549" s="106" t="s">
        <v>78</v>
      </c>
      <c r="I549" s="106" t="s">
        <v>111</v>
      </c>
      <c r="J549" s="106" t="s">
        <v>110</v>
      </c>
      <c r="K549" s="106" t="s">
        <v>109</v>
      </c>
      <c r="L549" s="106" t="s">
        <v>108</v>
      </c>
      <c r="M549" s="106" t="s">
        <v>40</v>
      </c>
      <c r="N549" s="106" t="s">
        <v>58</v>
      </c>
      <c r="O549" s="93"/>
    </row>
    <row r="550" spans="1:15" ht="30" x14ac:dyDescent="0.25">
      <c r="A550" s="115">
        <v>10</v>
      </c>
      <c r="B550" s="170" t="s">
        <v>177</v>
      </c>
      <c r="C550" s="126" t="s">
        <v>178</v>
      </c>
      <c r="D550" s="117">
        <v>24.94</v>
      </c>
      <c r="E550" s="110">
        <v>72</v>
      </c>
      <c r="F550" s="115" t="s">
        <v>68</v>
      </c>
      <c r="G550" s="110">
        <v>12</v>
      </c>
      <c r="H550" s="152" t="s">
        <v>68</v>
      </c>
      <c r="I550" s="154"/>
      <c r="J550" s="153"/>
      <c r="K550" s="152"/>
      <c r="L550" s="152"/>
      <c r="M550" s="165">
        <v>1</v>
      </c>
      <c r="N550" s="100">
        <f>M550*D550</f>
        <v>24.94</v>
      </c>
      <c r="O550" s="93"/>
    </row>
    <row r="551" spans="1:15" ht="30" x14ac:dyDescent="0.25">
      <c r="A551" s="115">
        <v>20</v>
      </c>
      <c r="B551" s="113" t="s">
        <v>177</v>
      </c>
      <c r="C551" s="126" t="s">
        <v>176</v>
      </c>
      <c r="D551" s="117">
        <v>45.83</v>
      </c>
      <c r="E551" s="110">
        <v>100</v>
      </c>
      <c r="F551" s="150" t="s">
        <v>68</v>
      </c>
      <c r="G551" s="110">
        <v>21</v>
      </c>
      <c r="H551" s="149" t="s">
        <v>68</v>
      </c>
      <c r="I551" s="148"/>
      <c r="J551" s="147"/>
      <c r="K551" s="146"/>
      <c r="L551" s="145"/>
      <c r="M551" s="169">
        <v>1</v>
      </c>
      <c r="N551" s="100">
        <f>M551*D551</f>
        <v>45.83</v>
      </c>
      <c r="O551" s="143"/>
    </row>
    <row r="552" spans="1:15" x14ac:dyDescent="0.25">
      <c r="A552" s="115">
        <v>30</v>
      </c>
      <c r="B552" s="126" t="s">
        <v>175</v>
      </c>
      <c r="C552" s="126" t="s">
        <v>174</v>
      </c>
      <c r="D552" s="117">
        <v>0.75</v>
      </c>
      <c r="E552" s="110">
        <v>0.06</v>
      </c>
      <c r="F552" s="115" t="s">
        <v>173</v>
      </c>
      <c r="G552" s="115"/>
      <c r="H552" s="152"/>
      <c r="I552" s="168"/>
      <c r="J552" s="167"/>
      <c r="K552" s="152"/>
      <c r="L552" s="166"/>
      <c r="M552" s="165">
        <v>0.06</v>
      </c>
      <c r="N552" s="100">
        <f>M552*D552</f>
        <v>4.4999999999999998E-2</v>
      </c>
      <c r="O552" s="93"/>
    </row>
    <row r="553" spans="1:15" x14ac:dyDescent="0.25">
      <c r="A553" s="98"/>
      <c r="B553" s="95"/>
      <c r="C553" s="95"/>
      <c r="D553" s="95"/>
      <c r="E553" s="95"/>
      <c r="F553" s="95"/>
      <c r="G553" s="95"/>
      <c r="H553" s="95"/>
      <c r="I553" s="95"/>
      <c r="J553" s="95"/>
      <c r="K553" s="95"/>
      <c r="L553" s="95"/>
      <c r="M553" s="106" t="s">
        <v>58</v>
      </c>
      <c r="N553" s="96">
        <f>SUM(N550:N552)</f>
        <v>70.814999999999998</v>
      </c>
      <c r="O553" s="93"/>
    </row>
    <row r="554" spans="1:15" x14ac:dyDescent="0.25">
      <c r="A554" s="107"/>
      <c r="B554" s="94"/>
      <c r="C554" s="94"/>
      <c r="D554" s="94"/>
      <c r="E554" s="94"/>
      <c r="F554" s="94"/>
      <c r="G554" s="94"/>
      <c r="H554" s="94"/>
      <c r="I554" s="94"/>
      <c r="J554" s="94"/>
      <c r="K554" s="94"/>
      <c r="L554" s="94"/>
      <c r="M554" s="94"/>
      <c r="N554" s="94"/>
      <c r="O554" s="93"/>
    </row>
    <row r="555" spans="1:15" x14ac:dyDescent="0.25">
      <c r="A555" s="106" t="s">
        <v>67</v>
      </c>
      <c r="B555" s="106" t="s">
        <v>106</v>
      </c>
      <c r="C555" s="106" t="s">
        <v>66</v>
      </c>
      <c r="D555" s="106" t="s">
        <v>65</v>
      </c>
      <c r="E555" s="106" t="s">
        <v>64</v>
      </c>
      <c r="F555" s="106" t="s">
        <v>40</v>
      </c>
      <c r="G555" s="106" t="s">
        <v>105</v>
      </c>
      <c r="H555" s="106" t="s">
        <v>104</v>
      </c>
      <c r="I555" s="106" t="s">
        <v>58</v>
      </c>
      <c r="J555" s="95"/>
      <c r="K555" s="95"/>
      <c r="L555" s="95"/>
      <c r="M555" s="95"/>
      <c r="N555" s="95"/>
      <c r="O555" s="120"/>
    </row>
    <row r="556" spans="1:15" x14ac:dyDescent="0.25">
      <c r="A556" s="115">
        <v>10</v>
      </c>
      <c r="B556" s="118" t="s">
        <v>103</v>
      </c>
      <c r="C556" s="118" t="s">
        <v>172</v>
      </c>
      <c r="D556" s="117">
        <v>0.15</v>
      </c>
      <c r="E556" s="116" t="s">
        <v>101</v>
      </c>
      <c r="F556" s="110">
        <v>15.8</v>
      </c>
      <c r="G556" s="163"/>
      <c r="H556" s="163"/>
      <c r="I556" s="100">
        <f t="shared" ref="I556:I566" si="26">IF(H556="",D556*F556,D556*F556*H556)</f>
        <v>2.37</v>
      </c>
      <c r="J556" s="94"/>
      <c r="K556" s="94"/>
      <c r="L556" s="94"/>
      <c r="M556" s="94"/>
      <c r="N556" s="94"/>
      <c r="O556" s="93"/>
    </row>
    <row r="557" spans="1:15" x14ac:dyDescent="0.25">
      <c r="A557" s="115">
        <v>20</v>
      </c>
      <c r="B557" s="164" t="s">
        <v>100</v>
      </c>
      <c r="C557" s="161" t="s">
        <v>171</v>
      </c>
      <c r="D557" s="117">
        <v>0.56000000000000005</v>
      </c>
      <c r="E557" s="116" t="s">
        <v>64</v>
      </c>
      <c r="F557" s="110">
        <v>2</v>
      </c>
      <c r="G557" s="115"/>
      <c r="H557" s="115"/>
      <c r="I557" s="100">
        <f t="shared" si="26"/>
        <v>1.1200000000000001</v>
      </c>
      <c r="J557" s="94"/>
      <c r="K557" s="94"/>
      <c r="L557" s="94"/>
      <c r="M557" s="94"/>
      <c r="N557" s="94"/>
      <c r="O557" s="93"/>
    </row>
    <row r="558" spans="1:15" ht="30" x14ac:dyDescent="0.25">
      <c r="A558" s="115">
        <v>30</v>
      </c>
      <c r="B558" s="162" t="s">
        <v>95</v>
      </c>
      <c r="C558" s="161" t="s">
        <v>170</v>
      </c>
      <c r="D558" s="117">
        <v>0.19</v>
      </c>
      <c r="E558" s="116" t="s">
        <v>64</v>
      </c>
      <c r="F558" s="110">
        <v>1</v>
      </c>
      <c r="G558" s="115"/>
      <c r="H558" s="115"/>
      <c r="I558" s="100">
        <f t="shared" si="26"/>
        <v>0.19</v>
      </c>
      <c r="J558" s="94"/>
      <c r="K558" s="94"/>
      <c r="L558" s="94"/>
      <c r="M558" s="94"/>
      <c r="N558" s="94"/>
      <c r="O558" s="93"/>
    </row>
    <row r="559" spans="1:15" ht="30" x14ac:dyDescent="0.25">
      <c r="A559" s="115">
        <v>40</v>
      </c>
      <c r="B559" s="162" t="s">
        <v>95</v>
      </c>
      <c r="C559" s="161" t="s">
        <v>169</v>
      </c>
      <c r="D559" s="117">
        <v>0.19</v>
      </c>
      <c r="E559" s="116" t="s">
        <v>64</v>
      </c>
      <c r="F559" s="110">
        <v>1</v>
      </c>
      <c r="G559" s="115"/>
      <c r="H559" s="115"/>
      <c r="I559" s="100">
        <f t="shared" si="26"/>
        <v>0.19</v>
      </c>
      <c r="J559" s="94"/>
      <c r="K559" s="94"/>
      <c r="L559" s="94"/>
      <c r="M559" s="94"/>
      <c r="N559" s="94"/>
      <c r="O559" s="93"/>
    </row>
    <row r="560" spans="1:15" ht="30" x14ac:dyDescent="0.25">
      <c r="A560" s="115">
        <v>50</v>
      </c>
      <c r="B560" s="162" t="s">
        <v>95</v>
      </c>
      <c r="C560" s="161" t="s">
        <v>168</v>
      </c>
      <c r="D560" s="117">
        <v>0.19</v>
      </c>
      <c r="E560" s="116" t="s">
        <v>64</v>
      </c>
      <c r="F560" s="110">
        <v>2</v>
      </c>
      <c r="G560" s="115"/>
      <c r="H560" s="115"/>
      <c r="I560" s="100">
        <f t="shared" si="26"/>
        <v>0.38</v>
      </c>
      <c r="J560" s="94"/>
      <c r="K560" s="94"/>
      <c r="L560" s="94"/>
      <c r="M560" s="94"/>
      <c r="N560" s="94"/>
      <c r="O560" s="93"/>
    </row>
    <row r="561" spans="1:15" x14ac:dyDescent="0.25">
      <c r="A561" s="115">
        <v>60</v>
      </c>
      <c r="B561" s="164" t="s">
        <v>167</v>
      </c>
      <c r="C561" s="161" t="s">
        <v>166</v>
      </c>
      <c r="D561" s="117">
        <v>0.38</v>
      </c>
      <c r="E561" s="116" t="s">
        <v>64</v>
      </c>
      <c r="F561" s="110">
        <v>2</v>
      </c>
      <c r="G561" s="163"/>
      <c r="H561" s="163"/>
      <c r="I561" s="100">
        <f t="shared" si="26"/>
        <v>0.76</v>
      </c>
      <c r="J561" s="94"/>
      <c r="K561" s="94"/>
      <c r="L561" s="94"/>
      <c r="M561" s="94"/>
      <c r="N561" s="94"/>
      <c r="O561" s="93"/>
    </row>
    <row r="562" spans="1:15" x14ac:dyDescent="0.25">
      <c r="A562" s="115">
        <v>70</v>
      </c>
      <c r="B562" s="162" t="s">
        <v>165</v>
      </c>
      <c r="C562" s="161" t="s">
        <v>164</v>
      </c>
      <c r="D562" s="117">
        <v>0.06</v>
      </c>
      <c r="E562" s="116" t="s">
        <v>64</v>
      </c>
      <c r="F562" s="110">
        <v>4</v>
      </c>
      <c r="G562" s="163"/>
      <c r="H562" s="163"/>
      <c r="I562" s="100">
        <f t="shared" si="26"/>
        <v>0.24</v>
      </c>
      <c r="J562" s="94"/>
      <c r="K562" s="94"/>
      <c r="L562" s="94"/>
      <c r="M562" s="94"/>
      <c r="N562" s="94"/>
      <c r="O562" s="93"/>
    </row>
    <row r="563" spans="1:15" x14ac:dyDescent="0.25">
      <c r="A563" s="115">
        <v>80</v>
      </c>
      <c r="B563" s="162" t="s">
        <v>163</v>
      </c>
      <c r="C563" s="161" t="s">
        <v>161</v>
      </c>
      <c r="D563" s="117">
        <v>0.5</v>
      </c>
      <c r="E563" s="116" t="s">
        <v>64</v>
      </c>
      <c r="F563" s="110">
        <v>2</v>
      </c>
      <c r="G563" s="163"/>
      <c r="H563" s="163"/>
      <c r="I563" s="100">
        <f t="shared" si="26"/>
        <v>1</v>
      </c>
      <c r="J563" s="94"/>
      <c r="K563" s="94"/>
      <c r="L563" s="94"/>
      <c r="M563" s="94"/>
      <c r="N563" s="94"/>
      <c r="O563" s="93"/>
    </row>
    <row r="564" spans="1:15" x14ac:dyDescent="0.25">
      <c r="A564" s="115">
        <v>90</v>
      </c>
      <c r="B564" s="162" t="s">
        <v>162</v>
      </c>
      <c r="C564" s="161" t="s">
        <v>161</v>
      </c>
      <c r="D564" s="117">
        <v>0.25</v>
      </c>
      <c r="E564" s="116" t="s">
        <v>64</v>
      </c>
      <c r="F564" s="110">
        <v>2</v>
      </c>
      <c r="G564" s="163"/>
      <c r="H564" s="163"/>
      <c r="I564" s="100">
        <f t="shared" si="26"/>
        <v>0.5</v>
      </c>
      <c r="J564" s="94"/>
      <c r="K564" s="94"/>
      <c r="L564" s="94"/>
      <c r="M564" s="94"/>
      <c r="N564" s="94"/>
      <c r="O564" s="93"/>
    </row>
    <row r="565" spans="1:15" x14ac:dyDescent="0.25">
      <c r="A565" s="115">
        <v>100</v>
      </c>
      <c r="B565" s="162" t="s">
        <v>85</v>
      </c>
      <c r="C565" s="161" t="s">
        <v>160</v>
      </c>
      <c r="D565" s="117">
        <v>0.75</v>
      </c>
      <c r="E565" s="116" t="s">
        <v>64</v>
      </c>
      <c r="F565" s="110">
        <v>2</v>
      </c>
      <c r="G565" s="163"/>
      <c r="H565" s="163"/>
      <c r="I565" s="100">
        <f t="shared" si="26"/>
        <v>1.5</v>
      </c>
      <c r="J565" s="94"/>
      <c r="K565" s="94"/>
      <c r="L565" s="94"/>
      <c r="M565" s="94"/>
      <c r="N565" s="94"/>
      <c r="O565" s="93"/>
    </row>
    <row r="566" spans="1:15" x14ac:dyDescent="0.25">
      <c r="A566" s="115">
        <v>110</v>
      </c>
      <c r="B566" s="162" t="s">
        <v>84</v>
      </c>
      <c r="C566" s="161" t="s">
        <v>160</v>
      </c>
      <c r="D566" s="103">
        <v>0.25</v>
      </c>
      <c r="E566" s="102" t="s">
        <v>64</v>
      </c>
      <c r="F566" s="101">
        <v>2</v>
      </c>
      <c r="G566" s="115"/>
      <c r="H566" s="115"/>
      <c r="I566" s="100">
        <f t="shared" si="26"/>
        <v>0.5</v>
      </c>
      <c r="J566" s="94"/>
      <c r="K566" s="94"/>
      <c r="L566" s="94"/>
      <c r="M566" s="94"/>
      <c r="N566" s="94"/>
      <c r="O566" s="93"/>
    </row>
    <row r="567" spans="1:15" x14ac:dyDescent="0.25">
      <c r="A567" s="98"/>
      <c r="B567" s="95"/>
      <c r="C567" s="95"/>
      <c r="D567" s="95"/>
      <c r="E567" s="95"/>
      <c r="F567" s="95"/>
      <c r="G567" s="95"/>
      <c r="H567" s="97" t="s">
        <v>58</v>
      </c>
      <c r="I567" s="96">
        <f>SUM(I556:I566)</f>
        <v>8.75</v>
      </c>
      <c r="J567" s="94"/>
      <c r="K567" s="94"/>
      <c r="L567" s="94"/>
      <c r="M567" s="94"/>
      <c r="N567" s="94"/>
      <c r="O567" s="93"/>
    </row>
    <row r="568" spans="1:15" x14ac:dyDescent="0.25">
      <c r="A568" s="107"/>
      <c r="B568" s="94"/>
      <c r="C568" s="94"/>
      <c r="D568" s="94"/>
      <c r="E568" s="94"/>
      <c r="F568" s="94"/>
      <c r="G568" s="94"/>
      <c r="H568" s="94"/>
      <c r="I568" s="94"/>
      <c r="J568" s="94"/>
      <c r="K568" s="94"/>
      <c r="L568" s="94"/>
      <c r="M568" s="94"/>
      <c r="N568" s="94"/>
      <c r="O568" s="93"/>
    </row>
    <row r="569" spans="1:15" x14ac:dyDescent="0.25">
      <c r="A569" s="106" t="s">
        <v>67</v>
      </c>
      <c r="B569" s="106" t="s">
        <v>82</v>
      </c>
      <c r="C569" s="106" t="s">
        <v>66</v>
      </c>
      <c r="D569" s="106" t="s">
        <v>65</v>
      </c>
      <c r="E569" s="106" t="s">
        <v>81</v>
      </c>
      <c r="F569" s="106" t="s">
        <v>80</v>
      </c>
      <c r="G569" s="106" t="s">
        <v>79</v>
      </c>
      <c r="H569" s="106" t="s">
        <v>78</v>
      </c>
      <c r="I569" s="106" t="s">
        <v>40</v>
      </c>
      <c r="J569" s="106" t="s">
        <v>58</v>
      </c>
      <c r="K569" s="94"/>
      <c r="L569" s="94"/>
      <c r="M569" s="94"/>
      <c r="N569" s="94"/>
      <c r="O569" s="93"/>
    </row>
    <row r="570" spans="1:15" x14ac:dyDescent="0.25">
      <c r="A570" s="114">
        <v>10</v>
      </c>
      <c r="B570" s="113" t="s">
        <v>72</v>
      </c>
      <c r="C570" s="126" t="s">
        <v>159</v>
      </c>
      <c r="D570" s="112">
        <v>0.16</v>
      </c>
      <c r="E570" s="157">
        <v>8</v>
      </c>
      <c r="F570" s="160" t="s">
        <v>68</v>
      </c>
      <c r="G570" s="157">
        <v>40</v>
      </c>
      <c r="H570" s="157" t="s">
        <v>68</v>
      </c>
      <c r="I570" s="156">
        <v>2</v>
      </c>
      <c r="J570" s="100">
        <f t="shared" ref="J570:J576" si="27">I570*D570</f>
        <v>0.32</v>
      </c>
      <c r="K570" s="94"/>
      <c r="L570" s="94"/>
      <c r="M570" s="94"/>
      <c r="N570" s="94"/>
      <c r="O570" s="93"/>
    </row>
    <row r="571" spans="1:15" x14ac:dyDescent="0.25">
      <c r="A571" s="114">
        <v>20</v>
      </c>
      <c r="B571" s="159" t="s">
        <v>75</v>
      </c>
      <c r="C571" s="126" t="s">
        <v>159</v>
      </c>
      <c r="D571" s="112">
        <v>0.04</v>
      </c>
      <c r="E571" s="157">
        <v>8</v>
      </c>
      <c r="F571" s="160" t="s">
        <v>68</v>
      </c>
      <c r="G571" s="150"/>
      <c r="H571" s="157"/>
      <c r="I571" s="156">
        <v>2</v>
      </c>
      <c r="J571" s="100">
        <f t="shared" si="27"/>
        <v>0.08</v>
      </c>
      <c r="K571" s="94"/>
      <c r="L571" s="94"/>
      <c r="M571" s="94"/>
      <c r="N571" s="94"/>
      <c r="O571" s="93"/>
    </row>
    <row r="572" spans="1:15" x14ac:dyDescent="0.25">
      <c r="A572" s="114">
        <v>30</v>
      </c>
      <c r="B572" s="113" t="s">
        <v>72</v>
      </c>
      <c r="C572" s="126" t="s">
        <v>158</v>
      </c>
      <c r="D572" s="112">
        <v>0.16</v>
      </c>
      <c r="E572" s="157">
        <v>6</v>
      </c>
      <c r="F572" s="160" t="s">
        <v>68</v>
      </c>
      <c r="G572" s="150">
        <v>20</v>
      </c>
      <c r="H572" s="157" t="s">
        <v>68</v>
      </c>
      <c r="I572" s="156">
        <v>2</v>
      </c>
      <c r="J572" s="100">
        <f t="shared" si="27"/>
        <v>0.32</v>
      </c>
      <c r="K572" s="94"/>
      <c r="L572" s="94"/>
      <c r="M572" s="94"/>
      <c r="N572" s="94"/>
      <c r="O572" s="93"/>
    </row>
    <row r="573" spans="1:15" ht="30" x14ac:dyDescent="0.25">
      <c r="A573" s="114">
        <v>40</v>
      </c>
      <c r="B573" s="159" t="s">
        <v>75</v>
      </c>
      <c r="C573" s="126" t="s">
        <v>157</v>
      </c>
      <c r="D573" s="112">
        <v>0.04</v>
      </c>
      <c r="E573" s="157">
        <v>6</v>
      </c>
      <c r="F573" s="160" t="s">
        <v>68</v>
      </c>
      <c r="G573" s="150"/>
      <c r="H573" s="157"/>
      <c r="I573" s="156">
        <v>2</v>
      </c>
      <c r="J573" s="100">
        <f t="shared" si="27"/>
        <v>0.08</v>
      </c>
      <c r="K573" s="142"/>
      <c r="L573" s="142"/>
      <c r="M573" s="142"/>
      <c r="N573" s="142"/>
      <c r="O573" s="93"/>
    </row>
    <row r="574" spans="1:15" x14ac:dyDescent="0.25">
      <c r="A574" s="114">
        <v>50</v>
      </c>
      <c r="B574" s="159" t="s">
        <v>74</v>
      </c>
      <c r="C574" s="126" t="s">
        <v>156</v>
      </c>
      <c r="D574" s="112">
        <v>0.01</v>
      </c>
      <c r="E574" s="157"/>
      <c r="F574" s="160" t="s">
        <v>64</v>
      </c>
      <c r="G574" s="150"/>
      <c r="H574" s="157"/>
      <c r="I574" s="156">
        <v>4</v>
      </c>
      <c r="J574" s="100">
        <f t="shared" si="27"/>
        <v>0.04</v>
      </c>
      <c r="K574" s="142"/>
      <c r="L574" s="142"/>
      <c r="M574" s="142"/>
      <c r="N574" s="142"/>
      <c r="O574" s="93"/>
    </row>
    <row r="575" spans="1:15" x14ac:dyDescent="0.25">
      <c r="A575" s="114">
        <v>60</v>
      </c>
      <c r="B575" s="113" t="s">
        <v>72</v>
      </c>
      <c r="C575" s="126" t="s">
        <v>155</v>
      </c>
      <c r="D575" s="112">
        <v>0.16</v>
      </c>
      <c r="E575" s="157">
        <v>8</v>
      </c>
      <c r="F575" s="160" t="s">
        <v>68</v>
      </c>
      <c r="G575" s="150"/>
      <c r="H575" s="157"/>
      <c r="I575" s="156">
        <v>2</v>
      </c>
      <c r="J575" s="100">
        <f t="shared" si="27"/>
        <v>0.32</v>
      </c>
      <c r="K575" s="99"/>
      <c r="L575" s="99"/>
      <c r="M575" s="99"/>
      <c r="N575" s="99"/>
      <c r="O575" s="130"/>
    </row>
    <row r="576" spans="1:15" x14ac:dyDescent="0.25">
      <c r="A576" s="114">
        <v>70</v>
      </c>
      <c r="B576" s="159" t="s">
        <v>75</v>
      </c>
      <c r="C576" s="126" t="s">
        <v>155</v>
      </c>
      <c r="D576" s="112">
        <v>0.04</v>
      </c>
      <c r="E576" s="157">
        <v>8</v>
      </c>
      <c r="F576" s="158" t="s">
        <v>68</v>
      </c>
      <c r="G576" s="114">
        <v>35</v>
      </c>
      <c r="H576" s="157" t="s">
        <v>68</v>
      </c>
      <c r="I576" s="156">
        <v>2</v>
      </c>
      <c r="J576" s="100">
        <f t="shared" si="27"/>
        <v>0.08</v>
      </c>
      <c r="K576" s="142"/>
      <c r="L576" s="142"/>
      <c r="M576" s="142"/>
      <c r="N576" s="142"/>
      <c r="O576" s="93"/>
    </row>
    <row r="577" spans="1:15" x14ac:dyDescent="0.25">
      <c r="A577" s="98"/>
      <c r="B577" s="95"/>
      <c r="C577" s="95"/>
      <c r="D577" s="95"/>
      <c r="E577" s="95"/>
      <c r="F577" s="95"/>
      <c r="G577" s="95"/>
      <c r="H577" s="95"/>
      <c r="I577" s="97" t="s">
        <v>58</v>
      </c>
      <c r="J577" s="96">
        <f>SUM(J570:J576)</f>
        <v>1.24</v>
      </c>
      <c r="K577" s="94"/>
      <c r="L577" s="94"/>
      <c r="M577" s="94"/>
      <c r="N577" s="94"/>
      <c r="O577" s="93"/>
    </row>
    <row r="578" spans="1:15" x14ac:dyDescent="0.25">
      <c r="A578" s="107"/>
      <c r="B578" s="94"/>
      <c r="C578" s="94"/>
      <c r="D578" s="94"/>
      <c r="E578" s="94"/>
      <c r="F578" s="94"/>
      <c r="G578" s="94"/>
      <c r="H578" s="94"/>
      <c r="I578" s="94"/>
      <c r="J578" s="94"/>
      <c r="K578" s="94"/>
      <c r="L578" s="94"/>
      <c r="M578" s="94"/>
      <c r="N578" s="94"/>
      <c r="O578" s="93"/>
    </row>
    <row r="579" spans="1:15" x14ac:dyDescent="0.25">
      <c r="A579" s="106" t="s">
        <v>67</v>
      </c>
      <c r="B579" s="106" t="s">
        <v>13</v>
      </c>
      <c r="C579" s="106" t="s">
        <v>66</v>
      </c>
      <c r="D579" s="106" t="s">
        <v>65</v>
      </c>
      <c r="E579" s="106" t="s">
        <v>64</v>
      </c>
      <c r="F579" s="106" t="s">
        <v>40</v>
      </c>
      <c r="G579" s="106" t="s">
        <v>63</v>
      </c>
      <c r="H579" s="106" t="s">
        <v>62</v>
      </c>
      <c r="I579" s="106" t="s">
        <v>58</v>
      </c>
      <c r="J579" s="95"/>
      <c r="K579" s="94"/>
      <c r="L579" s="94"/>
      <c r="M579" s="94"/>
      <c r="N579" s="94"/>
      <c r="O579" s="93"/>
    </row>
    <row r="580" spans="1:15" x14ac:dyDescent="0.25">
      <c r="A580" s="115">
        <v>10</v>
      </c>
      <c r="B580" s="115" t="s">
        <v>61</v>
      </c>
      <c r="C580" s="115" t="s">
        <v>154</v>
      </c>
      <c r="D580" s="155">
        <v>500</v>
      </c>
      <c r="E580" s="115" t="s">
        <v>59</v>
      </c>
      <c r="F580" s="115">
        <v>4</v>
      </c>
      <c r="G580" s="115">
        <v>3000</v>
      </c>
      <c r="H580" s="115">
        <v>8</v>
      </c>
      <c r="I580" s="100">
        <f>D580*F580/G580*H580</f>
        <v>5.333333333333333</v>
      </c>
      <c r="J580" s="99"/>
      <c r="K580" s="94"/>
      <c r="L580" s="94"/>
      <c r="M580" s="94"/>
      <c r="N580" s="94"/>
      <c r="O580" s="93"/>
    </row>
    <row r="581" spans="1:15" x14ac:dyDescent="0.25">
      <c r="A581" s="98"/>
      <c r="B581" s="95"/>
      <c r="C581" s="95"/>
      <c r="D581" s="95"/>
      <c r="E581" s="95"/>
      <c r="F581" s="95"/>
      <c r="G581" s="95"/>
      <c r="H581" s="97" t="s">
        <v>58</v>
      </c>
      <c r="I581" s="96">
        <f>SUM(I580)</f>
        <v>5.333333333333333</v>
      </c>
      <c r="J581" s="95"/>
      <c r="K581" s="94"/>
      <c r="L581" s="94"/>
      <c r="M581" s="94"/>
      <c r="N581" s="94"/>
      <c r="O581" s="93"/>
    </row>
    <row r="582" spans="1:15" ht="15.75" thickBot="1" x14ac:dyDescent="0.3">
      <c r="A582" s="92"/>
      <c r="B582" s="91"/>
      <c r="C582" s="91"/>
      <c r="D582" s="91"/>
      <c r="E582" s="91"/>
      <c r="F582" s="91"/>
      <c r="G582" s="91"/>
      <c r="H582" s="91"/>
      <c r="I582" s="91"/>
      <c r="J582" s="91"/>
      <c r="K582" s="91"/>
      <c r="L582" s="91"/>
      <c r="M582" s="91"/>
      <c r="N582" s="91"/>
      <c r="O582" s="90"/>
    </row>
    <row r="583" spans="1:15" ht="15.75" thickBot="1" x14ac:dyDescent="0.3"/>
    <row r="584" spans="1:15" x14ac:dyDescent="0.25">
      <c r="A584" s="141"/>
      <c r="B584" s="140"/>
      <c r="C584" s="140"/>
      <c r="D584" s="140"/>
      <c r="E584" s="140"/>
      <c r="F584" s="140"/>
      <c r="G584" s="140"/>
      <c r="H584" s="140"/>
      <c r="I584" s="140"/>
      <c r="J584" s="140"/>
      <c r="K584" s="140"/>
      <c r="L584" s="140"/>
      <c r="M584" s="140"/>
      <c r="N584" s="140"/>
      <c r="O584" s="139"/>
    </row>
    <row r="585" spans="1:15" x14ac:dyDescent="0.25">
      <c r="A585" s="106" t="s">
        <v>57</v>
      </c>
      <c r="B585" s="133" t="s">
        <v>127</v>
      </c>
      <c r="C585" s="94"/>
      <c r="D585" s="94"/>
      <c r="E585" s="94"/>
      <c r="F585" s="94"/>
      <c r="G585" s="94"/>
      <c r="H585" s="94"/>
      <c r="I585" s="94"/>
      <c r="J585" s="106" t="s">
        <v>51</v>
      </c>
      <c r="K585" s="138">
        <v>81</v>
      </c>
      <c r="L585" s="94"/>
      <c r="M585" s="106" t="s">
        <v>126</v>
      </c>
      <c r="N585" s="137">
        <f>E597+EN_A0011_f+EN_A0011_m+EN_A0011_p</f>
        <v>562.88336977466236</v>
      </c>
      <c r="O585" s="93"/>
    </row>
    <row r="586" spans="1:15" x14ac:dyDescent="0.25">
      <c r="A586" s="106" t="s">
        <v>125</v>
      </c>
      <c r="B586" s="133" t="s">
        <v>21</v>
      </c>
      <c r="C586" s="94"/>
      <c r="D586" s="94"/>
      <c r="E586" s="94"/>
      <c r="F586" s="94"/>
      <c r="G586" s="94"/>
      <c r="H586" s="94"/>
      <c r="I586" s="94"/>
      <c r="J586" s="94"/>
      <c r="K586" s="94"/>
      <c r="L586" s="94"/>
      <c r="M586" s="106" t="s">
        <v>124</v>
      </c>
      <c r="N586" s="136">
        <v>1</v>
      </c>
      <c r="O586" s="93"/>
    </row>
    <row r="587" spans="1:15" x14ac:dyDescent="0.25">
      <c r="A587" s="106" t="s">
        <v>123</v>
      </c>
      <c r="B587" s="99" t="s">
        <v>24</v>
      </c>
      <c r="C587" s="94"/>
      <c r="D587" s="94"/>
      <c r="E587" s="94"/>
      <c r="F587" s="94"/>
      <c r="G587" s="94"/>
      <c r="H587" s="94"/>
      <c r="I587" s="94"/>
      <c r="J587" s="134" t="s">
        <v>122</v>
      </c>
      <c r="K587" s="94"/>
      <c r="L587" s="94"/>
      <c r="M587" s="94"/>
      <c r="N587" s="94"/>
      <c r="O587" s="93"/>
    </row>
    <row r="588" spans="1:15" x14ac:dyDescent="0.25">
      <c r="A588" s="106" t="s">
        <v>121</v>
      </c>
      <c r="B588" s="135" t="s">
        <v>153</v>
      </c>
      <c r="C588" s="94"/>
      <c r="D588" s="94"/>
      <c r="E588" s="94"/>
      <c r="F588" s="94"/>
      <c r="G588" s="94"/>
      <c r="H588" s="94"/>
      <c r="I588" s="94"/>
      <c r="J588" s="134" t="s">
        <v>119</v>
      </c>
      <c r="K588" s="94"/>
      <c r="L588" s="94"/>
      <c r="M588" s="106" t="s">
        <v>118</v>
      </c>
      <c r="N588" s="100">
        <f>N585*N586</f>
        <v>562.88336977466236</v>
      </c>
      <c r="O588" s="93"/>
    </row>
    <row r="589" spans="1:15" x14ac:dyDescent="0.25">
      <c r="A589" s="106" t="s">
        <v>117</v>
      </c>
      <c r="B589" s="133" t="s">
        <v>23</v>
      </c>
      <c r="C589" s="94"/>
      <c r="D589" s="94"/>
      <c r="E589" s="94"/>
      <c r="F589" s="94"/>
      <c r="G589" s="94"/>
      <c r="H589" s="94"/>
      <c r="I589" s="94"/>
      <c r="J589" s="134" t="s">
        <v>116</v>
      </c>
      <c r="K589" s="94"/>
      <c r="L589" s="94"/>
      <c r="M589" s="94"/>
      <c r="N589" s="94"/>
      <c r="O589" s="93"/>
    </row>
    <row r="590" spans="1:15" x14ac:dyDescent="0.25">
      <c r="A590" s="106" t="s">
        <v>115</v>
      </c>
      <c r="B590" s="133"/>
      <c r="C590" s="94"/>
      <c r="D590" s="94"/>
      <c r="E590" s="94"/>
      <c r="F590" s="94"/>
      <c r="G590" s="94"/>
      <c r="H590" s="94"/>
      <c r="I590" s="94"/>
      <c r="J590" s="94"/>
      <c r="K590" s="94"/>
      <c r="L590" s="94"/>
      <c r="M590" s="94"/>
      <c r="N590" s="94"/>
      <c r="O590" s="93"/>
    </row>
    <row r="591" spans="1:15" x14ac:dyDescent="0.25">
      <c r="A591" s="107"/>
      <c r="B591" s="94"/>
      <c r="C591" s="94"/>
      <c r="D591" s="94"/>
      <c r="E591" s="94"/>
      <c r="F591" s="94"/>
      <c r="G591" s="94"/>
      <c r="H591" s="94"/>
      <c r="I591" s="94"/>
      <c r="J591" s="94"/>
      <c r="K591" s="94"/>
      <c r="L591" s="94"/>
      <c r="M591" s="94"/>
      <c r="N591" s="94"/>
      <c r="O591" s="93"/>
    </row>
    <row r="592" spans="1:15" x14ac:dyDescent="0.25">
      <c r="A592" s="106" t="s">
        <v>67</v>
      </c>
      <c r="B592" s="106" t="s">
        <v>114</v>
      </c>
      <c r="C592" s="106" t="s">
        <v>113</v>
      </c>
      <c r="D592" s="106" t="s">
        <v>40</v>
      </c>
      <c r="E592" s="106" t="s">
        <v>58</v>
      </c>
      <c r="F592" s="94"/>
      <c r="G592" s="94"/>
      <c r="H592" s="94"/>
      <c r="I592" s="94"/>
      <c r="J592" s="94"/>
      <c r="K592" s="94"/>
      <c r="L592" s="94"/>
      <c r="M592" s="94"/>
      <c r="N592" s="94"/>
      <c r="O592" s="93"/>
    </row>
    <row r="593" spans="1:15" x14ac:dyDescent="0.25">
      <c r="A593" s="129">
        <v>10</v>
      </c>
      <c r="B593" s="132" t="str">
        <f>'EN Parts'!B1567</f>
        <v>Inboard Tripod housing</v>
      </c>
      <c r="C593" s="100">
        <f>'EN Parts'!N1564</f>
        <v>67.540719617338567</v>
      </c>
      <c r="D593" s="127">
        <f>EN_11001_q</f>
        <v>2</v>
      </c>
      <c r="E593" s="100">
        <f>C593*D593</f>
        <v>135.08143923467713</v>
      </c>
      <c r="F593" s="94"/>
      <c r="G593" s="94"/>
      <c r="H593" s="94"/>
      <c r="I593" s="94"/>
      <c r="J593" s="94"/>
      <c r="K593" s="94"/>
      <c r="L593" s="94"/>
      <c r="M593" s="94"/>
      <c r="N593" s="94"/>
      <c r="O593" s="93"/>
    </row>
    <row r="594" spans="1:15" x14ac:dyDescent="0.25">
      <c r="A594" s="129">
        <v>20</v>
      </c>
      <c r="B594" s="132" t="str">
        <f>'EN Parts'!B1589</f>
        <v>Outboard tripod housing</v>
      </c>
      <c r="C594" s="100">
        <f>'EN Parts'!N1586</f>
        <v>77.493308236406961</v>
      </c>
      <c r="D594" s="127">
        <f>EN_11002_q</f>
        <v>2</v>
      </c>
      <c r="E594" s="100">
        <f>C594*D594</f>
        <v>154.98661647281392</v>
      </c>
      <c r="F594" s="99"/>
      <c r="G594" s="99"/>
      <c r="H594" s="99"/>
      <c r="I594" s="99"/>
      <c r="J594" s="99"/>
      <c r="K594" s="99"/>
      <c r="L594" s="99"/>
      <c r="M594" s="99"/>
      <c r="N594" s="99"/>
      <c r="O594" s="93"/>
    </row>
    <row r="595" spans="1:15" x14ac:dyDescent="0.25">
      <c r="A595" s="129">
        <v>30</v>
      </c>
      <c r="B595" s="132" t="str">
        <f>'EN Parts'!B1613</f>
        <v>Right axle</v>
      </c>
      <c r="C595" s="100">
        <f>'EN Parts'!N1610</f>
        <v>20.257657033585645</v>
      </c>
      <c r="D595" s="127">
        <f>EN_11003_q</f>
        <v>1</v>
      </c>
      <c r="E595" s="100">
        <f>C595*D595</f>
        <v>20.257657033585645</v>
      </c>
      <c r="F595" s="99"/>
      <c r="G595" s="99"/>
      <c r="H595" s="99"/>
      <c r="I595" s="99"/>
      <c r="J595" s="99"/>
      <c r="K595" s="99"/>
      <c r="L595" s="99"/>
      <c r="M595" s="99"/>
      <c r="N595" s="99"/>
      <c r="O595" s="131"/>
    </row>
    <row r="596" spans="1:15" x14ac:dyDescent="0.25">
      <c r="A596" s="129">
        <v>40</v>
      </c>
      <c r="B596" s="132" t="str">
        <f>'EN Parts'!B1635</f>
        <v>Left axle</v>
      </c>
      <c r="C596" s="100">
        <f>'EN Parts'!N1632</f>
        <v>20.257657033585645</v>
      </c>
      <c r="D596" s="127">
        <f>EN_11004_q</f>
        <v>1</v>
      </c>
      <c r="E596" s="100">
        <f>C596*D596</f>
        <v>20.257657033585645</v>
      </c>
      <c r="F596" s="99"/>
      <c r="G596" s="99"/>
      <c r="H596" s="99"/>
      <c r="I596" s="99"/>
      <c r="J596" s="99"/>
      <c r="K596" s="99"/>
      <c r="L596" s="99"/>
      <c r="M596" s="99"/>
      <c r="N596" s="99"/>
      <c r="O596" s="131"/>
    </row>
    <row r="597" spans="1:15" x14ac:dyDescent="0.25">
      <c r="A597" s="107"/>
      <c r="B597" s="94"/>
      <c r="C597" s="94"/>
      <c r="D597" s="97" t="s">
        <v>58</v>
      </c>
      <c r="E597" s="96">
        <f>SUM(E593:E596)</f>
        <v>330.58336977466234</v>
      </c>
      <c r="F597" s="99"/>
      <c r="G597" s="99"/>
      <c r="H597" s="99"/>
      <c r="I597" s="99"/>
      <c r="J597" s="99"/>
      <c r="K597" s="99"/>
      <c r="L597" s="99"/>
      <c r="M597" s="99"/>
      <c r="N597" s="99"/>
      <c r="O597" s="93"/>
    </row>
    <row r="598" spans="1:15" x14ac:dyDescent="0.25">
      <c r="A598" s="107"/>
      <c r="B598" s="94"/>
      <c r="C598" s="94"/>
      <c r="D598" s="94"/>
      <c r="E598" s="94"/>
      <c r="F598" s="94"/>
      <c r="G598" s="94"/>
      <c r="H598" s="94"/>
      <c r="I598" s="94"/>
      <c r="J598" s="94"/>
      <c r="K598" s="94"/>
      <c r="L598" s="94"/>
      <c r="M598" s="94"/>
      <c r="N598" s="94"/>
      <c r="O598" s="93"/>
    </row>
    <row r="599" spans="1:15" x14ac:dyDescent="0.25">
      <c r="A599" s="106" t="s">
        <v>67</v>
      </c>
      <c r="B599" s="106" t="s">
        <v>112</v>
      </c>
      <c r="C599" s="106" t="s">
        <v>66</v>
      </c>
      <c r="D599" s="106" t="s">
        <v>65</v>
      </c>
      <c r="E599" s="106" t="s">
        <v>81</v>
      </c>
      <c r="F599" s="106" t="s">
        <v>80</v>
      </c>
      <c r="G599" s="106" t="s">
        <v>79</v>
      </c>
      <c r="H599" s="106" t="s">
        <v>78</v>
      </c>
      <c r="I599" s="106" t="s">
        <v>111</v>
      </c>
      <c r="J599" s="106" t="s">
        <v>110</v>
      </c>
      <c r="K599" s="106" t="s">
        <v>109</v>
      </c>
      <c r="L599" s="106" t="s">
        <v>108</v>
      </c>
      <c r="M599" s="106" t="s">
        <v>40</v>
      </c>
      <c r="N599" s="106" t="s">
        <v>58</v>
      </c>
      <c r="O599" s="93"/>
    </row>
    <row r="600" spans="1:15" x14ac:dyDescent="0.25">
      <c r="A600" s="114">
        <v>10</v>
      </c>
      <c r="B600" s="113" t="s">
        <v>152</v>
      </c>
      <c r="C600" s="126" t="s">
        <v>151</v>
      </c>
      <c r="D600" s="117">
        <v>45</v>
      </c>
      <c r="E600" s="110"/>
      <c r="F600" s="116" t="s">
        <v>64</v>
      </c>
      <c r="G600" s="115"/>
      <c r="H600" s="152"/>
      <c r="I600" s="154"/>
      <c r="J600" s="153"/>
      <c r="K600" s="152"/>
      <c r="L600" s="152"/>
      <c r="M600" s="151">
        <v>4</v>
      </c>
      <c r="N600" s="100">
        <f>M600*D600</f>
        <v>180</v>
      </c>
      <c r="O600" s="93"/>
    </row>
    <row r="601" spans="1:15" x14ac:dyDescent="0.25">
      <c r="A601" s="114">
        <v>20</v>
      </c>
      <c r="B601" s="126" t="s">
        <v>150</v>
      </c>
      <c r="C601" s="126" t="s">
        <v>149</v>
      </c>
      <c r="D601" s="117">
        <v>5</v>
      </c>
      <c r="E601" s="110"/>
      <c r="F601" s="116" t="s">
        <v>64</v>
      </c>
      <c r="G601" s="150"/>
      <c r="H601" s="149"/>
      <c r="I601" s="148"/>
      <c r="J601" s="147"/>
      <c r="K601" s="146"/>
      <c r="L601" s="145"/>
      <c r="M601" s="144">
        <v>4</v>
      </c>
      <c r="N601" s="100">
        <f>M601*D601</f>
        <v>20</v>
      </c>
      <c r="O601" s="143"/>
    </row>
    <row r="602" spans="1:15" x14ac:dyDescent="0.25">
      <c r="A602" s="98"/>
      <c r="B602" s="95"/>
      <c r="C602" s="95"/>
      <c r="D602" s="95"/>
      <c r="E602" s="95"/>
      <c r="F602" s="95"/>
      <c r="G602" s="95"/>
      <c r="H602" s="95"/>
      <c r="I602" s="95"/>
      <c r="J602" s="95"/>
      <c r="K602" s="95"/>
      <c r="L602" s="95"/>
      <c r="M602" s="106" t="s">
        <v>58</v>
      </c>
      <c r="N602" s="96">
        <f>SUM(N600:N601)</f>
        <v>200</v>
      </c>
      <c r="O602" s="93"/>
    </row>
    <row r="603" spans="1:15" x14ac:dyDescent="0.25">
      <c r="A603" s="107"/>
      <c r="B603" s="94"/>
      <c r="C603" s="94"/>
      <c r="D603" s="94"/>
      <c r="E603" s="94"/>
      <c r="F603" s="94"/>
      <c r="G603" s="94"/>
      <c r="H603" s="94"/>
      <c r="I603" s="94"/>
      <c r="J603" s="94"/>
      <c r="K603" s="94"/>
      <c r="L603" s="94"/>
      <c r="M603" s="94"/>
      <c r="N603" s="94"/>
      <c r="O603" s="93"/>
    </row>
    <row r="604" spans="1:15" x14ac:dyDescent="0.25">
      <c r="A604" s="106" t="s">
        <v>67</v>
      </c>
      <c r="B604" s="106" t="s">
        <v>106</v>
      </c>
      <c r="C604" s="106" t="s">
        <v>66</v>
      </c>
      <c r="D604" s="106" t="s">
        <v>65</v>
      </c>
      <c r="E604" s="106" t="s">
        <v>64</v>
      </c>
      <c r="F604" s="106" t="s">
        <v>40</v>
      </c>
      <c r="G604" s="106" t="s">
        <v>105</v>
      </c>
      <c r="H604" s="106" t="s">
        <v>104</v>
      </c>
      <c r="I604" s="106" t="s">
        <v>58</v>
      </c>
      <c r="J604" s="95"/>
      <c r="K604" s="95"/>
      <c r="L604" s="95"/>
      <c r="M604" s="95"/>
      <c r="N604" s="95"/>
      <c r="O604" s="120"/>
    </row>
    <row r="605" spans="1:15" ht="30" x14ac:dyDescent="0.25">
      <c r="A605" s="114">
        <v>10</v>
      </c>
      <c r="B605" s="118" t="s">
        <v>100</v>
      </c>
      <c r="C605" s="118" t="s">
        <v>148</v>
      </c>
      <c r="D605" s="117">
        <v>0.56000000000000005</v>
      </c>
      <c r="E605" s="116" t="s">
        <v>64</v>
      </c>
      <c r="F605" s="110">
        <v>2</v>
      </c>
      <c r="G605" s="119"/>
      <c r="H605" s="119"/>
      <c r="I605" s="100">
        <f t="shared" ref="I605:I617" si="28">IF(H605="",D605*F605,D605*F605*H605)</f>
        <v>1.1200000000000001</v>
      </c>
      <c r="J605" s="94"/>
      <c r="K605" s="94"/>
      <c r="L605" s="94"/>
      <c r="M605" s="94"/>
      <c r="N605" s="94"/>
      <c r="O605" s="93"/>
    </row>
    <row r="606" spans="1:15" ht="30" x14ac:dyDescent="0.25">
      <c r="A606" s="114">
        <v>20</v>
      </c>
      <c r="B606" s="118" t="s">
        <v>136</v>
      </c>
      <c r="C606" s="118" t="s">
        <v>147</v>
      </c>
      <c r="D606" s="117">
        <v>1.5</v>
      </c>
      <c r="E606" s="116" t="s">
        <v>64</v>
      </c>
      <c r="F606" s="110">
        <v>2</v>
      </c>
      <c r="G606" s="115"/>
      <c r="H606" s="115"/>
      <c r="I606" s="100">
        <f t="shared" si="28"/>
        <v>3</v>
      </c>
      <c r="J606" s="94"/>
      <c r="K606" s="94"/>
      <c r="L606" s="94"/>
      <c r="M606" s="94"/>
      <c r="N606" s="94"/>
      <c r="O606" s="93"/>
    </row>
    <row r="607" spans="1:15" x14ac:dyDescent="0.25">
      <c r="A607" s="114">
        <v>30</v>
      </c>
      <c r="B607" s="118" t="s">
        <v>95</v>
      </c>
      <c r="C607" s="118" t="s">
        <v>146</v>
      </c>
      <c r="D607" s="117">
        <v>0.19</v>
      </c>
      <c r="E607" s="116" t="s">
        <v>64</v>
      </c>
      <c r="F607" s="110">
        <v>4</v>
      </c>
      <c r="G607" s="115"/>
      <c r="H607" s="115"/>
      <c r="I607" s="100">
        <f t="shared" si="28"/>
        <v>0.76</v>
      </c>
      <c r="J607" s="94"/>
      <c r="K607" s="94"/>
      <c r="L607" s="94"/>
      <c r="M607" s="94"/>
      <c r="N607" s="94"/>
      <c r="O607" s="93"/>
    </row>
    <row r="608" spans="1:15" x14ac:dyDescent="0.25">
      <c r="A608" s="114">
        <v>40</v>
      </c>
      <c r="B608" s="118" t="s">
        <v>95</v>
      </c>
      <c r="C608" s="118" t="s">
        <v>143</v>
      </c>
      <c r="D608" s="117">
        <v>0.19</v>
      </c>
      <c r="E608" s="116" t="s">
        <v>64</v>
      </c>
      <c r="F608" s="110">
        <v>4</v>
      </c>
      <c r="G608" s="115"/>
      <c r="H608" s="115"/>
      <c r="I608" s="100">
        <f t="shared" si="28"/>
        <v>0.76</v>
      </c>
      <c r="J608" s="94"/>
      <c r="K608" s="94"/>
      <c r="L608" s="94"/>
      <c r="M608" s="94"/>
      <c r="N608" s="94"/>
      <c r="O608" s="93"/>
    </row>
    <row r="609" spans="1:15" x14ac:dyDescent="0.25">
      <c r="A609" s="114">
        <v>50</v>
      </c>
      <c r="B609" s="118" t="s">
        <v>145</v>
      </c>
      <c r="C609" s="118" t="s">
        <v>144</v>
      </c>
      <c r="D609" s="117">
        <v>0.13</v>
      </c>
      <c r="E609" s="116" t="s">
        <v>64</v>
      </c>
      <c r="F609" s="110">
        <v>4</v>
      </c>
      <c r="G609" s="115"/>
      <c r="H609" s="115"/>
      <c r="I609" s="100">
        <f t="shared" si="28"/>
        <v>0.52</v>
      </c>
      <c r="J609" s="94"/>
      <c r="K609" s="94"/>
      <c r="L609" s="94"/>
      <c r="M609" s="94"/>
      <c r="N609" s="94"/>
      <c r="O609" s="93"/>
    </row>
    <row r="610" spans="1:15" x14ac:dyDescent="0.25">
      <c r="A610" s="114">
        <v>60</v>
      </c>
      <c r="B610" s="118" t="s">
        <v>95</v>
      </c>
      <c r="C610" s="118" t="s">
        <v>143</v>
      </c>
      <c r="D610" s="117">
        <v>0.19</v>
      </c>
      <c r="E610" s="116" t="s">
        <v>64</v>
      </c>
      <c r="F610" s="110">
        <v>4</v>
      </c>
      <c r="G610" s="115"/>
      <c r="H610" s="115"/>
      <c r="I610" s="100">
        <f t="shared" si="28"/>
        <v>0.76</v>
      </c>
      <c r="J610" s="94"/>
      <c r="K610" s="94"/>
      <c r="L610" s="94"/>
      <c r="M610" s="94"/>
      <c r="N610" s="94"/>
      <c r="O610" s="93"/>
    </row>
    <row r="611" spans="1:15" x14ac:dyDescent="0.25">
      <c r="A611" s="114">
        <v>70</v>
      </c>
      <c r="B611" s="118" t="s">
        <v>142</v>
      </c>
      <c r="C611" s="118" t="s">
        <v>141</v>
      </c>
      <c r="D611" s="117">
        <v>0.19</v>
      </c>
      <c r="E611" s="116" t="s">
        <v>64</v>
      </c>
      <c r="F611" s="110">
        <v>4</v>
      </c>
      <c r="G611" s="115"/>
      <c r="H611" s="115"/>
      <c r="I611" s="100">
        <f t="shared" si="28"/>
        <v>0.76</v>
      </c>
      <c r="J611" s="94"/>
      <c r="K611" s="94"/>
      <c r="L611" s="94"/>
      <c r="M611" s="94"/>
      <c r="N611" s="94"/>
      <c r="O611" s="93"/>
    </row>
    <row r="612" spans="1:15" x14ac:dyDescent="0.25">
      <c r="A612" s="114">
        <v>80</v>
      </c>
      <c r="B612" s="118" t="s">
        <v>95</v>
      </c>
      <c r="C612" s="118" t="s">
        <v>140</v>
      </c>
      <c r="D612" s="117">
        <v>0.19</v>
      </c>
      <c r="E612" s="116" t="s">
        <v>64</v>
      </c>
      <c r="F612" s="110">
        <v>4</v>
      </c>
      <c r="G612" s="115"/>
      <c r="H612" s="115"/>
      <c r="I612" s="100">
        <f t="shared" si="28"/>
        <v>0.76</v>
      </c>
      <c r="J612" s="94"/>
      <c r="K612" s="94"/>
      <c r="L612" s="94"/>
      <c r="M612" s="94"/>
      <c r="N612" s="94"/>
      <c r="O612" s="93"/>
    </row>
    <row r="613" spans="1:15" x14ac:dyDescent="0.25">
      <c r="A613" s="114">
        <v>90</v>
      </c>
      <c r="B613" s="118" t="s">
        <v>100</v>
      </c>
      <c r="C613" s="118" t="s">
        <v>139</v>
      </c>
      <c r="D613" s="117">
        <v>0.56000000000000005</v>
      </c>
      <c r="E613" s="116" t="s">
        <v>64</v>
      </c>
      <c r="F613" s="110">
        <v>2</v>
      </c>
      <c r="G613" s="115"/>
      <c r="H613" s="115"/>
      <c r="I613" s="100">
        <f t="shared" si="28"/>
        <v>1.1200000000000001</v>
      </c>
      <c r="J613" s="94"/>
      <c r="K613" s="94"/>
      <c r="L613" s="94"/>
      <c r="M613" s="94"/>
      <c r="N613" s="94"/>
      <c r="O613" s="93"/>
    </row>
    <row r="614" spans="1:15" x14ac:dyDescent="0.25">
      <c r="A614" s="114">
        <v>100</v>
      </c>
      <c r="B614" s="118" t="s">
        <v>100</v>
      </c>
      <c r="C614" s="118" t="s">
        <v>139</v>
      </c>
      <c r="D614" s="117">
        <v>0.56000000000000005</v>
      </c>
      <c r="E614" s="116" t="s">
        <v>64</v>
      </c>
      <c r="F614" s="110">
        <v>2</v>
      </c>
      <c r="G614" s="115"/>
      <c r="H614" s="115"/>
      <c r="I614" s="100">
        <f t="shared" si="28"/>
        <v>1.1200000000000001</v>
      </c>
      <c r="J614" s="94"/>
      <c r="K614" s="94"/>
      <c r="L614" s="94"/>
      <c r="M614" s="94"/>
      <c r="N614" s="94"/>
      <c r="O614" s="93"/>
    </row>
    <row r="615" spans="1:15" x14ac:dyDescent="0.25">
      <c r="A615" s="114">
        <v>110</v>
      </c>
      <c r="B615" s="118" t="s">
        <v>100</v>
      </c>
      <c r="C615" s="118" t="s">
        <v>138</v>
      </c>
      <c r="D615" s="117">
        <v>0.56000000000000005</v>
      </c>
      <c r="E615" s="116" t="s">
        <v>64</v>
      </c>
      <c r="F615" s="110">
        <v>2</v>
      </c>
      <c r="G615" s="115"/>
      <c r="H615" s="115"/>
      <c r="I615" s="100">
        <f t="shared" si="28"/>
        <v>1.1200000000000001</v>
      </c>
      <c r="J615" s="94"/>
      <c r="K615" s="94"/>
      <c r="L615" s="94"/>
      <c r="M615" s="94"/>
      <c r="N615" s="94"/>
      <c r="O615" s="93"/>
    </row>
    <row r="616" spans="1:15" ht="30" x14ac:dyDescent="0.25">
      <c r="A616" s="114">
        <v>120</v>
      </c>
      <c r="B616" s="118" t="s">
        <v>100</v>
      </c>
      <c r="C616" s="118" t="s">
        <v>137</v>
      </c>
      <c r="D616" s="117">
        <v>0.56000000000000005</v>
      </c>
      <c r="E616" s="116" t="s">
        <v>64</v>
      </c>
      <c r="F616" s="110">
        <v>2</v>
      </c>
      <c r="G616" s="119"/>
      <c r="H616" s="119"/>
      <c r="I616" s="100">
        <f t="shared" si="28"/>
        <v>1.1200000000000001</v>
      </c>
      <c r="J616" s="94"/>
      <c r="K616" s="94"/>
      <c r="L616" s="94"/>
      <c r="M616" s="94"/>
      <c r="N616" s="94"/>
      <c r="O616" s="93"/>
    </row>
    <row r="617" spans="1:15" x14ac:dyDescent="0.25">
      <c r="A617" s="114">
        <v>130</v>
      </c>
      <c r="B617" s="118" t="s">
        <v>136</v>
      </c>
      <c r="C617" s="118" t="s">
        <v>135</v>
      </c>
      <c r="D617" s="117">
        <v>1.5</v>
      </c>
      <c r="E617" s="116" t="s">
        <v>64</v>
      </c>
      <c r="F617" s="110">
        <v>2</v>
      </c>
      <c r="G617" s="115"/>
      <c r="H617" s="115"/>
      <c r="I617" s="100">
        <f t="shared" si="28"/>
        <v>3</v>
      </c>
      <c r="J617" s="94"/>
      <c r="K617" s="94"/>
      <c r="L617" s="94"/>
      <c r="M617" s="94"/>
      <c r="N617" s="94"/>
      <c r="O617" s="93"/>
    </row>
    <row r="618" spans="1:15" x14ac:dyDescent="0.25">
      <c r="A618" s="98"/>
      <c r="B618" s="95"/>
      <c r="C618" s="95"/>
      <c r="D618" s="95"/>
      <c r="E618" s="95"/>
      <c r="F618" s="95"/>
      <c r="G618" s="95"/>
      <c r="H618" s="97" t="s">
        <v>58</v>
      </c>
      <c r="I618" s="96">
        <f>SUM(I605:I617)</f>
        <v>15.920000000000002</v>
      </c>
      <c r="J618" s="94"/>
      <c r="K618" s="94"/>
      <c r="L618" s="94"/>
      <c r="M618" s="94"/>
      <c r="N618" s="94"/>
      <c r="O618" s="93"/>
    </row>
    <row r="619" spans="1:15" x14ac:dyDescent="0.25">
      <c r="A619" s="107"/>
      <c r="B619" s="94"/>
      <c r="C619" s="94"/>
      <c r="D619" s="94"/>
      <c r="E619" s="94"/>
      <c r="F619" s="94"/>
      <c r="G619" s="94"/>
      <c r="H619" s="94"/>
      <c r="I619" s="94"/>
      <c r="J619" s="94"/>
      <c r="K619" s="94"/>
      <c r="L619" s="94"/>
      <c r="M619" s="94"/>
      <c r="N619" s="94"/>
      <c r="O619" s="93"/>
    </row>
    <row r="620" spans="1:15" x14ac:dyDescent="0.25">
      <c r="A620" s="106" t="s">
        <v>67</v>
      </c>
      <c r="B620" s="106" t="s">
        <v>82</v>
      </c>
      <c r="C620" s="106" t="s">
        <v>66</v>
      </c>
      <c r="D620" s="106" t="s">
        <v>65</v>
      </c>
      <c r="E620" s="106" t="s">
        <v>81</v>
      </c>
      <c r="F620" s="106" t="s">
        <v>80</v>
      </c>
      <c r="G620" s="106" t="s">
        <v>79</v>
      </c>
      <c r="H620" s="106" t="s">
        <v>78</v>
      </c>
      <c r="I620" s="106" t="s">
        <v>40</v>
      </c>
      <c r="J620" s="106" t="s">
        <v>58</v>
      </c>
      <c r="K620" s="94"/>
      <c r="L620" s="94"/>
      <c r="M620" s="94"/>
      <c r="N620" s="94"/>
      <c r="O620" s="93"/>
    </row>
    <row r="621" spans="1:15" x14ac:dyDescent="0.25">
      <c r="A621" s="105">
        <v>10</v>
      </c>
      <c r="B621" s="113" t="s">
        <v>134</v>
      </c>
      <c r="C621" s="104" t="s">
        <v>133</v>
      </c>
      <c r="D621" s="112">
        <v>0.09</v>
      </c>
      <c r="E621" s="110">
        <v>20</v>
      </c>
      <c r="F621" s="111" t="s">
        <v>68</v>
      </c>
      <c r="G621" s="110"/>
      <c r="H621" s="109"/>
      <c r="I621" s="108">
        <v>8</v>
      </c>
      <c r="J621" s="100">
        <f>I621*D621</f>
        <v>0.72</v>
      </c>
      <c r="K621" s="94"/>
      <c r="L621" s="94"/>
      <c r="M621" s="94"/>
      <c r="N621" s="94"/>
      <c r="O621" s="93"/>
    </row>
    <row r="622" spans="1:15" x14ac:dyDescent="0.25">
      <c r="A622" s="105">
        <v>20</v>
      </c>
      <c r="B622" s="113" t="s">
        <v>132</v>
      </c>
      <c r="C622" s="104" t="s">
        <v>131</v>
      </c>
      <c r="D622" s="112">
        <v>0.92</v>
      </c>
      <c r="E622" s="110">
        <v>65.5</v>
      </c>
      <c r="F622" s="111" t="s">
        <v>68</v>
      </c>
      <c r="G622" s="110"/>
      <c r="H622" s="109"/>
      <c r="I622" s="108">
        <v>2</v>
      </c>
      <c r="J622" s="100">
        <f>I622*D622</f>
        <v>1.84</v>
      </c>
      <c r="K622" s="94"/>
      <c r="L622" s="94"/>
      <c r="M622" s="94"/>
      <c r="N622" s="94"/>
      <c r="O622" s="93"/>
    </row>
    <row r="623" spans="1:15" x14ac:dyDescent="0.25">
      <c r="A623" s="105">
        <v>30</v>
      </c>
      <c r="B623" s="113" t="s">
        <v>132</v>
      </c>
      <c r="C623" s="104" t="s">
        <v>131</v>
      </c>
      <c r="D623" s="112">
        <v>0.28000000000000003</v>
      </c>
      <c r="E623" s="110">
        <v>20</v>
      </c>
      <c r="F623" s="111" t="s">
        <v>68</v>
      </c>
      <c r="G623" s="110"/>
      <c r="H623" s="109"/>
      <c r="I623" s="108">
        <v>2</v>
      </c>
      <c r="J623" s="100">
        <f>I623*D623</f>
        <v>0.56000000000000005</v>
      </c>
      <c r="K623" s="94"/>
      <c r="L623" s="94"/>
      <c r="M623" s="94"/>
      <c r="N623" s="94"/>
      <c r="O623" s="93"/>
    </row>
    <row r="624" spans="1:15" ht="30" x14ac:dyDescent="0.25">
      <c r="A624" s="105">
        <v>40</v>
      </c>
      <c r="B624" s="113" t="s">
        <v>72</v>
      </c>
      <c r="C624" s="104" t="s">
        <v>130</v>
      </c>
      <c r="D624" s="112">
        <v>0.08</v>
      </c>
      <c r="E624" s="110">
        <v>8</v>
      </c>
      <c r="F624" s="111" t="s">
        <v>68</v>
      </c>
      <c r="G624" s="110">
        <v>20</v>
      </c>
      <c r="H624" s="109" t="s">
        <v>68</v>
      </c>
      <c r="I624" s="108">
        <v>2</v>
      </c>
      <c r="J624" s="100">
        <f>I624*D624</f>
        <v>0.16</v>
      </c>
      <c r="K624" s="142"/>
      <c r="L624" s="142"/>
      <c r="M624" s="142"/>
      <c r="N624" s="142"/>
      <c r="O624" s="93"/>
    </row>
    <row r="625" spans="1:15" x14ac:dyDescent="0.25">
      <c r="A625" s="105">
        <v>50</v>
      </c>
      <c r="B625" s="113" t="s">
        <v>129</v>
      </c>
      <c r="C625" s="104" t="s">
        <v>128</v>
      </c>
      <c r="D625" s="112">
        <v>6.55</v>
      </c>
      <c r="E625" s="110">
        <v>20</v>
      </c>
      <c r="F625" s="111" t="s">
        <v>68</v>
      </c>
      <c r="G625" s="110"/>
      <c r="H625" s="109"/>
      <c r="I625" s="108">
        <v>2</v>
      </c>
      <c r="J625" s="100">
        <f>I625*D625</f>
        <v>13.1</v>
      </c>
      <c r="K625" s="142"/>
      <c r="L625" s="142"/>
      <c r="M625" s="142"/>
      <c r="N625" s="142"/>
      <c r="O625" s="93"/>
    </row>
    <row r="626" spans="1:15" x14ac:dyDescent="0.25">
      <c r="A626" s="98"/>
      <c r="B626" s="95"/>
      <c r="C626" s="95"/>
      <c r="D626" s="95"/>
      <c r="E626" s="95"/>
      <c r="F626" s="95"/>
      <c r="G626" s="95"/>
      <c r="H626" s="95"/>
      <c r="I626" s="97" t="s">
        <v>58</v>
      </c>
      <c r="J626" s="96">
        <f>SUM(J621:J625)</f>
        <v>16.38</v>
      </c>
      <c r="K626" s="94"/>
      <c r="L626" s="94"/>
      <c r="M626" s="94"/>
      <c r="N626" s="94"/>
      <c r="O626" s="93"/>
    </row>
    <row r="627" spans="1:15" x14ac:dyDescent="0.25">
      <c r="A627" s="107"/>
      <c r="B627" s="94"/>
      <c r="C627" s="94"/>
      <c r="D627" s="94"/>
      <c r="E627" s="94"/>
      <c r="F627" s="94"/>
      <c r="G627" s="94"/>
      <c r="H627" s="94"/>
      <c r="I627" s="94"/>
      <c r="J627" s="94"/>
      <c r="K627" s="94"/>
      <c r="L627" s="94"/>
      <c r="M627" s="94"/>
      <c r="N627" s="94"/>
      <c r="O627" s="93"/>
    </row>
    <row r="628" spans="1:15" ht="15.75" thickBot="1" x14ac:dyDescent="0.3">
      <c r="A628" s="92"/>
      <c r="B628" s="91"/>
      <c r="C628" s="91"/>
      <c r="D628" s="91"/>
      <c r="E628" s="91"/>
      <c r="F628" s="91"/>
      <c r="G628" s="91"/>
      <c r="H628" s="91"/>
      <c r="I628" s="91"/>
      <c r="J628" s="91"/>
      <c r="K628" s="91"/>
      <c r="L628" s="91"/>
      <c r="M628" s="91"/>
      <c r="N628" s="91"/>
      <c r="O628" s="90"/>
    </row>
    <row r="629" spans="1:15" ht="15.75" thickBot="1" x14ac:dyDescent="0.3"/>
    <row r="630" spans="1:15" x14ac:dyDescent="0.25">
      <c r="A630" s="141"/>
      <c r="B630" s="140"/>
      <c r="C630" s="140"/>
      <c r="D630" s="140"/>
      <c r="E630" s="140"/>
      <c r="F630" s="140"/>
      <c r="G630" s="140"/>
      <c r="H630" s="140"/>
      <c r="I630" s="140"/>
      <c r="J630" s="140"/>
      <c r="K630" s="140"/>
      <c r="L630" s="140"/>
      <c r="M630" s="140"/>
      <c r="N630" s="140"/>
      <c r="O630" s="139"/>
    </row>
    <row r="631" spans="1:15" x14ac:dyDescent="0.25">
      <c r="A631" s="106" t="s">
        <v>57</v>
      </c>
      <c r="B631" s="133" t="s">
        <v>127</v>
      </c>
      <c r="C631" s="94"/>
      <c r="D631" s="94"/>
      <c r="E631" s="94"/>
      <c r="F631" s="94"/>
      <c r="G631" s="94"/>
      <c r="H631" s="94"/>
      <c r="I631" s="94"/>
      <c r="J631" s="106" t="s">
        <v>51</v>
      </c>
      <c r="K631" s="138">
        <v>81</v>
      </c>
      <c r="L631" s="94"/>
      <c r="M631" s="106" t="s">
        <v>126</v>
      </c>
      <c r="N631" s="137">
        <f>E645+EN_A0012_f+EN_A0012_m+EN_A0012_p+EN_A0012_t</f>
        <v>174.10029972558638</v>
      </c>
      <c r="O631" s="93"/>
    </row>
    <row r="632" spans="1:15" x14ac:dyDescent="0.25">
      <c r="A632" s="106" t="s">
        <v>125</v>
      </c>
      <c r="B632" s="133" t="s">
        <v>21</v>
      </c>
      <c r="C632" s="94"/>
      <c r="D632" s="94"/>
      <c r="E632" s="94"/>
      <c r="F632" s="94"/>
      <c r="G632" s="94"/>
      <c r="H632" s="94"/>
      <c r="I632" s="94"/>
      <c r="J632" s="94"/>
      <c r="K632" s="94"/>
      <c r="L632" s="94"/>
      <c r="M632" s="106" t="s">
        <v>124</v>
      </c>
      <c r="N632" s="136">
        <v>1</v>
      </c>
      <c r="O632" s="93"/>
    </row>
    <row r="633" spans="1:15" x14ac:dyDescent="0.25">
      <c r="A633" s="106" t="s">
        <v>123</v>
      </c>
      <c r="B633" s="99" t="s">
        <v>22</v>
      </c>
      <c r="C633" s="94"/>
      <c r="D633" s="94"/>
      <c r="E633" s="94"/>
      <c r="F633" s="94"/>
      <c r="G633" s="94"/>
      <c r="H633" s="94"/>
      <c r="I633" s="94"/>
      <c r="J633" s="134" t="s">
        <v>122</v>
      </c>
      <c r="K633" s="94"/>
      <c r="L633" s="94"/>
      <c r="M633" s="94"/>
      <c r="N633" s="94"/>
      <c r="O633" s="93"/>
    </row>
    <row r="634" spans="1:15" x14ac:dyDescent="0.25">
      <c r="A634" s="106" t="s">
        <v>121</v>
      </c>
      <c r="B634" s="135" t="s">
        <v>120</v>
      </c>
      <c r="C634" s="94"/>
      <c r="D634" s="94"/>
      <c r="E634" s="94"/>
      <c r="F634" s="94"/>
      <c r="G634" s="94"/>
      <c r="H634" s="94"/>
      <c r="I634" s="94"/>
      <c r="J634" s="134" t="s">
        <v>119</v>
      </c>
      <c r="K634" s="94"/>
      <c r="L634" s="94"/>
      <c r="M634" s="106" t="s">
        <v>118</v>
      </c>
      <c r="N634" s="100">
        <f>N631*N632</f>
        <v>174.10029972558638</v>
      </c>
      <c r="O634" s="93"/>
    </row>
    <row r="635" spans="1:15" x14ac:dyDescent="0.25">
      <c r="A635" s="106" t="s">
        <v>117</v>
      </c>
      <c r="B635" s="133" t="s">
        <v>23</v>
      </c>
      <c r="C635" s="94"/>
      <c r="D635" s="94"/>
      <c r="E635" s="94"/>
      <c r="F635" s="94"/>
      <c r="G635" s="94"/>
      <c r="H635" s="94"/>
      <c r="I635" s="94"/>
      <c r="J635" s="134" t="s">
        <v>116</v>
      </c>
      <c r="K635" s="94"/>
      <c r="L635" s="94"/>
      <c r="M635" s="94"/>
      <c r="N635" s="94"/>
      <c r="O635" s="93"/>
    </row>
    <row r="636" spans="1:15" x14ac:dyDescent="0.25">
      <c r="A636" s="106" t="s">
        <v>115</v>
      </c>
      <c r="B636" s="133"/>
      <c r="C636" s="94"/>
      <c r="D636" s="94"/>
      <c r="E636" s="94"/>
      <c r="F636" s="94"/>
      <c r="G636" s="94"/>
      <c r="H636" s="94"/>
      <c r="I636" s="94"/>
      <c r="J636" s="94"/>
      <c r="K636" s="94"/>
      <c r="L636" s="94"/>
      <c r="M636" s="94"/>
      <c r="N636" s="94"/>
      <c r="O636" s="93"/>
    </row>
    <row r="637" spans="1:15" x14ac:dyDescent="0.25">
      <c r="A637" s="107"/>
      <c r="B637" s="94"/>
      <c r="C637" s="94"/>
      <c r="D637" s="94"/>
      <c r="E637" s="94"/>
      <c r="F637" s="94"/>
      <c r="G637" s="94"/>
      <c r="H637" s="94"/>
      <c r="I637" s="94"/>
      <c r="J637" s="94"/>
      <c r="K637" s="94"/>
      <c r="L637" s="94"/>
      <c r="M637" s="94"/>
      <c r="N637" s="94"/>
      <c r="O637" s="93"/>
    </row>
    <row r="638" spans="1:15" x14ac:dyDescent="0.25">
      <c r="A638" s="106" t="s">
        <v>67</v>
      </c>
      <c r="B638" s="106" t="s">
        <v>114</v>
      </c>
      <c r="C638" s="106" t="s">
        <v>113</v>
      </c>
      <c r="D638" s="106" t="s">
        <v>40</v>
      </c>
      <c r="E638" s="106" t="s">
        <v>58</v>
      </c>
      <c r="F638" s="94"/>
      <c r="G638" s="94"/>
      <c r="H638" s="94"/>
      <c r="I638" s="94"/>
      <c r="J638" s="94"/>
      <c r="K638" s="94"/>
      <c r="L638" s="94"/>
      <c r="M638" s="94"/>
      <c r="N638" s="94"/>
      <c r="O638" s="93"/>
    </row>
    <row r="639" spans="1:15" x14ac:dyDescent="0.25">
      <c r="A639" s="129">
        <v>10</v>
      </c>
      <c r="B639" s="132" t="str">
        <f>'EN Parts'!B1657</f>
        <v>Front sprocket</v>
      </c>
      <c r="C639" s="100">
        <f>'EN Parts'!N1654</f>
        <v>23.853249328634671</v>
      </c>
      <c r="D639" s="127">
        <f>EN_12001_q</f>
        <v>1</v>
      </c>
      <c r="E639" s="100">
        <f t="shared" ref="E639:E644" si="29">C639*D639</f>
        <v>23.853249328634671</v>
      </c>
      <c r="F639" s="94"/>
      <c r="G639" s="94"/>
      <c r="H639" s="94"/>
      <c r="I639" s="94"/>
      <c r="J639" s="94"/>
      <c r="K639" s="94"/>
      <c r="L639" s="94"/>
      <c r="M639" s="94"/>
      <c r="N639" s="94"/>
      <c r="O639" s="93"/>
    </row>
    <row r="640" spans="1:15" x14ac:dyDescent="0.25">
      <c r="A640" s="129">
        <v>20</v>
      </c>
      <c r="B640" s="132" t="str">
        <f>'EN Parts'!B1680</f>
        <v>Rear sprocket</v>
      </c>
      <c r="C640" s="100">
        <f>'EN Parts'!N1677</f>
        <v>38.4366935175903</v>
      </c>
      <c r="D640" s="127">
        <f>EN_12002_q</f>
        <v>1</v>
      </c>
      <c r="E640" s="100">
        <f t="shared" si="29"/>
        <v>38.4366935175903</v>
      </c>
      <c r="F640" s="99"/>
      <c r="G640" s="99"/>
      <c r="H640" s="99"/>
      <c r="I640" s="99"/>
      <c r="J640" s="99"/>
      <c r="K640" s="99"/>
      <c r="L640" s="99"/>
      <c r="M640" s="99"/>
      <c r="N640" s="99"/>
      <c r="O640" s="93"/>
    </row>
    <row r="641" spans="1:15" x14ac:dyDescent="0.25">
      <c r="A641" s="129">
        <v>30</v>
      </c>
      <c r="B641" s="132" t="str">
        <f>'EN Parts'!B1702</f>
        <v>Rear sprocket adapter</v>
      </c>
      <c r="C641" s="100">
        <f>'EN Parts'!N1699</f>
        <v>21.411386035218065</v>
      </c>
      <c r="D641" s="127">
        <f>EN_12003_q</f>
        <v>1</v>
      </c>
      <c r="E641" s="100">
        <f t="shared" si="29"/>
        <v>21.411386035218065</v>
      </c>
      <c r="F641" s="99"/>
      <c r="G641" s="99"/>
      <c r="H641" s="99"/>
      <c r="I641" s="99"/>
      <c r="J641" s="99"/>
      <c r="K641" s="99"/>
      <c r="L641" s="99"/>
      <c r="M641" s="99"/>
      <c r="N641" s="99"/>
      <c r="O641" s="131"/>
    </row>
    <row r="642" spans="1:15" x14ac:dyDescent="0.25">
      <c r="A642" s="129">
        <v>40</v>
      </c>
      <c r="B642" s="132" t="str">
        <f>'EN Parts'!B1725</f>
        <v>Chain shield</v>
      </c>
      <c r="C642" s="100">
        <f>'EN Parts'!N1722</f>
        <v>9.2414838600000007</v>
      </c>
      <c r="D642" s="127">
        <f>EN_12004_q</f>
        <v>1</v>
      </c>
      <c r="E642" s="100">
        <f t="shared" si="29"/>
        <v>9.2414838600000007</v>
      </c>
      <c r="F642" s="99"/>
      <c r="G642" s="99"/>
      <c r="H642" s="99"/>
      <c r="I642" s="99"/>
      <c r="J642" s="99"/>
      <c r="K642" s="99"/>
      <c r="L642" s="99"/>
      <c r="M642" s="99"/>
      <c r="N642" s="99"/>
      <c r="O642" s="131"/>
    </row>
    <row r="643" spans="1:15" x14ac:dyDescent="0.25">
      <c r="A643" s="129">
        <v>50</v>
      </c>
      <c r="B643" s="128" t="str">
        <f>'EN Parts'!B1749</f>
        <v>Tab</v>
      </c>
      <c r="C643" s="100">
        <f>'EN Parts'!N1746</f>
        <v>1.561561</v>
      </c>
      <c r="D643" s="127">
        <f>EN_12005_q</f>
        <v>1</v>
      </c>
      <c r="E643" s="100">
        <f t="shared" si="29"/>
        <v>1.561561</v>
      </c>
      <c r="F643" s="99"/>
      <c r="G643" s="99"/>
      <c r="H643" s="99"/>
      <c r="I643" s="99"/>
      <c r="J643" s="99"/>
      <c r="K643" s="99"/>
      <c r="L643" s="99"/>
      <c r="M643" s="99"/>
      <c r="N643" s="99"/>
      <c r="O643" s="130"/>
    </row>
    <row r="644" spans="1:15" x14ac:dyDescent="0.25">
      <c r="A644" s="129">
        <v>60</v>
      </c>
      <c r="B644" s="128" t="str">
        <f>'EN Parts'!B1771</f>
        <v>Centering pin</v>
      </c>
      <c r="C644" s="100">
        <f>'EN Parts'!N1768</f>
        <v>1.4278518634953417</v>
      </c>
      <c r="D644" s="127">
        <f>EN_12006_q</f>
        <v>5</v>
      </c>
      <c r="E644" s="100">
        <f t="shared" si="29"/>
        <v>7.1392593174767081</v>
      </c>
      <c r="F644" s="94"/>
      <c r="G644" s="94"/>
      <c r="H644" s="94"/>
      <c r="I644" s="94"/>
      <c r="J644" s="94"/>
      <c r="K644" s="94"/>
      <c r="L644" s="94"/>
      <c r="M644" s="94"/>
      <c r="N644" s="94"/>
      <c r="O644" s="93"/>
    </row>
    <row r="645" spans="1:15" x14ac:dyDescent="0.25">
      <c r="A645" s="107"/>
      <c r="B645" s="94"/>
      <c r="C645" s="94"/>
      <c r="D645" s="97" t="s">
        <v>58</v>
      </c>
      <c r="E645" s="96">
        <f>SUM(E639:E644)</f>
        <v>101.64363305891975</v>
      </c>
      <c r="F645" s="99"/>
      <c r="G645" s="99"/>
      <c r="H645" s="99"/>
      <c r="I645" s="99"/>
      <c r="J645" s="99"/>
      <c r="K645" s="99"/>
      <c r="L645" s="99"/>
      <c r="M645" s="99"/>
      <c r="N645" s="99"/>
      <c r="O645" s="93"/>
    </row>
    <row r="646" spans="1:15" x14ac:dyDescent="0.25">
      <c r="A646" s="107"/>
      <c r="B646" s="94"/>
      <c r="C646" s="94"/>
      <c r="D646" s="94"/>
      <c r="E646" s="94"/>
      <c r="F646" s="94"/>
      <c r="G646" s="94"/>
      <c r="H646" s="94"/>
      <c r="I646" s="94"/>
      <c r="J646" s="94"/>
      <c r="K646" s="94"/>
      <c r="L646" s="94"/>
      <c r="M646" s="94"/>
      <c r="N646" s="94"/>
      <c r="O646" s="93"/>
    </row>
    <row r="647" spans="1:15" x14ac:dyDescent="0.25">
      <c r="A647" s="106" t="s">
        <v>67</v>
      </c>
      <c r="B647" s="106" t="s">
        <v>112</v>
      </c>
      <c r="C647" s="106" t="s">
        <v>66</v>
      </c>
      <c r="D647" s="106" t="s">
        <v>65</v>
      </c>
      <c r="E647" s="106" t="s">
        <v>81</v>
      </c>
      <c r="F647" s="106" t="s">
        <v>80</v>
      </c>
      <c r="G647" s="106" t="s">
        <v>79</v>
      </c>
      <c r="H647" s="106" t="s">
        <v>78</v>
      </c>
      <c r="I647" s="106" t="s">
        <v>111</v>
      </c>
      <c r="J647" s="106" t="s">
        <v>110</v>
      </c>
      <c r="K647" s="106" t="s">
        <v>109</v>
      </c>
      <c r="L647" s="106" t="s">
        <v>108</v>
      </c>
      <c r="M647" s="106" t="s">
        <v>40</v>
      </c>
      <c r="N647" s="106" t="s">
        <v>58</v>
      </c>
      <c r="O647" s="93"/>
    </row>
    <row r="648" spans="1:15" x14ac:dyDescent="0.25">
      <c r="A648" s="114">
        <v>10</v>
      </c>
      <c r="B648" s="113" t="s">
        <v>107</v>
      </c>
      <c r="C648" s="126"/>
      <c r="D648" s="117">
        <v>0.05</v>
      </c>
      <c r="E648" s="110">
        <v>1040</v>
      </c>
      <c r="F648" s="116" t="s">
        <v>68</v>
      </c>
      <c r="G648" s="110"/>
      <c r="H648" s="125"/>
      <c r="I648" s="124"/>
      <c r="J648" s="123"/>
      <c r="K648" s="122"/>
      <c r="L648" s="122"/>
      <c r="M648" s="121">
        <v>1040</v>
      </c>
      <c r="N648" s="100">
        <f>M648*D648</f>
        <v>52</v>
      </c>
      <c r="O648" s="93"/>
    </row>
    <row r="649" spans="1:15" x14ac:dyDescent="0.25">
      <c r="A649" s="98"/>
      <c r="B649" s="95"/>
      <c r="C649" s="95"/>
      <c r="D649" s="95"/>
      <c r="E649" s="95"/>
      <c r="F649" s="95"/>
      <c r="G649" s="95"/>
      <c r="H649" s="95"/>
      <c r="I649" s="95"/>
      <c r="J649" s="95"/>
      <c r="K649" s="95"/>
      <c r="L649" s="95"/>
      <c r="M649" s="106" t="s">
        <v>58</v>
      </c>
      <c r="N649" s="96">
        <f>SUM(N648:N648)</f>
        <v>52</v>
      </c>
      <c r="O649" s="93"/>
    </row>
    <row r="650" spans="1:15" x14ac:dyDescent="0.25">
      <c r="A650" s="107"/>
      <c r="B650" s="94"/>
      <c r="C650" s="94"/>
      <c r="D650" s="94"/>
      <c r="E650" s="94"/>
      <c r="F650" s="94"/>
      <c r="G650" s="94"/>
      <c r="H650" s="94"/>
      <c r="I650" s="94"/>
      <c r="J650" s="94"/>
      <c r="K650" s="94"/>
      <c r="L650" s="94"/>
      <c r="M650" s="94"/>
      <c r="N650" s="94"/>
      <c r="O650" s="93"/>
    </row>
    <row r="651" spans="1:15" x14ac:dyDescent="0.25">
      <c r="A651" s="106" t="s">
        <v>67</v>
      </c>
      <c r="B651" s="106" t="s">
        <v>106</v>
      </c>
      <c r="C651" s="106" t="s">
        <v>66</v>
      </c>
      <c r="D651" s="106" t="s">
        <v>65</v>
      </c>
      <c r="E651" s="106" t="s">
        <v>64</v>
      </c>
      <c r="F651" s="106" t="s">
        <v>40</v>
      </c>
      <c r="G651" s="106" t="s">
        <v>105</v>
      </c>
      <c r="H651" s="106" t="s">
        <v>104</v>
      </c>
      <c r="I651" s="106" t="s">
        <v>58</v>
      </c>
      <c r="J651" s="95"/>
      <c r="K651" s="95"/>
      <c r="L651" s="95"/>
      <c r="M651" s="95"/>
      <c r="N651" s="95"/>
      <c r="O651" s="120"/>
    </row>
    <row r="652" spans="1:15" x14ac:dyDescent="0.25">
      <c r="A652" s="114">
        <v>10</v>
      </c>
      <c r="B652" s="118" t="s">
        <v>103</v>
      </c>
      <c r="C652" s="118" t="s">
        <v>102</v>
      </c>
      <c r="D652" s="117">
        <v>0.15</v>
      </c>
      <c r="E652" s="116" t="s">
        <v>101</v>
      </c>
      <c r="F652" s="110">
        <v>2</v>
      </c>
      <c r="G652" s="119"/>
      <c r="H652" s="119"/>
      <c r="I652" s="100">
        <f t="shared" ref="I652:I668" si="30">IF(H652="",D652*F652,D652*F652*H652)</f>
        <v>0.3</v>
      </c>
      <c r="J652" s="94"/>
      <c r="K652" s="94"/>
      <c r="L652" s="94"/>
      <c r="M652" s="94"/>
      <c r="N652" s="94"/>
      <c r="O652" s="93"/>
    </row>
    <row r="653" spans="1:15" ht="30" x14ac:dyDescent="0.25">
      <c r="A653" s="114">
        <v>20</v>
      </c>
      <c r="B653" s="118" t="s">
        <v>100</v>
      </c>
      <c r="C653" s="118" t="s">
        <v>99</v>
      </c>
      <c r="D653" s="117">
        <v>0.56000000000000005</v>
      </c>
      <c r="E653" s="116" t="s">
        <v>64</v>
      </c>
      <c r="F653" s="110">
        <v>1</v>
      </c>
      <c r="G653" s="115"/>
      <c r="H653" s="115"/>
      <c r="I653" s="100">
        <f t="shared" si="30"/>
        <v>0.56000000000000005</v>
      </c>
      <c r="J653" s="94"/>
      <c r="K653" s="94"/>
      <c r="L653" s="94"/>
      <c r="M653" s="94"/>
      <c r="N653" s="94"/>
      <c r="O653" s="93"/>
    </row>
    <row r="654" spans="1:15" ht="30" x14ac:dyDescent="0.25">
      <c r="A654" s="114">
        <v>30</v>
      </c>
      <c r="B654" s="118" t="s">
        <v>95</v>
      </c>
      <c r="C654" s="118" t="s">
        <v>98</v>
      </c>
      <c r="D654" s="117">
        <v>0.19</v>
      </c>
      <c r="E654" s="116" t="s">
        <v>64</v>
      </c>
      <c r="F654" s="110">
        <v>5</v>
      </c>
      <c r="G654" s="115"/>
      <c r="H654" s="115"/>
      <c r="I654" s="100">
        <f t="shared" si="30"/>
        <v>0.95</v>
      </c>
      <c r="J654" s="94"/>
      <c r="K654" s="94"/>
      <c r="L654" s="94"/>
      <c r="M654" s="94"/>
      <c r="N654" s="94"/>
      <c r="O654" s="93"/>
    </row>
    <row r="655" spans="1:15" x14ac:dyDescent="0.25">
      <c r="A655" s="114">
        <v>40</v>
      </c>
      <c r="B655" s="118" t="s">
        <v>95</v>
      </c>
      <c r="C655" s="118" t="s">
        <v>97</v>
      </c>
      <c r="D655" s="117">
        <v>0.19</v>
      </c>
      <c r="E655" s="116" t="s">
        <v>64</v>
      </c>
      <c r="F655" s="110">
        <v>1</v>
      </c>
      <c r="G655" s="115"/>
      <c r="H655" s="115"/>
      <c r="I655" s="100">
        <f t="shared" si="30"/>
        <v>0.19</v>
      </c>
      <c r="J655" s="94"/>
      <c r="K655" s="94"/>
      <c r="L655" s="94"/>
      <c r="M655" s="94"/>
      <c r="N655" s="94"/>
      <c r="O655" s="93"/>
    </row>
    <row r="656" spans="1:15" x14ac:dyDescent="0.25">
      <c r="A656" s="114">
        <v>50</v>
      </c>
      <c r="B656" s="118" t="s">
        <v>87</v>
      </c>
      <c r="C656" s="118" t="s">
        <v>86</v>
      </c>
      <c r="D656" s="117">
        <v>0.06</v>
      </c>
      <c r="E656" s="116" t="s">
        <v>64</v>
      </c>
      <c r="F656" s="110">
        <v>15</v>
      </c>
      <c r="G656" s="115"/>
      <c r="H656" s="115"/>
      <c r="I656" s="100">
        <f t="shared" si="30"/>
        <v>0.89999999999999991</v>
      </c>
      <c r="J656" s="94"/>
      <c r="K656" s="94"/>
      <c r="L656" s="94"/>
      <c r="M656" s="94"/>
      <c r="N656" s="94"/>
      <c r="O656" s="93"/>
    </row>
    <row r="657" spans="1:15" x14ac:dyDescent="0.25">
      <c r="A657" s="114">
        <v>60</v>
      </c>
      <c r="B657" s="118" t="s">
        <v>85</v>
      </c>
      <c r="C657" s="118" t="s">
        <v>96</v>
      </c>
      <c r="D657" s="117">
        <v>0.75</v>
      </c>
      <c r="E657" s="116" t="s">
        <v>64</v>
      </c>
      <c r="F657" s="110">
        <v>5</v>
      </c>
      <c r="G657" s="115"/>
      <c r="H657" s="115"/>
      <c r="I657" s="100">
        <f t="shared" si="30"/>
        <v>3.75</v>
      </c>
      <c r="J657" s="94"/>
      <c r="K657" s="94"/>
      <c r="L657" s="94"/>
      <c r="M657" s="94"/>
      <c r="N657" s="94"/>
      <c r="O657" s="93"/>
    </row>
    <row r="658" spans="1:15" x14ac:dyDescent="0.25">
      <c r="A658" s="114">
        <v>70</v>
      </c>
      <c r="B658" s="118" t="s">
        <v>84</v>
      </c>
      <c r="C658" s="118" t="s">
        <v>96</v>
      </c>
      <c r="D658" s="117">
        <v>0.25</v>
      </c>
      <c r="E658" s="116" t="s">
        <v>64</v>
      </c>
      <c r="F658" s="110">
        <v>5</v>
      </c>
      <c r="G658" s="115"/>
      <c r="H658" s="115"/>
      <c r="I658" s="100">
        <f t="shared" si="30"/>
        <v>1.25</v>
      </c>
      <c r="J658" s="94"/>
      <c r="K658" s="94"/>
      <c r="L658" s="94"/>
      <c r="M658" s="94"/>
      <c r="N658" s="94"/>
      <c r="O658" s="93"/>
    </row>
    <row r="659" spans="1:15" x14ac:dyDescent="0.25">
      <c r="A659" s="114">
        <v>80</v>
      </c>
      <c r="B659" s="118" t="s">
        <v>95</v>
      </c>
      <c r="C659" s="118" t="s">
        <v>94</v>
      </c>
      <c r="D659" s="117">
        <v>0.19</v>
      </c>
      <c r="E659" s="116" t="s">
        <v>64</v>
      </c>
      <c r="F659" s="110">
        <v>1</v>
      </c>
      <c r="G659" s="115"/>
      <c r="H659" s="115"/>
      <c r="I659" s="100">
        <f t="shared" si="30"/>
        <v>0.19</v>
      </c>
      <c r="J659" s="94"/>
      <c r="K659" s="94"/>
      <c r="L659" s="94"/>
      <c r="M659" s="94"/>
      <c r="N659" s="94"/>
      <c r="O659" s="93"/>
    </row>
    <row r="660" spans="1:15" x14ac:dyDescent="0.25">
      <c r="A660" s="114">
        <v>90</v>
      </c>
      <c r="B660" s="118" t="s">
        <v>85</v>
      </c>
      <c r="C660" s="118" t="s">
        <v>93</v>
      </c>
      <c r="D660" s="117">
        <v>0.75</v>
      </c>
      <c r="E660" s="116" t="s">
        <v>64</v>
      </c>
      <c r="F660" s="110">
        <v>1</v>
      </c>
      <c r="G660" s="115"/>
      <c r="H660" s="115"/>
      <c r="I660" s="100">
        <f t="shared" si="30"/>
        <v>0.75</v>
      </c>
      <c r="J660" s="94"/>
      <c r="K660" s="94"/>
      <c r="L660" s="94"/>
      <c r="M660" s="94"/>
      <c r="N660" s="94"/>
      <c r="O660" s="93"/>
    </row>
    <row r="661" spans="1:15" x14ac:dyDescent="0.25">
      <c r="A661" s="114">
        <v>100</v>
      </c>
      <c r="B661" s="118" t="s">
        <v>92</v>
      </c>
      <c r="C661" s="118" t="s">
        <v>91</v>
      </c>
      <c r="D661" s="117">
        <v>0.63</v>
      </c>
      <c r="E661" s="116" t="s">
        <v>64</v>
      </c>
      <c r="F661" s="110">
        <v>1</v>
      </c>
      <c r="G661" s="115"/>
      <c r="H661" s="115"/>
      <c r="I661" s="100">
        <f t="shared" si="30"/>
        <v>0.63</v>
      </c>
      <c r="J661" s="94"/>
      <c r="K661" s="94"/>
      <c r="L661" s="94"/>
      <c r="M661" s="94"/>
      <c r="N661" s="94"/>
      <c r="O661" s="93"/>
    </row>
    <row r="662" spans="1:15" x14ac:dyDescent="0.25">
      <c r="A662" s="114">
        <v>110</v>
      </c>
      <c r="B662" s="118" t="s">
        <v>90</v>
      </c>
      <c r="C662" s="118" t="s">
        <v>89</v>
      </c>
      <c r="D662" s="117">
        <v>5</v>
      </c>
      <c r="E662" s="116" t="s">
        <v>64</v>
      </c>
      <c r="F662" s="110">
        <v>1</v>
      </c>
      <c r="G662" s="115"/>
      <c r="H662" s="115"/>
      <c r="I662" s="100">
        <f t="shared" si="30"/>
        <v>5</v>
      </c>
      <c r="J662" s="94"/>
      <c r="K662" s="94"/>
      <c r="L662" s="94"/>
      <c r="M662" s="94"/>
      <c r="N662" s="94"/>
      <c r="O662" s="93"/>
    </row>
    <row r="663" spans="1:15" x14ac:dyDescent="0.25">
      <c r="A663" s="114">
        <v>120</v>
      </c>
      <c r="B663" s="118" t="s">
        <v>87</v>
      </c>
      <c r="C663" s="118" t="s">
        <v>86</v>
      </c>
      <c r="D663" s="117">
        <v>0.06</v>
      </c>
      <c r="E663" s="116" t="s">
        <v>64</v>
      </c>
      <c r="F663" s="110">
        <v>3</v>
      </c>
      <c r="G663" s="115"/>
      <c r="H663" s="115"/>
      <c r="I663" s="100">
        <f t="shared" si="30"/>
        <v>0.18</v>
      </c>
      <c r="J663" s="94"/>
      <c r="K663" s="94"/>
      <c r="L663" s="94"/>
      <c r="M663" s="94"/>
      <c r="N663" s="94"/>
      <c r="O663" s="93"/>
    </row>
    <row r="664" spans="1:15" x14ac:dyDescent="0.25">
      <c r="A664" s="114">
        <v>130</v>
      </c>
      <c r="B664" s="118" t="s">
        <v>85</v>
      </c>
      <c r="C664" s="118" t="s">
        <v>88</v>
      </c>
      <c r="D664" s="117">
        <v>0.75</v>
      </c>
      <c r="E664" s="116" t="s">
        <v>64</v>
      </c>
      <c r="F664" s="110">
        <v>1</v>
      </c>
      <c r="G664" s="115"/>
      <c r="H664" s="115"/>
      <c r="I664" s="100">
        <f t="shared" si="30"/>
        <v>0.75</v>
      </c>
      <c r="J664" s="94"/>
      <c r="K664" s="94"/>
      <c r="L664" s="94"/>
      <c r="M664" s="94"/>
      <c r="N664" s="94"/>
      <c r="O664" s="93"/>
    </row>
    <row r="665" spans="1:15" x14ac:dyDescent="0.25">
      <c r="A665" s="114">
        <v>140</v>
      </c>
      <c r="B665" s="118" t="s">
        <v>84</v>
      </c>
      <c r="C665" s="118" t="s">
        <v>88</v>
      </c>
      <c r="D665" s="117">
        <v>0.25</v>
      </c>
      <c r="E665" s="116" t="s">
        <v>64</v>
      </c>
      <c r="F665" s="110">
        <v>1</v>
      </c>
      <c r="G665" s="115"/>
      <c r="H665" s="115"/>
      <c r="I665" s="100">
        <f t="shared" si="30"/>
        <v>0.25</v>
      </c>
      <c r="J665" s="94"/>
      <c r="K665" s="94"/>
      <c r="L665" s="94"/>
      <c r="M665" s="94"/>
      <c r="N665" s="94"/>
      <c r="O665" s="93"/>
    </row>
    <row r="666" spans="1:15" x14ac:dyDescent="0.25">
      <c r="A666" s="114">
        <v>150</v>
      </c>
      <c r="B666" s="118" t="s">
        <v>87</v>
      </c>
      <c r="C666" s="118" t="s">
        <v>86</v>
      </c>
      <c r="D666" s="117">
        <v>0.06</v>
      </c>
      <c r="E666" s="116" t="s">
        <v>64</v>
      </c>
      <c r="F666" s="110">
        <v>3</v>
      </c>
      <c r="G666" s="115"/>
      <c r="H666" s="115"/>
      <c r="I666" s="100">
        <f t="shared" si="30"/>
        <v>0.18</v>
      </c>
      <c r="J666" s="94"/>
      <c r="K666" s="94"/>
      <c r="L666" s="94"/>
      <c r="M666" s="94"/>
      <c r="N666" s="94"/>
      <c r="O666" s="93"/>
    </row>
    <row r="667" spans="1:15" x14ac:dyDescent="0.25">
      <c r="A667" s="114">
        <v>160</v>
      </c>
      <c r="B667" s="118" t="s">
        <v>85</v>
      </c>
      <c r="C667" s="118" t="s">
        <v>83</v>
      </c>
      <c r="D667" s="117">
        <v>0.75</v>
      </c>
      <c r="E667" s="116" t="s">
        <v>64</v>
      </c>
      <c r="F667" s="110">
        <v>1</v>
      </c>
      <c r="G667" s="119"/>
      <c r="H667" s="119"/>
      <c r="I667" s="100">
        <f t="shared" si="30"/>
        <v>0.75</v>
      </c>
      <c r="J667" s="94"/>
      <c r="K667" s="94"/>
      <c r="L667" s="94"/>
      <c r="M667" s="94"/>
      <c r="N667" s="94"/>
      <c r="O667" s="93"/>
    </row>
    <row r="668" spans="1:15" x14ac:dyDescent="0.25">
      <c r="A668" s="114">
        <v>170</v>
      </c>
      <c r="B668" s="118" t="s">
        <v>84</v>
      </c>
      <c r="C668" s="118" t="s">
        <v>83</v>
      </c>
      <c r="D668" s="117">
        <v>0.25</v>
      </c>
      <c r="E668" s="116" t="s">
        <v>64</v>
      </c>
      <c r="F668" s="110">
        <v>1</v>
      </c>
      <c r="G668" s="115"/>
      <c r="H668" s="115"/>
      <c r="I668" s="100">
        <f t="shared" si="30"/>
        <v>0.25</v>
      </c>
      <c r="J668" s="94"/>
      <c r="K668" s="94"/>
      <c r="L668" s="94"/>
      <c r="M668" s="94"/>
      <c r="N668" s="94"/>
      <c r="O668" s="93"/>
    </row>
    <row r="669" spans="1:15" x14ac:dyDescent="0.25">
      <c r="A669" s="98"/>
      <c r="B669" s="95"/>
      <c r="C669" s="95"/>
      <c r="D669" s="95"/>
      <c r="E669" s="95"/>
      <c r="F669" s="95"/>
      <c r="G669" s="95"/>
      <c r="H669" s="97" t="s">
        <v>58</v>
      </c>
      <c r="I669" s="96">
        <f>SUM(I652:I668)</f>
        <v>16.829999999999998</v>
      </c>
      <c r="J669" s="94"/>
      <c r="K669" s="94"/>
      <c r="L669" s="94"/>
      <c r="M669" s="94"/>
      <c r="N669" s="94"/>
      <c r="O669" s="93"/>
    </row>
    <row r="670" spans="1:15" x14ac:dyDescent="0.25">
      <c r="A670" s="107"/>
      <c r="B670" s="94"/>
      <c r="C670" s="94"/>
      <c r="D670" s="94"/>
      <c r="E670" s="94"/>
      <c r="F670" s="94"/>
      <c r="G670" s="94"/>
      <c r="H670" s="94"/>
      <c r="I670" s="94"/>
      <c r="J670" s="94"/>
      <c r="K670" s="94"/>
      <c r="L670" s="94"/>
      <c r="M670" s="94"/>
      <c r="N670" s="94"/>
      <c r="O670" s="93"/>
    </row>
    <row r="671" spans="1:15" x14ac:dyDescent="0.25">
      <c r="A671" s="106" t="s">
        <v>67</v>
      </c>
      <c r="B671" s="106" t="s">
        <v>82</v>
      </c>
      <c r="C671" s="106" t="s">
        <v>66</v>
      </c>
      <c r="D671" s="106" t="s">
        <v>65</v>
      </c>
      <c r="E671" s="106" t="s">
        <v>81</v>
      </c>
      <c r="F671" s="106" t="s">
        <v>80</v>
      </c>
      <c r="G671" s="106" t="s">
        <v>79</v>
      </c>
      <c r="H671" s="106" t="s">
        <v>78</v>
      </c>
      <c r="I671" s="106" t="s">
        <v>40</v>
      </c>
      <c r="J671" s="106" t="s">
        <v>58</v>
      </c>
      <c r="K671" s="94"/>
      <c r="L671" s="94"/>
      <c r="M671" s="94"/>
      <c r="N671" s="94"/>
      <c r="O671" s="93"/>
    </row>
    <row r="672" spans="1:15" ht="30" x14ac:dyDescent="0.25">
      <c r="A672" s="114">
        <v>10</v>
      </c>
      <c r="B672" s="113" t="s">
        <v>72</v>
      </c>
      <c r="C672" s="104" t="s">
        <v>77</v>
      </c>
      <c r="D672" s="112">
        <v>0.34</v>
      </c>
      <c r="E672" s="110">
        <v>6</v>
      </c>
      <c r="F672" s="111" t="s">
        <v>68</v>
      </c>
      <c r="G672" s="110">
        <v>30</v>
      </c>
      <c r="H672" s="109" t="s">
        <v>68</v>
      </c>
      <c r="I672" s="108">
        <v>5</v>
      </c>
      <c r="J672" s="100">
        <f t="shared" ref="J672:J682" si="31">I672*D672</f>
        <v>1.7000000000000002</v>
      </c>
      <c r="K672" s="94"/>
      <c r="L672" s="94"/>
      <c r="M672" s="94"/>
      <c r="N672" s="94"/>
      <c r="O672" s="93"/>
    </row>
    <row r="673" spans="1:15" ht="30" x14ac:dyDescent="0.25">
      <c r="A673" s="114">
        <v>20</v>
      </c>
      <c r="B673" s="113" t="s">
        <v>75</v>
      </c>
      <c r="C673" s="104" t="s">
        <v>77</v>
      </c>
      <c r="D673" s="112">
        <v>7.0000000000000007E-2</v>
      </c>
      <c r="E673" s="110">
        <v>6</v>
      </c>
      <c r="F673" s="111" t="s">
        <v>68</v>
      </c>
      <c r="G673" s="110"/>
      <c r="H673" s="109"/>
      <c r="I673" s="108">
        <v>5</v>
      </c>
      <c r="J673" s="100">
        <f t="shared" si="31"/>
        <v>0.35000000000000003</v>
      </c>
      <c r="K673" s="94"/>
      <c r="L673" s="94"/>
      <c r="M673" s="94"/>
      <c r="N673" s="94"/>
      <c r="O673" s="93"/>
    </row>
    <row r="674" spans="1:15" ht="30" x14ac:dyDescent="0.25">
      <c r="A674" s="114">
        <v>30</v>
      </c>
      <c r="B674" s="113" t="s">
        <v>74</v>
      </c>
      <c r="C674" s="104" t="s">
        <v>77</v>
      </c>
      <c r="D674" s="112">
        <v>0.01</v>
      </c>
      <c r="E674" s="110"/>
      <c r="F674" s="111" t="s">
        <v>64</v>
      </c>
      <c r="G674" s="110"/>
      <c r="H674" s="109"/>
      <c r="I674" s="108">
        <v>10</v>
      </c>
      <c r="J674" s="100">
        <f t="shared" si="31"/>
        <v>0.1</v>
      </c>
      <c r="K674" s="94"/>
      <c r="L674" s="94"/>
      <c r="M674" s="94"/>
      <c r="N674" s="94"/>
      <c r="O674" s="93"/>
    </row>
    <row r="675" spans="1:15" x14ac:dyDescent="0.25">
      <c r="A675" s="114">
        <v>40</v>
      </c>
      <c r="B675" s="113" t="s">
        <v>72</v>
      </c>
      <c r="C675" s="104" t="s">
        <v>76</v>
      </c>
      <c r="D675" s="112">
        <v>0.08</v>
      </c>
      <c r="E675" s="110">
        <v>6</v>
      </c>
      <c r="F675" s="111" t="s">
        <v>68</v>
      </c>
      <c r="G675" s="110">
        <v>20</v>
      </c>
      <c r="H675" s="109" t="s">
        <v>68</v>
      </c>
      <c r="I675" s="108">
        <v>1</v>
      </c>
      <c r="J675" s="100">
        <f t="shared" si="31"/>
        <v>0.08</v>
      </c>
      <c r="K675" s="94"/>
      <c r="L675" s="94"/>
      <c r="M675" s="94"/>
      <c r="N675" s="94"/>
      <c r="O675" s="93"/>
    </row>
    <row r="676" spans="1:15" x14ac:dyDescent="0.25">
      <c r="A676" s="114">
        <v>50</v>
      </c>
      <c r="B676" s="113" t="s">
        <v>75</v>
      </c>
      <c r="C676" s="104" t="s">
        <v>76</v>
      </c>
      <c r="D676" s="112">
        <v>0.04</v>
      </c>
      <c r="E676" s="110">
        <v>6</v>
      </c>
      <c r="F676" s="111" t="s">
        <v>68</v>
      </c>
      <c r="G676" s="110"/>
      <c r="H676" s="109"/>
      <c r="I676" s="108">
        <v>1</v>
      </c>
      <c r="J676" s="100">
        <f t="shared" si="31"/>
        <v>0.04</v>
      </c>
      <c r="K676" s="94"/>
      <c r="L676" s="94"/>
      <c r="M676" s="94"/>
      <c r="N676" s="94"/>
      <c r="O676" s="93"/>
    </row>
    <row r="677" spans="1:15" x14ac:dyDescent="0.25">
      <c r="A677" s="114">
        <v>60</v>
      </c>
      <c r="B677" s="113" t="s">
        <v>74</v>
      </c>
      <c r="C677" s="104" t="s">
        <v>76</v>
      </c>
      <c r="D677" s="112">
        <v>0.01</v>
      </c>
      <c r="E677" s="110"/>
      <c r="F677" s="111" t="s">
        <v>64</v>
      </c>
      <c r="G677" s="110"/>
      <c r="H677" s="109"/>
      <c r="I677" s="108">
        <v>2</v>
      </c>
      <c r="J677" s="100">
        <f t="shared" si="31"/>
        <v>0.02</v>
      </c>
      <c r="K677" s="94"/>
      <c r="L677" s="94"/>
      <c r="M677" s="94"/>
      <c r="N677" s="94"/>
      <c r="O677" s="93"/>
    </row>
    <row r="678" spans="1:15" x14ac:dyDescent="0.25">
      <c r="A678" s="114">
        <v>70</v>
      </c>
      <c r="B678" s="113" t="s">
        <v>72</v>
      </c>
      <c r="C678" s="104" t="s">
        <v>73</v>
      </c>
      <c r="D678" s="112">
        <v>0.04</v>
      </c>
      <c r="E678" s="110">
        <v>6</v>
      </c>
      <c r="F678" s="111" t="s">
        <v>68</v>
      </c>
      <c r="G678" s="110">
        <v>20</v>
      </c>
      <c r="H678" s="109" t="s">
        <v>68</v>
      </c>
      <c r="I678" s="108">
        <v>1</v>
      </c>
      <c r="J678" s="100">
        <f t="shared" si="31"/>
        <v>0.04</v>
      </c>
      <c r="K678" s="94"/>
      <c r="L678" s="94"/>
      <c r="M678" s="94"/>
      <c r="N678" s="94"/>
      <c r="O678" s="93"/>
    </row>
    <row r="679" spans="1:15" x14ac:dyDescent="0.25">
      <c r="A679" s="114">
        <v>80</v>
      </c>
      <c r="B679" s="113" t="s">
        <v>75</v>
      </c>
      <c r="C679" s="104" t="s">
        <v>73</v>
      </c>
      <c r="D679" s="112">
        <v>0.03</v>
      </c>
      <c r="E679" s="110">
        <v>6</v>
      </c>
      <c r="F679" s="111" t="s">
        <v>68</v>
      </c>
      <c r="G679" s="110"/>
      <c r="H679" s="109"/>
      <c r="I679" s="108">
        <v>1</v>
      </c>
      <c r="J679" s="100">
        <f t="shared" si="31"/>
        <v>0.03</v>
      </c>
      <c r="K679" s="94"/>
      <c r="L679" s="94"/>
      <c r="M679" s="94"/>
      <c r="N679" s="94"/>
      <c r="O679" s="93"/>
    </row>
    <row r="680" spans="1:15" x14ac:dyDescent="0.25">
      <c r="A680" s="114">
        <v>90</v>
      </c>
      <c r="B680" s="113" t="s">
        <v>74</v>
      </c>
      <c r="C680" s="104" t="s">
        <v>73</v>
      </c>
      <c r="D680" s="112">
        <v>0.01</v>
      </c>
      <c r="E680" s="110"/>
      <c r="F680" s="111" t="s">
        <v>64</v>
      </c>
      <c r="G680" s="110"/>
      <c r="H680" s="109"/>
      <c r="I680" s="108">
        <v>2</v>
      </c>
      <c r="J680" s="100">
        <f t="shared" si="31"/>
        <v>0.02</v>
      </c>
      <c r="K680" s="94"/>
      <c r="L680" s="94"/>
      <c r="M680" s="94"/>
      <c r="N680" s="94"/>
      <c r="O680" s="93"/>
    </row>
    <row r="681" spans="1:15" ht="30" x14ac:dyDescent="0.25">
      <c r="A681" s="114">
        <v>100</v>
      </c>
      <c r="B681" s="113" t="s">
        <v>72</v>
      </c>
      <c r="C681" s="104" t="s">
        <v>71</v>
      </c>
      <c r="D681" s="112">
        <v>0.08</v>
      </c>
      <c r="E681" s="110">
        <v>8</v>
      </c>
      <c r="F681" s="111" t="s">
        <v>68</v>
      </c>
      <c r="G681" s="110">
        <v>20</v>
      </c>
      <c r="H681" s="109" t="s">
        <v>68</v>
      </c>
      <c r="I681" s="108">
        <v>1</v>
      </c>
      <c r="J681" s="100">
        <f t="shared" si="31"/>
        <v>0.08</v>
      </c>
      <c r="K681" s="94"/>
      <c r="L681" s="94"/>
      <c r="M681" s="94"/>
      <c r="N681" s="94"/>
      <c r="O681" s="93"/>
    </row>
    <row r="682" spans="1:15" ht="30" x14ac:dyDescent="0.25">
      <c r="A682" s="114">
        <v>110</v>
      </c>
      <c r="B682" s="113" t="s">
        <v>70</v>
      </c>
      <c r="C682" s="104" t="s">
        <v>69</v>
      </c>
      <c r="D682" s="112">
        <v>0.5</v>
      </c>
      <c r="E682" s="110">
        <v>52</v>
      </c>
      <c r="F682" s="111" t="s">
        <v>68</v>
      </c>
      <c r="G682" s="110"/>
      <c r="H682" s="109"/>
      <c r="I682" s="108">
        <v>1</v>
      </c>
      <c r="J682" s="100">
        <f t="shared" si="31"/>
        <v>0.5</v>
      </c>
      <c r="K682" s="94"/>
      <c r="L682" s="94"/>
      <c r="M682" s="94"/>
      <c r="N682" s="94"/>
      <c r="O682" s="93"/>
    </row>
    <row r="683" spans="1:15" x14ac:dyDescent="0.25">
      <c r="A683" s="98"/>
      <c r="B683" s="95"/>
      <c r="C683" s="95"/>
      <c r="D683" s="95"/>
      <c r="E683" s="95"/>
      <c r="F683" s="95"/>
      <c r="G683" s="95"/>
      <c r="H683" s="95"/>
      <c r="I683" s="97" t="s">
        <v>58</v>
      </c>
      <c r="J683" s="96">
        <f>SUM(J672:J682)</f>
        <v>2.9600000000000004</v>
      </c>
      <c r="K683" s="94"/>
      <c r="L683" s="94"/>
      <c r="M683" s="94"/>
      <c r="N683" s="94"/>
      <c r="O683" s="93"/>
    </row>
    <row r="684" spans="1:15" x14ac:dyDescent="0.25">
      <c r="A684" s="107"/>
      <c r="B684" s="94"/>
      <c r="C684" s="94"/>
      <c r="D684" s="94"/>
      <c r="E684" s="94"/>
      <c r="F684" s="94"/>
      <c r="G684" s="94"/>
      <c r="H684" s="94"/>
      <c r="I684" s="94"/>
      <c r="J684" s="94"/>
      <c r="K684" s="94"/>
      <c r="L684" s="94"/>
      <c r="M684" s="94"/>
      <c r="N684" s="94"/>
      <c r="O684" s="93"/>
    </row>
    <row r="685" spans="1:15" x14ac:dyDescent="0.25">
      <c r="A685" s="106" t="s">
        <v>67</v>
      </c>
      <c r="B685" s="106" t="s">
        <v>13</v>
      </c>
      <c r="C685" s="106" t="s">
        <v>66</v>
      </c>
      <c r="D685" s="106" t="s">
        <v>65</v>
      </c>
      <c r="E685" s="106" t="s">
        <v>64</v>
      </c>
      <c r="F685" s="106" t="s">
        <v>40</v>
      </c>
      <c r="G685" s="106" t="s">
        <v>63</v>
      </c>
      <c r="H685" s="106" t="s">
        <v>62</v>
      </c>
      <c r="I685" s="106" t="s">
        <v>58</v>
      </c>
      <c r="J685" s="95"/>
      <c r="K685" s="94"/>
      <c r="L685" s="94"/>
      <c r="M685" s="94"/>
      <c r="N685" s="94"/>
      <c r="O685" s="93"/>
    </row>
    <row r="686" spans="1:15" x14ac:dyDescent="0.25">
      <c r="A686" s="105">
        <v>10</v>
      </c>
      <c r="B686" s="104" t="s">
        <v>61</v>
      </c>
      <c r="C686" s="104" t="s">
        <v>60</v>
      </c>
      <c r="D686" s="103">
        <v>500</v>
      </c>
      <c r="E686" s="102" t="s">
        <v>59</v>
      </c>
      <c r="F686" s="101">
        <v>2</v>
      </c>
      <c r="G686" s="101">
        <v>3000</v>
      </c>
      <c r="H686" s="101">
        <v>2</v>
      </c>
      <c r="I686" s="100">
        <f>D686*F686/G686*H686</f>
        <v>0.66666666666666663</v>
      </c>
      <c r="J686" s="99"/>
      <c r="K686" s="94"/>
      <c r="L686" s="94"/>
      <c r="M686" s="94"/>
      <c r="N686" s="94"/>
      <c r="O686" s="93"/>
    </row>
    <row r="687" spans="1:15" x14ac:dyDescent="0.25">
      <c r="A687" s="98"/>
      <c r="B687" s="95"/>
      <c r="C687" s="95"/>
      <c r="D687" s="95"/>
      <c r="E687" s="95"/>
      <c r="F687" s="95"/>
      <c r="G687" s="95"/>
      <c r="H687" s="97" t="s">
        <v>58</v>
      </c>
      <c r="I687" s="96">
        <f>SUM(I686)</f>
        <v>0.66666666666666663</v>
      </c>
      <c r="J687" s="95"/>
      <c r="K687" s="94"/>
      <c r="L687" s="94"/>
      <c r="M687" s="94"/>
      <c r="N687" s="94"/>
      <c r="O687" s="93"/>
    </row>
    <row r="688" spans="1:15" ht="15.75" thickBot="1" x14ac:dyDescent="0.3">
      <c r="A688" s="92"/>
      <c r="B688" s="91"/>
      <c r="C688" s="91"/>
      <c r="D688" s="91"/>
      <c r="E688" s="91"/>
      <c r="F688" s="91"/>
      <c r="G688" s="91"/>
      <c r="H688" s="91"/>
      <c r="I688" s="91"/>
      <c r="J688" s="91"/>
      <c r="K688" s="91"/>
      <c r="L688" s="91"/>
      <c r="M688" s="91"/>
      <c r="N688" s="91"/>
      <c r="O688" s="90"/>
    </row>
  </sheetData>
  <hyperlinks>
    <hyperlink ref="B10" location="EN_01001" display="EN_01001"/>
    <hyperlink ref="B11" location="EN_01002" display="EN_01002"/>
    <hyperlink ref="B12" location="EN_01003" display="EN_01003"/>
    <hyperlink ref="B13" location="EN_01004" display="EN_01004"/>
    <hyperlink ref="B14" location="EN_01005" display="EN_01005"/>
    <hyperlink ref="B15" location="EN_01006" display="EN_01006"/>
    <hyperlink ref="B62" location="EN_02001" display="EN_02001"/>
    <hyperlink ref="B63" location="EN_02002" display="EN_02002"/>
    <hyperlink ref="B64" location="EN_02003" display="EN_02003"/>
    <hyperlink ref="B65" location="EN_02004" display="EN_02004"/>
    <hyperlink ref="B66" location="EN_02005" display="EN_02005"/>
    <hyperlink ref="B67" location="EN_02006" display="EN_02006"/>
    <hyperlink ref="B68" location="EN_02007" display="EN_02007"/>
    <hyperlink ref="B69" location="EN_02008" display="EN_02008"/>
    <hyperlink ref="B118" location="EN_03001" display="EN_03001"/>
    <hyperlink ref="B119" location="En_03002" display="En_03002"/>
    <hyperlink ref="B120" location="EN_03003" display="EN_03003"/>
    <hyperlink ref="B121" location="EN_03004" display="EN_03004"/>
    <hyperlink ref="B122" location="EN_03005" display="EN_03005"/>
    <hyperlink ref="B123" location="EN_03006" display="EN_03006"/>
    <hyperlink ref="B237" location="EN_05001" display="EN_05001"/>
    <hyperlink ref="B238" location="EN_05002" display="EN_05002"/>
    <hyperlink ref="B170" location="EN_04001" display="EN_04001"/>
    <hyperlink ref="B171" location="EN_04002" display="EN_04002"/>
    <hyperlink ref="B172" location="EN_04003" display="EN_04003"/>
    <hyperlink ref="B173" location="EN_04004" display="EN_04004"/>
    <hyperlink ref="B174" location="EN_04005" display="EN_04005"/>
    <hyperlink ref="B175" location="EN_04006" display="EN_04006"/>
    <hyperlink ref="B287" location="EN_06001" display="EN_06001"/>
    <hyperlink ref="B288" location="EN_06002" display="EN_06002"/>
    <hyperlink ref="B239" location="EN_05003" display="EN_05003"/>
    <hyperlink ref="B240" location="EN_05004" display="EN_05004"/>
    <hyperlink ref="B241" location="EN_05005" display="EN_05005"/>
    <hyperlink ref="B242" location="EN_05006" display="EN_05006"/>
    <hyperlink ref="B352" location="EN_07001" display="EN_07001"/>
    <hyperlink ref="B353" location="EN_07002" display="EN_07002"/>
    <hyperlink ref="B289" location="EN_06003" display="EN_06003"/>
    <hyperlink ref="B290" location="EN_06004" display="EN_06004"/>
    <hyperlink ref="B291" location="EN_06005" display="EN_06005"/>
    <hyperlink ref="B292" location="EN_06006" display="EN_06006"/>
    <hyperlink ref="B293" location="EN_06007" display="EN_06007"/>
    <hyperlink ref="B294" location="EN_06008" display="EN_06008"/>
    <hyperlink ref="B295" location="EN_06009" display="EN_06009"/>
    <hyperlink ref="B393" location="EN_08001" display="EN_08001"/>
    <hyperlink ref="B394" location="EN_08002" display="EN_08002"/>
    <hyperlink ref="B445" location="EN_09001" display="EN_09001"/>
    <hyperlink ref="B446" location="EN_09002" display="EN_09002"/>
    <hyperlink ref="B395" location="EN_08003" display="EN_08003"/>
    <hyperlink ref="B396" location="EN_08004" display="EN_08004"/>
    <hyperlink ref="B397" location="EN_08005" display="EN_08005"/>
    <hyperlink ref="B398" location="EN_08006" display="EN_08006"/>
    <hyperlink ref="B399" location="EN_08007" display="EN_08007"/>
    <hyperlink ref="B400" location="EN_08008" display="EN_08008"/>
    <hyperlink ref="B539" location="EN_10001" display="EN_10001"/>
    <hyperlink ref="B540" location="EN_10002" display="EN_10002"/>
    <hyperlink ref="B447" location="EN_09003" display="EN_09003"/>
    <hyperlink ref="B448" location="EN_09004" display="EN_09004"/>
    <hyperlink ref="B449" location="EN_09005" display="EN_09005"/>
    <hyperlink ref="B450" location="EN_09006" display="EN_09006"/>
    <hyperlink ref="B593" location="EN_11001" display="EN_11001"/>
    <hyperlink ref="B594" location="EN_11002" display="EN_11002"/>
    <hyperlink ref="B541" location="EN_10003" display="EN_10003"/>
    <hyperlink ref="B542" location="EN_10004" display="EN_10004"/>
    <hyperlink ref="B543" location="EN_10005" display="EN_10005"/>
    <hyperlink ref="B544" location="EN_10006" display="EN_10006"/>
    <hyperlink ref="B545" location="EN_10006" display="EN_10006"/>
    <hyperlink ref="B546" location="EN_10008" display="EN_10008"/>
    <hyperlink ref="B639" location="EN_12001" display="EN_12001"/>
    <hyperlink ref="B640" location="EN_12002" display="EN_12002"/>
    <hyperlink ref="B595" location="EN_11003" display="EN_11003"/>
    <hyperlink ref="B596" location="EN_11004" display="EN_11004"/>
    <hyperlink ref="B641" location="EN_12003" display="EN_12003"/>
    <hyperlink ref="B642" location="EN_12004" display="EN_12004"/>
    <hyperlink ref="B643" location="EN_12005" display="EN_12005"/>
    <hyperlink ref="B644" location="EN_12006" display="EN_12006"/>
  </hyperlinks>
  <pageMargins left="0.7" right="0.7" top="0.75" bottom="0.75" header="0.51180555555555496" footer="0.3"/>
  <pageSetup paperSize="9" scale="66" firstPageNumber="0" fitToHeight="0" orientation="landscape" r:id="rId1"/>
  <headerFooter>
    <oddFooter>&amp;C&amp;P</oddFooter>
  </headerFooter>
  <rowBreaks count="23" manualBreakCount="23">
    <brk id="35" max="16383" man="1"/>
    <brk id="51" max="16383" man="1"/>
    <brk id="90" max="14" man="1"/>
    <brk id="107" max="16383" man="1"/>
    <brk id="141" max="16383" man="1"/>
    <brk id="159" max="16383" man="1"/>
    <brk id="190" max="16383" man="1"/>
    <brk id="213" max="16383" man="1"/>
    <brk id="226" max="16383" man="1"/>
    <brk id="266" max="16383" man="1"/>
    <brk id="276" max="16383" man="1"/>
    <brk id="341" max="16383" man="1"/>
    <brk id="374" max="16383" man="1"/>
    <brk id="382" max="16383" man="1"/>
    <brk id="417" max="16383" man="1"/>
    <brk id="434" max="16383" man="1"/>
    <brk id="528" max="16383" man="1"/>
    <brk id="554" max="16383" man="1"/>
    <brk id="568" max="16383" man="1"/>
    <brk id="582" max="16383" man="1"/>
    <brk id="619" max="16383" man="1"/>
    <brk id="628" max="16383" man="1"/>
    <brk id="669" max="14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O1785"/>
  <sheetViews>
    <sheetView zoomScale="80" zoomScaleNormal="80" zoomScaleSheetLayoutView="80" workbookViewId="0"/>
  </sheetViews>
  <sheetFormatPr baseColWidth="10" defaultColWidth="9.140625" defaultRowHeight="15" x14ac:dyDescent="0.25"/>
  <cols>
    <col min="1" max="1" width="9.140625" style="89"/>
    <col min="2" max="2" width="28.28515625" style="89" customWidth="1"/>
    <col min="3" max="3" width="37.140625" style="89" customWidth="1"/>
    <col min="4" max="4" width="11.85546875" style="89" customWidth="1"/>
    <col min="5" max="6" width="9.140625" style="89"/>
    <col min="7" max="7" width="20.85546875" style="89" customWidth="1"/>
    <col min="8" max="8" width="9.140625" style="89"/>
    <col min="9" max="9" width="21.42578125" style="89" customWidth="1"/>
    <col min="10" max="10" width="14" style="89" customWidth="1"/>
    <col min="11" max="11" width="9.140625" style="89"/>
    <col min="12" max="12" width="12.28515625" style="89" customWidth="1"/>
    <col min="13" max="13" width="9.140625" style="89"/>
    <col min="14" max="14" width="12.140625" style="89" customWidth="1"/>
    <col min="15" max="15" width="3.140625" style="89" customWidth="1"/>
    <col min="16" max="16384" width="9.140625" style="89"/>
  </cols>
  <sheetData>
    <row r="1" spans="1:15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5" x14ac:dyDescent="0.25">
      <c r="A2" s="267" t="s">
        <v>57</v>
      </c>
      <c r="B2" s="133" t="s">
        <v>523</v>
      </c>
      <c r="C2" s="94"/>
      <c r="D2" s="94"/>
      <c r="E2" s="94"/>
      <c r="F2" s="94"/>
      <c r="G2" s="94"/>
      <c r="H2" s="94"/>
      <c r="I2" s="94"/>
      <c r="J2" s="271" t="s">
        <v>51</v>
      </c>
      <c r="K2" s="138">
        <v>81</v>
      </c>
      <c r="L2" s="94"/>
      <c r="M2" s="267" t="s">
        <v>113</v>
      </c>
      <c r="N2" s="100">
        <f>EN_01001_m</f>
        <v>1500</v>
      </c>
      <c r="O2" s="93"/>
    </row>
    <row r="3" spans="1:15" x14ac:dyDescent="0.25">
      <c r="A3" s="267" t="s">
        <v>125</v>
      </c>
      <c r="B3" s="133" t="s">
        <v>21</v>
      </c>
      <c r="C3" s="94"/>
      <c r="D3" s="267" t="s">
        <v>122</v>
      </c>
      <c r="E3" s="547"/>
      <c r="F3" s="94"/>
      <c r="G3" s="94"/>
      <c r="H3" s="94"/>
      <c r="I3" s="94"/>
      <c r="J3" s="94"/>
      <c r="K3" s="94"/>
      <c r="L3" s="94"/>
      <c r="M3" s="267" t="s">
        <v>124</v>
      </c>
      <c r="N3" s="136">
        <v>1</v>
      </c>
      <c r="O3" s="93"/>
    </row>
    <row r="4" spans="1:15" x14ac:dyDescent="0.25">
      <c r="A4" s="267" t="s">
        <v>123</v>
      </c>
      <c r="B4" s="270" t="str">
        <f>'EN Assemblies'!B4</f>
        <v>Engine</v>
      </c>
      <c r="C4" s="94"/>
      <c r="D4" s="267" t="s">
        <v>119</v>
      </c>
      <c r="E4" s="94"/>
      <c r="F4" s="94"/>
      <c r="G4" s="94"/>
      <c r="H4" s="94"/>
      <c r="I4" s="94"/>
      <c r="J4" s="268" t="s">
        <v>122</v>
      </c>
      <c r="K4" s="94"/>
      <c r="L4" s="94"/>
      <c r="M4" s="94"/>
      <c r="N4" s="94"/>
      <c r="O4" s="93"/>
    </row>
    <row r="5" spans="1:15" x14ac:dyDescent="0.25">
      <c r="A5" s="267" t="s">
        <v>114</v>
      </c>
      <c r="B5" s="135" t="s">
        <v>1086</v>
      </c>
      <c r="C5" s="94"/>
      <c r="D5" s="267" t="s">
        <v>116</v>
      </c>
      <c r="E5" s="94"/>
      <c r="F5" s="94"/>
      <c r="G5" s="94"/>
      <c r="H5" s="94"/>
      <c r="I5" s="94"/>
      <c r="J5" s="268" t="s">
        <v>119</v>
      </c>
      <c r="K5" s="94"/>
      <c r="L5" s="94"/>
      <c r="M5" s="267" t="s">
        <v>118</v>
      </c>
      <c r="N5" s="100">
        <f>N3*N2</f>
        <v>1500</v>
      </c>
      <c r="O5" s="93"/>
    </row>
    <row r="6" spans="1:15" x14ac:dyDescent="0.25">
      <c r="A6" s="267" t="s">
        <v>121</v>
      </c>
      <c r="B6" s="269" t="s">
        <v>1085</v>
      </c>
      <c r="C6" s="94"/>
      <c r="D6" s="94"/>
      <c r="E6" s="94"/>
      <c r="F6" s="94"/>
      <c r="G6" s="94"/>
      <c r="H6" s="94"/>
      <c r="I6" s="94"/>
      <c r="J6" s="268" t="s">
        <v>116</v>
      </c>
      <c r="K6" s="94"/>
      <c r="L6" s="94"/>
      <c r="M6" s="94"/>
      <c r="N6" s="94"/>
      <c r="O6" s="93"/>
    </row>
    <row r="7" spans="1:15" x14ac:dyDescent="0.25">
      <c r="A7" s="267" t="s">
        <v>117</v>
      </c>
      <c r="B7" s="133" t="s">
        <v>23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5" x14ac:dyDescent="0.25">
      <c r="A8" s="267" t="s">
        <v>115</v>
      </c>
      <c r="B8" s="194" t="s">
        <v>1084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5" x14ac:dyDescent="0.25">
      <c r="A9" s="266"/>
      <c r="B9" s="265"/>
      <c r="C9" s="265"/>
      <c r="D9" s="265"/>
      <c r="E9" s="265"/>
      <c r="F9" s="94"/>
      <c r="G9" s="94"/>
      <c r="H9" s="94"/>
      <c r="I9" s="94"/>
      <c r="J9" s="94"/>
      <c r="K9" s="94"/>
      <c r="L9" s="94"/>
      <c r="M9" s="94"/>
      <c r="N9" s="94"/>
      <c r="O9" s="93"/>
    </row>
    <row r="10" spans="1:15" x14ac:dyDescent="0.25">
      <c r="A10" s="264" t="s">
        <v>67</v>
      </c>
      <c r="B10" s="263" t="s">
        <v>112</v>
      </c>
      <c r="C10" s="263" t="s">
        <v>66</v>
      </c>
      <c r="D10" s="263" t="s">
        <v>65</v>
      </c>
      <c r="E10" s="263" t="s">
        <v>81</v>
      </c>
      <c r="F10" s="274" t="s">
        <v>80</v>
      </c>
      <c r="G10" s="274" t="s">
        <v>79</v>
      </c>
      <c r="H10" s="274" t="s">
        <v>78</v>
      </c>
      <c r="I10" s="274" t="s">
        <v>111</v>
      </c>
      <c r="J10" s="274" t="s">
        <v>110</v>
      </c>
      <c r="K10" s="274" t="s">
        <v>109</v>
      </c>
      <c r="L10" s="274" t="s">
        <v>108</v>
      </c>
      <c r="M10" s="274" t="s">
        <v>40</v>
      </c>
      <c r="N10" s="274" t="s">
        <v>58</v>
      </c>
      <c r="O10" s="93"/>
    </row>
    <row r="11" spans="1:15" s="250" customFormat="1" ht="30" x14ac:dyDescent="0.25">
      <c r="A11" s="529">
        <v>10</v>
      </c>
      <c r="B11" s="338" t="s">
        <v>1083</v>
      </c>
      <c r="C11" s="282"/>
      <c r="D11" s="546">
        <v>2.5</v>
      </c>
      <c r="E11" s="282">
        <v>600</v>
      </c>
      <c r="F11" s="282" t="s">
        <v>1082</v>
      </c>
      <c r="G11" s="282"/>
      <c r="H11" s="542"/>
      <c r="I11" s="303"/>
      <c r="J11" s="545"/>
      <c r="K11" s="542"/>
      <c r="L11" s="542"/>
      <c r="M11" s="397">
        <v>600</v>
      </c>
      <c r="N11" s="276">
        <f>IF(J11="",D11*M11,D11*J11*K11*L11*M11)</f>
        <v>1500</v>
      </c>
      <c r="O11" s="143"/>
    </row>
    <row r="12" spans="1:15" x14ac:dyDescent="0.25">
      <c r="A12" s="98"/>
      <c r="B12" s="95"/>
      <c r="C12" s="95"/>
      <c r="D12" s="95"/>
      <c r="E12" s="95"/>
      <c r="F12" s="95"/>
      <c r="G12" s="95"/>
      <c r="H12" s="95"/>
      <c r="I12" s="95"/>
      <c r="J12" s="95"/>
      <c r="K12" s="95"/>
      <c r="L12" s="95"/>
      <c r="M12" s="479" t="s">
        <v>58</v>
      </c>
      <c r="N12" s="255">
        <f>SUM(N11:N11)</f>
        <v>1500</v>
      </c>
      <c r="O12" s="93"/>
    </row>
    <row r="13" spans="1:15" x14ac:dyDescent="0.25">
      <c r="A13" s="98"/>
      <c r="B13" s="95"/>
      <c r="C13" s="95"/>
      <c r="D13" s="95"/>
      <c r="E13" s="95"/>
      <c r="F13" s="95"/>
      <c r="G13" s="95"/>
      <c r="H13" s="95"/>
      <c r="I13" s="95"/>
      <c r="J13" s="95"/>
      <c r="K13" s="95"/>
      <c r="L13" s="95"/>
      <c r="M13" s="523"/>
      <c r="N13" s="522"/>
      <c r="O13" s="93"/>
    </row>
    <row r="14" spans="1:15" x14ac:dyDescent="0.25">
      <c r="A14" s="98"/>
      <c r="B14" s="95"/>
      <c r="C14" s="95"/>
      <c r="D14" s="95"/>
      <c r="E14" s="95"/>
      <c r="F14" s="95"/>
      <c r="G14" s="95"/>
      <c r="H14" s="95"/>
      <c r="I14" s="95"/>
      <c r="J14" s="95"/>
      <c r="K14" s="95"/>
      <c r="L14" s="95"/>
      <c r="M14" s="523"/>
      <c r="N14" s="522"/>
      <c r="O14" s="93"/>
    </row>
    <row r="15" spans="1:15" x14ac:dyDescent="0.25">
      <c r="A15" s="98"/>
      <c r="B15" s="95"/>
      <c r="C15" s="95"/>
      <c r="D15" s="95"/>
      <c r="E15" s="95"/>
      <c r="F15" s="95"/>
      <c r="G15" s="95"/>
      <c r="H15" s="95"/>
      <c r="I15" s="95"/>
      <c r="J15" s="95"/>
      <c r="K15" s="95"/>
      <c r="L15" s="95"/>
      <c r="M15" s="523"/>
      <c r="N15" s="522"/>
      <c r="O15" s="93"/>
    </row>
    <row r="16" spans="1:15" x14ac:dyDescent="0.25">
      <c r="A16" s="98"/>
      <c r="B16" s="95"/>
      <c r="C16" s="95"/>
      <c r="D16" s="95"/>
      <c r="E16" s="95"/>
      <c r="F16" s="95"/>
      <c r="G16" s="95"/>
      <c r="H16" s="95"/>
      <c r="I16" s="95"/>
      <c r="J16" s="95"/>
      <c r="K16" s="95"/>
      <c r="L16" s="95"/>
      <c r="M16" s="523"/>
      <c r="N16" s="522"/>
      <c r="O16" s="93"/>
    </row>
    <row r="17" spans="1:15" x14ac:dyDescent="0.25">
      <c r="A17" s="98"/>
      <c r="B17" s="95"/>
      <c r="C17" s="95"/>
      <c r="D17" s="95"/>
      <c r="E17" s="95"/>
      <c r="F17" s="95"/>
      <c r="G17" s="95"/>
      <c r="H17" s="95"/>
      <c r="I17" s="95"/>
      <c r="J17" s="95"/>
      <c r="K17" s="95"/>
      <c r="L17" s="95"/>
      <c r="M17" s="523"/>
      <c r="N17" s="522"/>
      <c r="O17" s="93"/>
    </row>
    <row r="18" spans="1:15" x14ac:dyDescent="0.25">
      <c r="A18" s="98"/>
      <c r="B18" s="95"/>
      <c r="C18" s="95"/>
      <c r="D18" s="95"/>
      <c r="E18" s="95"/>
      <c r="F18" s="95"/>
      <c r="G18" s="95"/>
      <c r="H18" s="95"/>
      <c r="I18" s="95"/>
      <c r="J18" s="95"/>
      <c r="K18" s="95"/>
      <c r="L18" s="95"/>
      <c r="M18" s="523"/>
      <c r="N18" s="522"/>
      <c r="O18" s="93"/>
    </row>
    <row r="19" spans="1:15" x14ac:dyDescent="0.25">
      <c r="A19" s="98"/>
      <c r="B19" s="95"/>
      <c r="C19" s="95"/>
      <c r="D19" s="95"/>
      <c r="E19" s="95"/>
      <c r="F19" s="95"/>
      <c r="G19" s="95"/>
      <c r="H19" s="95"/>
      <c r="I19" s="95"/>
      <c r="J19" s="95"/>
      <c r="K19" s="95"/>
      <c r="L19" s="95"/>
      <c r="M19" s="523"/>
      <c r="N19" s="522"/>
      <c r="O19" s="93"/>
    </row>
    <row r="20" spans="1:15" x14ac:dyDescent="0.25">
      <c r="A20" s="98"/>
      <c r="B20" s="95"/>
      <c r="C20" s="95"/>
      <c r="D20" s="95"/>
      <c r="E20" s="95"/>
      <c r="F20" s="95"/>
      <c r="G20" s="95"/>
      <c r="H20" s="95"/>
      <c r="I20" s="95"/>
      <c r="J20" s="95"/>
      <c r="K20" s="95"/>
      <c r="L20" s="95"/>
      <c r="M20" s="523"/>
      <c r="N20" s="522"/>
      <c r="O20" s="93"/>
    </row>
    <row r="21" spans="1:15" x14ac:dyDescent="0.25">
      <c r="A21" s="98"/>
      <c r="B21" s="95"/>
      <c r="C21" s="95"/>
      <c r="D21" s="95"/>
      <c r="E21" s="95"/>
      <c r="F21" s="95"/>
      <c r="G21" s="95"/>
      <c r="H21" s="95"/>
      <c r="I21" s="95"/>
      <c r="J21" s="95"/>
      <c r="K21" s="95"/>
      <c r="L21" s="95"/>
      <c r="M21" s="523"/>
      <c r="N21" s="522"/>
      <c r="O21" s="93"/>
    </row>
    <row r="22" spans="1:15" x14ac:dyDescent="0.25">
      <c r="A22" s="98"/>
      <c r="B22" s="95"/>
      <c r="C22" s="95"/>
      <c r="D22" s="95"/>
      <c r="E22" s="95"/>
      <c r="F22" s="95"/>
      <c r="G22" s="95"/>
      <c r="H22" s="95"/>
      <c r="I22" s="95"/>
      <c r="J22" s="95"/>
      <c r="K22" s="95"/>
      <c r="L22" s="95"/>
      <c r="M22" s="523"/>
      <c r="N22" s="522"/>
      <c r="O22" s="93"/>
    </row>
    <row r="23" spans="1:15" x14ac:dyDescent="0.25">
      <c r="A23" s="98"/>
      <c r="B23" s="95"/>
      <c r="C23" s="95"/>
      <c r="D23" s="95"/>
      <c r="E23" s="95"/>
      <c r="F23" s="95"/>
      <c r="G23" s="95"/>
      <c r="H23" s="95"/>
      <c r="I23" s="95"/>
      <c r="J23" s="95"/>
      <c r="K23" s="95"/>
      <c r="L23" s="95"/>
      <c r="M23" s="523"/>
      <c r="N23" s="522"/>
      <c r="O23" s="93"/>
    </row>
    <row r="24" spans="1:15" x14ac:dyDescent="0.25">
      <c r="A24" s="98"/>
      <c r="B24" s="95"/>
      <c r="C24" s="95"/>
      <c r="D24" s="95"/>
      <c r="E24" s="95"/>
      <c r="F24" s="95"/>
      <c r="G24" s="95"/>
      <c r="H24" s="95"/>
      <c r="I24" s="95"/>
      <c r="J24" s="95"/>
      <c r="K24" s="95"/>
      <c r="L24" s="95"/>
      <c r="M24" s="523"/>
      <c r="N24" s="522"/>
      <c r="O24" s="93"/>
    </row>
    <row r="25" spans="1:15" x14ac:dyDescent="0.25">
      <c r="A25" s="98"/>
      <c r="B25" s="95"/>
      <c r="C25" s="95"/>
      <c r="D25" s="95"/>
      <c r="E25" s="95"/>
      <c r="F25" s="95"/>
      <c r="G25" s="95"/>
      <c r="H25" s="95"/>
      <c r="I25" s="95"/>
      <c r="J25" s="95"/>
      <c r="K25" s="95"/>
      <c r="L25" s="95"/>
      <c r="M25" s="523"/>
      <c r="N25" s="522"/>
      <c r="O25" s="93"/>
    </row>
    <row r="26" spans="1:15" x14ac:dyDescent="0.25">
      <c r="A26" s="98"/>
      <c r="B26" s="95"/>
      <c r="C26" s="95"/>
      <c r="D26" s="95"/>
      <c r="E26" s="95"/>
      <c r="F26" s="95"/>
      <c r="G26" s="95"/>
      <c r="H26" s="95"/>
      <c r="I26" s="95"/>
      <c r="J26" s="95"/>
      <c r="K26" s="95"/>
      <c r="L26" s="95"/>
      <c r="M26" s="523"/>
      <c r="N26" s="522"/>
      <c r="O26" s="93"/>
    </row>
    <row r="27" spans="1:15" ht="15.75" thickBot="1" x14ac:dyDescent="0.3">
      <c r="A27" s="92"/>
      <c r="B27" s="91"/>
      <c r="C27" s="91"/>
      <c r="D27" s="91"/>
      <c r="E27" s="91"/>
      <c r="F27" s="91"/>
      <c r="G27" s="91"/>
      <c r="H27" s="544"/>
      <c r="I27" s="544"/>
      <c r="J27" s="91"/>
      <c r="K27" s="91"/>
      <c r="L27" s="91"/>
      <c r="M27" s="91"/>
      <c r="N27" s="91"/>
      <c r="O27" s="90"/>
    </row>
    <row r="28" spans="1:15" ht="15.75" thickBot="1" x14ac:dyDescent="0.3"/>
    <row r="29" spans="1:15" x14ac:dyDescent="0.25">
      <c r="A29" s="141"/>
      <c r="B29" s="140"/>
      <c r="C29" s="140"/>
      <c r="D29" s="140"/>
      <c r="E29" s="140"/>
      <c r="F29" s="140"/>
      <c r="G29" s="140"/>
      <c r="H29" s="140"/>
      <c r="I29" s="140"/>
      <c r="J29" s="140"/>
      <c r="K29" s="140"/>
      <c r="L29" s="140"/>
      <c r="M29" s="140"/>
      <c r="N29" s="140"/>
      <c r="O29" s="139"/>
    </row>
    <row r="30" spans="1:15" x14ac:dyDescent="0.25">
      <c r="A30" s="267" t="s">
        <v>57</v>
      </c>
      <c r="B30" s="133" t="s">
        <v>523</v>
      </c>
      <c r="C30" s="94"/>
      <c r="D30" s="94"/>
      <c r="E30" s="94"/>
      <c r="F30" s="94"/>
      <c r="G30" s="94"/>
      <c r="H30" s="94"/>
      <c r="I30" s="94"/>
      <c r="J30" s="271" t="s">
        <v>51</v>
      </c>
      <c r="K30" s="138">
        <v>81</v>
      </c>
      <c r="L30" s="94"/>
      <c r="M30" s="267" t="s">
        <v>113</v>
      </c>
      <c r="N30" s="100">
        <f>EN_01002_m+EN_01002_p</f>
        <v>2.3536202500000001</v>
      </c>
      <c r="O30" s="93"/>
    </row>
    <row r="31" spans="1:15" x14ac:dyDescent="0.25">
      <c r="A31" s="267" t="s">
        <v>125</v>
      </c>
      <c r="B31" s="133" t="s">
        <v>21</v>
      </c>
      <c r="C31" s="94"/>
      <c r="D31" s="267" t="s">
        <v>122</v>
      </c>
      <c r="E31" s="270" t="s">
        <v>522</v>
      </c>
      <c r="F31" s="94"/>
      <c r="G31" s="94"/>
      <c r="H31" s="94"/>
      <c r="I31" s="94"/>
      <c r="J31" s="94"/>
      <c r="K31" s="94"/>
      <c r="L31" s="94"/>
      <c r="M31" s="267" t="s">
        <v>124</v>
      </c>
      <c r="N31" s="136">
        <v>2</v>
      </c>
      <c r="O31" s="93"/>
    </row>
    <row r="32" spans="1:15" x14ac:dyDescent="0.25">
      <c r="A32" s="267" t="s">
        <v>123</v>
      </c>
      <c r="B32" s="270" t="str">
        <f>'EN Assemblies'!B4</f>
        <v>Engine</v>
      </c>
      <c r="C32" s="94"/>
      <c r="D32" s="267" t="s">
        <v>119</v>
      </c>
      <c r="E32" s="94"/>
      <c r="F32" s="94"/>
      <c r="G32" s="94"/>
      <c r="H32" s="94"/>
      <c r="I32" s="94"/>
      <c r="J32" s="268" t="s">
        <v>122</v>
      </c>
      <c r="K32" s="94"/>
      <c r="L32" s="94"/>
      <c r="M32" s="94"/>
      <c r="N32" s="94"/>
      <c r="O32" s="93"/>
    </row>
    <row r="33" spans="1:15" x14ac:dyDescent="0.25">
      <c r="A33" s="267" t="s">
        <v>114</v>
      </c>
      <c r="B33" s="135" t="s">
        <v>1079</v>
      </c>
      <c r="C33" s="94"/>
      <c r="D33" s="267" t="s">
        <v>116</v>
      </c>
      <c r="E33" s="94"/>
      <c r="F33" s="94"/>
      <c r="G33" s="94"/>
      <c r="H33" s="94"/>
      <c r="I33" s="94"/>
      <c r="J33" s="268" t="s">
        <v>119</v>
      </c>
      <c r="K33" s="94"/>
      <c r="L33" s="94"/>
      <c r="M33" s="267" t="s">
        <v>118</v>
      </c>
      <c r="N33" s="100">
        <f>N31*N30</f>
        <v>4.7072405000000002</v>
      </c>
      <c r="O33" s="93"/>
    </row>
    <row r="34" spans="1:15" x14ac:dyDescent="0.25">
      <c r="A34" s="267" t="s">
        <v>121</v>
      </c>
      <c r="B34" s="269" t="s">
        <v>1081</v>
      </c>
      <c r="C34" s="94"/>
      <c r="D34" s="94"/>
      <c r="E34" s="94"/>
      <c r="F34" s="94"/>
      <c r="G34" s="94"/>
      <c r="H34" s="94"/>
      <c r="I34" s="94"/>
      <c r="J34" s="268" t="s">
        <v>116</v>
      </c>
      <c r="K34" s="94"/>
      <c r="L34" s="94"/>
      <c r="M34" s="94"/>
      <c r="N34" s="94"/>
      <c r="O34" s="93"/>
    </row>
    <row r="35" spans="1:15" x14ac:dyDescent="0.25">
      <c r="A35" s="267" t="s">
        <v>117</v>
      </c>
      <c r="B35" s="133" t="s">
        <v>23</v>
      </c>
      <c r="C35" s="94"/>
      <c r="D35" s="94"/>
      <c r="E35" s="94"/>
      <c r="F35" s="94"/>
      <c r="G35" s="94"/>
      <c r="H35" s="94"/>
      <c r="I35" s="94"/>
      <c r="J35" s="94"/>
      <c r="K35" s="94"/>
      <c r="L35" s="94"/>
      <c r="M35" s="94"/>
      <c r="N35" s="94"/>
      <c r="O35" s="93"/>
    </row>
    <row r="36" spans="1:15" x14ac:dyDescent="0.25">
      <c r="A36" s="267" t="s">
        <v>115</v>
      </c>
      <c r="B36" s="194" t="s">
        <v>1080</v>
      </c>
      <c r="C36" s="94"/>
      <c r="D36" s="94"/>
      <c r="E36" s="94"/>
      <c r="F36" s="94"/>
      <c r="G36" s="94"/>
      <c r="H36" s="94"/>
      <c r="I36" s="94"/>
      <c r="J36" s="94"/>
      <c r="K36" s="94"/>
      <c r="L36" s="94"/>
      <c r="M36" s="94"/>
      <c r="N36" s="94"/>
      <c r="O36" s="93"/>
    </row>
    <row r="37" spans="1:15" x14ac:dyDescent="0.25">
      <c r="A37" s="266"/>
      <c r="B37" s="265"/>
      <c r="C37" s="265"/>
      <c r="D37" s="265"/>
      <c r="E37" s="265"/>
      <c r="F37" s="94"/>
      <c r="G37" s="94"/>
      <c r="H37" s="94"/>
      <c r="I37" s="94"/>
      <c r="J37" s="94"/>
      <c r="K37" s="94"/>
      <c r="L37" s="94"/>
      <c r="M37" s="94"/>
      <c r="N37" s="94"/>
      <c r="O37" s="93"/>
    </row>
    <row r="38" spans="1:15" x14ac:dyDescent="0.25">
      <c r="A38" s="264" t="s">
        <v>67</v>
      </c>
      <c r="B38" s="263" t="s">
        <v>112</v>
      </c>
      <c r="C38" s="263" t="s">
        <v>66</v>
      </c>
      <c r="D38" s="263" t="s">
        <v>65</v>
      </c>
      <c r="E38" s="263" t="s">
        <v>81</v>
      </c>
      <c r="F38" s="274" t="s">
        <v>80</v>
      </c>
      <c r="G38" s="274" t="s">
        <v>79</v>
      </c>
      <c r="H38" s="274" t="s">
        <v>78</v>
      </c>
      <c r="I38" s="274" t="s">
        <v>111</v>
      </c>
      <c r="J38" s="274" t="s">
        <v>110</v>
      </c>
      <c r="K38" s="274" t="s">
        <v>109</v>
      </c>
      <c r="L38" s="274" t="s">
        <v>108</v>
      </c>
      <c r="M38" s="274" t="s">
        <v>40</v>
      </c>
      <c r="N38" s="274" t="s">
        <v>58</v>
      </c>
      <c r="O38" s="93"/>
    </row>
    <row r="39" spans="1:15" x14ac:dyDescent="0.25">
      <c r="A39" s="529">
        <v>10</v>
      </c>
      <c r="B39" s="282" t="s">
        <v>1065</v>
      </c>
      <c r="C39" s="282" t="s">
        <v>1079</v>
      </c>
      <c r="D39" s="337">
        <v>2.25</v>
      </c>
      <c r="E39" s="282">
        <v>33</v>
      </c>
      <c r="F39" s="282" t="s">
        <v>68</v>
      </c>
      <c r="G39" s="282"/>
      <c r="H39" s="542"/>
      <c r="I39" s="303" t="s">
        <v>1078</v>
      </c>
      <c r="J39" s="543">
        <v>8.5499999999999997E-4</v>
      </c>
      <c r="K39" s="542">
        <v>0.03</v>
      </c>
      <c r="L39" s="542">
        <v>7860</v>
      </c>
      <c r="M39" s="397">
        <v>1</v>
      </c>
      <c r="N39" s="276">
        <f>IF(J39="",D39*M39,D39*J39*K39*L39*M39)</f>
        <v>0.45362024999999995</v>
      </c>
      <c r="O39" s="143"/>
    </row>
    <row r="40" spans="1:15" x14ac:dyDescent="0.25">
      <c r="A40" s="98"/>
      <c r="B40" s="95"/>
      <c r="C40" s="95"/>
      <c r="D40" s="95"/>
      <c r="E40" s="95"/>
      <c r="F40" s="95"/>
      <c r="G40" s="95"/>
      <c r="H40" s="95"/>
      <c r="I40" s="95"/>
      <c r="J40" s="95"/>
      <c r="K40" s="95"/>
      <c r="L40" s="95"/>
      <c r="M40" s="479" t="s">
        <v>58</v>
      </c>
      <c r="N40" s="255">
        <f>SUM(N39:N39)</f>
        <v>0.45362024999999995</v>
      </c>
      <c r="O40" s="93"/>
    </row>
    <row r="41" spans="1:15" x14ac:dyDescent="0.25">
      <c r="A41" s="107"/>
      <c r="B41" s="94"/>
      <c r="C41" s="94"/>
      <c r="D41" s="94"/>
      <c r="E41" s="94"/>
      <c r="F41" s="94"/>
      <c r="G41" s="94"/>
      <c r="H41" s="94"/>
      <c r="I41" s="94"/>
      <c r="J41" s="94"/>
      <c r="K41" s="94"/>
      <c r="L41" s="94"/>
      <c r="M41" s="94"/>
      <c r="N41" s="94"/>
      <c r="O41" s="93"/>
    </row>
    <row r="42" spans="1:15" x14ac:dyDescent="0.25">
      <c r="A42" s="481" t="s">
        <v>67</v>
      </c>
      <c r="B42" s="274" t="s">
        <v>106</v>
      </c>
      <c r="C42" s="274" t="s">
        <v>66</v>
      </c>
      <c r="D42" s="274" t="s">
        <v>65</v>
      </c>
      <c r="E42" s="274" t="s">
        <v>64</v>
      </c>
      <c r="F42" s="274" t="s">
        <v>40</v>
      </c>
      <c r="G42" s="274" t="s">
        <v>105</v>
      </c>
      <c r="H42" s="274" t="s">
        <v>104</v>
      </c>
      <c r="I42" s="274" t="s">
        <v>58</v>
      </c>
      <c r="J42" s="95"/>
      <c r="K42" s="95"/>
      <c r="L42" s="95"/>
      <c r="M42" s="95"/>
      <c r="N42" s="95"/>
      <c r="O42" s="93"/>
    </row>
    <row r="43" spans="1:15" ht="30" x14ac:dyDescent="0.25">
      <c r="A43" s="527">
        <v>10</v>
      </c>
      <c r="B43" s="376" t="s">
        <v>829</v>
      </c>
      <c r="C43" s="376"/>
      <c r="D43" s="337">
        <v>1.3</v>
      </c>
      <c r="E43" s="282" t="s">
        <v>64</v>
      </c>
      <c r="F43" s="282">
        <v>1</v>
      </c>
      <c r="G43" s="282"/>
      <c r="H43" s="282"/>
      <c r="I43" s="293">
        <f>IF(H43="",D43*F43,D43*F43*H43)</f>
        <v>1.3</v>
      </c>
      <c r="J43" s="142"/>
      <c r="K43" s="142"/>
      <c r="L43" s="142"/>
      <c r="M43" s="142"/>
      <c r="N43" s="142"/>
      <c r="O43" s="120"/>
    </row>
    <row r="44" spans="1:15" x14ac:dyDescent="0.25">
      <c r="A44" s="526">
        <v>20</v>
      </c>
      <c r="B44" s="285" t="s">
        <v>514</v>
      </c>
      <c r="C44" s="285"/>
      <c r="D44" s="337">
        <v>0.04</v>
      </c>
      <c r="E44" s="282" t="s">
        <v>512</v>
      </c>
      <c r="F44" s="282">
        <v>5</v>
      </c>
      <c r="G44" s="282" t="s">
        <v>724</v>
      </c>
      <c r="H44" s="282">
        <v>3</v>
      </c>
      <c r="I44" s="276">
        <f>IF(H44="",D44*F44,D44*F44*H44)</f>
        <v>0.60000000000000009</v>
      </c>
      <c r="J44" s="94"/>
      <c r="K44" s="94"/>
      <c r="L44" s="94"/>
      <c r="M44" s="94"/>
      <c r="N44" s="94"/>
      <c r="O44" s="93"/>
    </row>
    <row r="45" spans="1:15" x14ac:dyDescent="0.25">
      <c r="A45" s="98"/>
      <c r="B45" s="95"/>
      <c r="C45" s="95"/>
      <c r="D45" s="95"/>
      <c r="E45" s="95"/>
      <c r="F45" s="95"/>
      <c r="G45" s="95"/>
      <c r="H45" s="256" t="s">
        <v>58</v>
      </c>
      <c r="I45" s="255">
        <f>SUM(I43:I44)</f>
        <v>1.9000000000000001</v>
      </c>
      <c r="J45" s="95"/>
      <c r="K45" s="95"/>
      <c r="L45" s="95"/>
      <c r="M45" s="95"/>
      <c r="N45" s="95"/>
      <c r="O45" s="93"/>
    </row>
    <row r="46" spans="1:15" x14ac:dyDescent="0.25">
      <c r="A46" s="107"/>
      <c r="B46" s="94"/>
      <c r="C46" s="94"/>
      <c r="D46" s="94"/>
      <c r="E46" s="94"/>
      <c r="F46" s="94"/>
      <c r="G46" s="94"/>
      <c r="H46" s="94"/>
      <c r="I46" s="99"/>
      <c r="J46" s="94"/>
      <c r="K46" s="94"/>
      <c r="L46" s="94"/>
      <c r="M46" s="94"/>
      <c r="N46" s="94"/>
      <c r="O46" s="93"/>
    </row>
    <row r="47" spans="1:15" x14ac:dyDescent="0.25">
      <c r="A47" s="107"/>
      <c r="B47" s="94"/>
      <c r="C47" s="94"/>
      <c r="D47" s="94"/>
      <c r="E47" s="94"/>
      <c r="F47" s="94"/>
      <c r="G47" s="94"/>
      <c r="H47" s="94"/>
      <c r="I47" s="99"/>
      <c r="J47" s="94"/>
      <c r="K47" s="94"/>
      <c r="L47" s="94"/>
      <c r="M47" s="94"/>
      <c r="N47" s="94"/>
      <c r="O47" s="93"/>
    </row>
    <row r="48" spans="1:15" x14ac:dyDescent="0.25">
      <c r="A48" s="107"/>
      <c r="B48" s="94"/>
      <c r="C48" s="94"/>
      <c r="D48" s="94"/>
      <c r="E48" s="94"/>
      <c r="F48" s="94"/>
      <c r="G48" s="94"/>
      <c r="H48" s="94"/>
      <c r="I48" s="99"/>
      <c r="J48" s="94"/>
      <c r="K48" s="94"/>
      <c r="L48" s="94"/>
      <c r="M48" s="94"/>
      <c r="N48" s="94"/>
      <c r="O48" s="93"/>
    </row>
    <row r="49" spans="1:15" x14ac:dyDescent="0.25">
      <c r="A49" s="107"/>
      <c r="B49" s="94"/>
      <c r="C49" s="94"/>
      <c r="D49" s="94"/>
      <c r="E49" s="94"/>
      <c r="F49" s="94"/>
      <c r="G49" s="94"/>
      <c r="H49" s="94"/>
      <c r="I49" s="99"/>
      <c r="J49" s="94"/>
      <c r="K49" s="94"/>
      <c r="L49" s="94"/>
      <c r="M49" s="94"/>
      <c r="N49" s="94"/>
      <c r="O49" s="93"/>
    </row>
    <row r="50" spans="1:15" x14ac:dyDescent="0.25">
      <c r="A50" s="107"/>
      <c r="B50" s="94"/>
      <c r="C50" s="94"/>
      <c r="D50" s="94"/>
      <c r="E50" s="94"/>
      <c r="F50" s="94"/>
      <c r="G50" s="94"/>
      <c r="H50" s="94"/>
      <c r="I50" s="99"/>
      <c r="J50" s="94"/>
      <c r="K50" s="94"/>
      <c r="L50" s="94"/>
      <c r="M50" s="94"/>
      <c r="N50" s="94"/>
      <c r="O50" s="93"/>
    </row>
    <row r="51" spans="1:15" x14ac:dyDescent="0.25">
      <c r="A51" s="107"/>
      <c r="B51" s="94"/>
      <c r="C51" s="94"/>
      <c r="D51" s="94"/>
      <c r="E51" s="94"/>
      <c r="F51" s="94"/>
      <c r="G51" s="94"/>
      <c r="H51" s="94"/>
      <c r="I51" s="99"/>
      <c r="J51" s="94"/>
      <c r="K51" s="94"/>
      <c r="L51" s="94"/>
      <c r="M51" s="94"/>
      <c r="N51" s="94"/>
      <c r="O51" s="93"/>
    </row>
    <row r="52" spans="1:15" x14ac:dyDescent="0.25">
      <c r="A52" s="107"/>
      <c r="B52" s="94"/>
      <c r="C52" s="94"/>
      <c r="D52" s="94"/>
      <c r="E52" s="94"/>
      <c r="F52" s="94"/>
      <c r="G52" s="94"/>
      <c r="H52" s="94"/>
      <c r="I52" s="99"/>
      <c r="J52" s="94"/>
      <c r="K52" s="94"/>
      <c r="L52" s="94"/>
      <c r="M52" s="94"/>
      <c r="N52" s="94"/>
      <c r="O52" s="93"/>
    </row>
    <row r="53" spans="1:15" x14ac:dyDescent="0.25">
      <c r="A53" s="107"/>
      <c r="B53" s="94"/>
      <c r="C53" s="94"/>
      <c r="D53" s="94"/>
      <c r="E53" s="94"/>
      <c r="F53" s="94"/>
      <c r="G53" s="94"/>
      <c r="H53" s="94"/>
      <c r="I53" s="99"/>
      <c r="J53" s="94"/>
      <c r="K53" s="94"/>
      <c r="L53" s="94"/>
      <c r="M53" s="94"/>
      <c r="N53" s="94"/>
      <c r="O53" s="93"/>
    </row>
    <row r="54" spans="1:15" x14ac:dyDescent="0.25">
      <c r="A54" s="107"/>
      <c r="B54" s="94"/>
      <c r="C54" s="94"/>
      <c r="D54" s="94"/>
      <c r="E54" s="94"/>
      <c r="F54" s="94"/>
      <c r="G54" s="94"/>
      <c r="H54" s="94"/>
      <c r="I54" s="99"/>
      <c r="J54" s="94"/>
      <c r="K54" s="94"/>
      <c r="L54" s="94"/>
      <c r="M54" s="94"/>
      <c r="N54" s="94"/>
      <c r="O54" s="93"/>
    </row>
    <row r="55" spans="1:15" x14ac:dyDescent="0.25">
      <c r="A55" s="107"/>
      <c r="B55" s="94"/>
      <c r="C55" s="94"/>
      <c r="D55" s="94"/>
      <c r="E55" s="94"/>
      <c r="F55" s="94"/>
      <c r="G55" s="94"/>
      <c r="H55" s="94"/>
      <c r="I55" s="99"/>
      <c r="J55" s="94"/>
      <c r="K55" s="94"/>
      <c r="L55" s="94"/>
      <c r="M55" s="94"/>
      <c r="N55" s="94"/>
      <c r="O55" s="93"/>
    </row>
    <row r="56" spans="1:15" ht="15.75" thickBot="1" x14ac:dyDescent="0.3">
      <c r="A56" s="92"/>
      <c r="B56" s="91"/>
      <c r="C56" s="91"/>
      <c r="D56" s="91"/>
      <c r="E56" s="91"/>
      <c r="F56" s="91"/>
      <c r="G56" s="91"/>
      <c r="H56" s="91"/>
      <c r="I56" s="91"/>
      <c r="J56" s="91"/>
      <c r="K56" s="91"/>
      <c r="L56" s="91"/>
      <c r="M56" s="91"/>
      <c r="N56" s="91"/>
      <c r="O56" s="90"/>
    </row>
    <row r="57" spans="1:15" ht="15.75" thickBot="1" x14ac:dyDescent="0.3"/>
    <row r="58" spans="1:15" x14ac:dyDescent="0.25">
      <c r="A58" s="141"/>
      <c r="B58" s="140"/>
      <c r="C58" s="140"/>
      <c r="D58" s="140"/>
      <c r="E58" s="140"/>
      <c r="F58" s="140"/>
      <c r="G58" s="140"/>
      <c r="H58" s="140"/>
      <c r="I58" s="140"/>
      <c r="J58" s="272"/>
      <c r="K58" s="140"/>
      <c r="L58" s="140"/>
      <c r="M58" s="140"/>
      <c r="N58" s="140"/>
      <c r="O58" s="139"/>
    </row>
    <row r="59" spans="1:15" x14ac:dyDescent="0.25">
      <c r="A59" s="267" t="s">
        <v>57</v>
      </c>
      <c r="B59" s="133" t="s">
        <v>523</v>
      </c>
      <c r="C59" s="94"/>
      <c r="D59" s="94"/>
      <c r="E59" s="94"/>
      <c r="F59" s="94"/>
      <c r="G59" s="94"/>
      <c r="H59" s="94"/>
      <c r="I59" s="94"/>
      <c r="J59" s="271" t="s">
        <v>51</v>
      </c>
      <c r="K59" s="138">
        <v>81</v>
      </c>
      <c r="L59" s="94"/>
      <c r="M59" s="267" t="s">
        <v>113</v>
      </c>
      <c r="N59" s="100">
        <f>EN_01003_m+EN_01003_p</f>
        <v>13.09403672</v>
      </c>
      <c r="O59" s="93"/>
    </row>
    <row r="60" spans="1:15" x14ac:dyDescent="0.25">
      <c r="A60" s="267" t="s">
        <v>125</v>
      </c>
      <c r="B60" s="133" t="s">
        <v>21</v>
      </c>
      <c r="C60" s="94"/>
      <c r="D60" s="267" t="s">
        <v>122</v>
      </c>
      <c r="E60" s="270" t="s">
        <v>1061</v>
      </c>
      <c r="F60" s="94"/>
      <c r="G60" s="94"/>
      <c r="H60" s="94"/>
      <c r="I60" s="94"/>
      <c r="J60" s="94"/>
      <c r="K60" s="94"/>
      <c r="L60" s="94"/>
      <c r="M60" s="267" t="s">
        <v>124</v>
      </c>
      <c r="N60" s="136">
        <v>2</v>
      </c>
      <c r="O60" s="93"/>
    </row>
    <row r="61" spans="1:15" x14ac:dyDescent="0.25">
      <c r="A61" s="267" t="s">
        <v>123</v>
      </c>
      <c r="B61" s="270" t="str">
        <f>'EN Assemblies'!B4</f>
        <v>Engine</v>
      </c>
      <c r="C61" s="94"/>
      <c r="D61" s="267" t="s">
        <v>119</v>
      </c>
      <c r="E61" s="270" t="s">
        <v>1060</v>
      </c>
      <c r="F61" s="94"/>
      <c r="G61" s="94"/>
      <c r="H61" s="94"/>
      <c r="I61" s="94"/>
      <c r="J61" s="268" t="s">
        <v>122</v>
      </c>
      <c r="K61" s="94"/>
      <c r="L61" s="94"/>
      <c r="M61" s="94"/>
      <c r="N61" s="94"/>
      <c r="O61" s="93"/>
    </row>
    <row r="62" spans="1:15" x14ac:dyDescent="0.25">
      <c r="A62" s="267" t="s">
        <v>114</v>
      </c>
      <c r="B62" s="135" t="s">
        <v>1077</v>
      </c>
      <c r="C62" s="94"/>
      <c r="D62" s="267" t="s">
        <v>116</v>
      </c>
      <c r="E62" s="94"/>
      <c r="F62" s="94"/>
      <c r="G62" s="94"/>
      <c r="H62" s="94"/>
      <c r="I62" s="94"/>
      <c r="J62" s="268" t="s">
        <v>119</v>
      </c>
      <c r="K62" s="94"/>
      <c r="L62" s="94"/>
      <c r="M62" s="267" t="s">
        <v>118</v>
      </c>
      <c r="N62" s="100">
        <f>N60*N59</f>
        <v>26.18807344</v>
      </c>
      <c r="O62" s="93"/>
    </row>
    <row r="63" spans="1:15" x14ac:dyDescent="0.25">
      <c r="A63" s="267" t="s">
        <v>121</v>
      </c>
      <c r="B63" s="269" t="s">
        <v>1076</v>
      </c>
      <c r="C63" s="94"/>
      <c r="D63" s="94"/>
      <c r="E63" s="94"/>
      <c r="F63" s="94"/>
      <c r="G63" s="94"/>
      <c r="H63" s="94"/>
      <c r="I63" s="94"/>
      <c r="J63" s="268" t="s">
        <v>116</v>
      </c>
      <c r="K63" s="94"/>
      <c r="L63" s="94"/>
      <c r="M63" s="94"/>
      <c r="N63" s="94"/>
      <c r="O63" s="93"/>
    </row>
    <row r="64" spans="1:15" x14ac:dyDescent="0.25">
      <c r="A64" s="267" t="s">
        <v>117</v>
      </c>
      <c r="B64" s="133" t="s">
        <v>23</v>
      </c>
      <c r="C64" s="94"/>
      <c r="D64" s="94"/>
      <c r="E64" s="94"/>
      <c r="F64" s="94"/>
      <c r="G64" s="94"/>
      <c r="H64" s="94"/>
      <c r="I64" s="94"/>
      <c r="J64" s="94"/>
      <c r="K64" s="94"/>
      <c r="L64" s="94"/>
      <c r="M64" s="94"/>
      <c r="N64" s="94"/>
      <c r="O64" s="93"/>
    </row>
    <row r="65" spans="1:15" x14ac:dyDescent="0.25">
      <c r="A65" s="267" t="s">
        <v>115</v>
      </c>
      <c r="B65" s="194" t="s">
        <v>1075</v>
      </c>
      <c r="C65" s="94"/>
      <c r="D65" s="94"/>
      <c r="E65" s="94"/>
      <c r="F65" s="94"/>
      <c r="G65" s="94"/>
      <c r="H65" s="94"/>
      <c r="I65" s="94"/>
      <c r="J65" s="94"/>
      <c r="K65" s="94"/>
      <c r="L65" s="94"/>
      <c r="M65" s="94"/>
      <c r="N65" s="94"/>
      <c r="O65" s="93"/>
    </row>
    <row r="66" spans="1:15" x14ac:dyDescent="0.25">
      <c r="A66" s="266"/>
      <c r="B66" s="265"/>
      <c r="C66" s="265"/>
      <c r="D66" s="265"/>
      <c r="E66" s="265"/>
      <c r="F66" s="94"/>
      <c r="G66" s="94"/>
      <c r="H66" s="94"/>
      <c r="I66" s="94"/>
      <c r="J66" s="94"/>
      <c r="K66" s="94"/>
      <c r="L66" s="94"/>
      <c r="M66" s="94"/>
      <c r="N66" s="94"/>
      <c r="O66" s="93"/>
    </row>
    <row r="67" spans="1:15" x14ac:dyDescent="0.25">
      <c r="A67" s="264" t="s">
        <v>67</v>
      </c>
      <c r="B67" s="263" t="s">
        <v>112</v>
      </c>
      <c r="C67" s="263" t="s">
        <v>66</v>
      </c>
      <c r="D67" s="263" t="s">
        <v>65</v>
      </c>
      <c r="E67" s="263" t="s">
        <v>81</v>
      </c>
      <c r="F67" s="274" t="s">
        <v>80</v>
      </c>
      <c r="G67" s="274" t="s">
        <v>79</v>
      </c>
      <c r="H67" s="274" t="s">
        <v>78</v>
      </c>
      <c r="I67" s="274" t="s">
        <v>111</v>
      </c>
      <c r="J67" s="274" t="s">
        <v>110</v>
      </c>
      <c r="K67" s="274" t="s">
        <v>109</v>
      </c>
      <c r="L67" s="274" t="s">
        <v>108</v>
      </c>
      <c r="M67" s="274" t="s">
        <v>40</v>
      </c>
      <c r="N67" s="274" t="s">
        <v>58</v>
      </c>
      <c r="O67" s="93"/>
    </row>
    <row r="68" spans="1:15" ht="32.25" customHeight="1" x14ac:dyDescent="0.25">
      <c r="A68" s="529">
        <v>10</v>
      </c>
      <c r="B68" s="282" t="s">
        <v>1065</v>
      </c>
      <c r="C68" s="282" t="s">
        <v>1074</v>
      </c>
      <c r="D68" s="337">
        <v>2.25</v>
      </c>
      <c r="E68" s="282">
        <v>36</v>
      </c>
      <c r="F68" s="282" t="s">
        <v>68</v>
      </c>
      <c r="G68" s="282">
        <v>3</v>
      </c>
      <c r="H68" s="278" t="s">
        <v>68</v>
      </c>
      <c r="I68" s="281" t="s">
        <v>1073</v>
      </c>
      <c r="J68" s="377">
        <v>1.08E-4</v>
      </c>
      <c r="K68" s="279">
        <v>8.2000000000000003E-2</v>
      </c>
      <c r="L68" s="278">
        <v>7860</v>
      </c>
      <c r="M68" s="397">
        <v>2</v>
      </c>
      <c r="N68" s="276">
        <f>IF(J68="",D68*M68,D68*J68*K68*L68*M68)</f>
        <v>0.31323672000000002</v>
      </c>
      <c r="O68" s="143"/>
    </row>
    <row r="69" spans="1:15" x14ac:dyDescent="0.25">
      <c r="A69" s="98"/>
      <c r="B69" s="95"/>
      <c r="C69" s="95"/>
      <c r="D69" s="95"/>
      <c r="E69" s="95"/>
      <c r="F69" s="95"/>
      <c r="G69" s="95"/>
      <c r="H69" s="95"/>
      <c r="I69" s="95"/>
      <c r="J69" s="95"/>
      <c r="K69" s="95"/>
      <c r="L69" s="95"/>
      <c r="M69" s="479" t="s">
        <v>58</v>
      </c>
      <c r="N69" s="255">
        <f>SUM(N68:N68)</f>
        <v>0.31323672000000002</v>
      </c>
      <c r="O69" s="93"/>
    </row>
    <row r="70" spans="1:15" x14ac:dyDescent="0.25">
      <c r="A70" s="107"/>
      <c r="B70" s="94"/>
      <c r="C70" s="94"/>
      <c r="D70" s="94"/>
      <c r="E70" s="94"/>
      <c r="F70" s="94"/>
      <c r="G70" s="94"/>
      <c r="H70" s="94"/>
      <c r="I70" s="94"/>
      <c r="J70" s="94"/>
      <c r="K70" s="94"/>
      <c r="L70" s="94"/>
      <c r="M70" s="94"/>
      <c r="N70" s="94"/>
      <c r="O70" s="93"/>
    </row>
    <row r="71" spans="1:15" x14ac:dyDescent="0.25">
      <c r="A71" s="481" t="s">
        <v>67</v>
      </c>
      <c r="B71" s="274" t="s">
        <v>106</v>
      </c>
      <c r="C71" s="274" t="s">
        <v>66</v>
      </c>
      <c r="D71" s="274" t="s">
        <v>65</v>
      </c>
      <c r="E71" s="274" t="s">
        <v>64</v>
      </c>
      <c r="F71" s="274" t="s">
        <v>40</v>
      </c>
      <c r="G71" s="274" t="s">
        <v>105</v>
      </c>
      <c r="H71" s="274" t="s">
        <v>104</v>
      </c>
      <c r="I71" s="274" t="s">
        <v>58</v>
      </c>
      <c r="J71" s="95"/>
      <c r="K71" s="95"/>
      <c r="L71" s="95"/>
      <c r="M71" s="95"/>
      <c r="N71" s="95"/>
      <c r="O71" s="93"/>
    </row>
    <row r="72" spans="1:15" ht="30" x14ac:dyDescent="0.25">
      <c r="A72" s="527">
        <v>10</v>
      </c>
      <c r="B72" s="376" t="s">
        <v>829</v>
      </c>
      <c r="C72" s="285"/>
      <c r="D72" s="337">
        <v>1.3</v>
      </c>
      <c r="E72" s="282" t="s">
        <v>64</v>
      </c>
      <c r="F72" s="282">
        <v>2</v>
      </c>
      <c r="G72" s="282"/>
      <c r="H72" s="282"/>
      <c r="I72" s="293">
        <f>IF(H72="",D72*F72,D72*F72*H72)</f>
        <v>2.6</v>
      </c>
      <c r="J72" s="142"/>
      <c r="K72" s="142"/>
      <c r="L72" s="142"/>
      <c r="M72" s="142"/>
      <c r="N72" s="142"/>
      <c r="O72" s="120"/>
    </row>
    <row r="73" spans="1:15" x14ac:dyDescent="0.25">
      <c r="A73" s="526">
        <v>20</v>
      </c>
      <c r="B73" s="285" t="s">
        <v>527</v>
      </c>
      <c r="C73" s="285" t="s">
        <v>1072</v>
      </c>
      <c r="D73" s="337">
        <v>0.01</v>
      </c>
      <c r="E73" s="282" t="s">
        <v>101</v>
      </c>
      <c r="F73" s="282">
        <f>46.28*2</f>
        <v>92.56</v>
      </c>
      <c r="G73" s="282" t="s">
        <v>724</v>
      </c>
      <c r="H73" s="282">
        <v>3</v>
      </c>
      <c r="I73" s="293">
        <f>IF(H73="",D73*F73,D73*F73*H73)</f>
        <v>2.7768000000000002</v>
      </c>
      <c r="J73" s="94"/>
      <c r="K73" s="94"/>
      <c r="L73" s="94"/>
      <c r="M73" s="94"/>
      <c r="N73" s="94"/>
      <c r="O73" s="93"/>
    </row>
    <row r="74" spans="1:15" ht="30" x14ac:dyDescent="0.25">
      <c r="A74" s="527">
        <v>30</v>
      </c>
      <c r="B74" s="376" t="s">
        <v>334</v>
      </c>
      <c r="C74" s="376" t="s">
        <v>1071</v>
      </c>
      <c r="D74" s="337">
        <v>0.13</v>
      </c>
      <c r="E74" s="282" t="s">
        <v>64</v>
      </c>
      <c r="F74" s="282">
        <v>2</v>
      </c>
      <c r="G74" s="282"/>
      <c r="H74" s="282"/>
      <c r="I74" s="293">
        <f>IF(H74="",D74*F74,D74*F74*H74)</f>
        <v>0.26</v>
      </c>
      <c r="J74" s="99"/>
      <c r="K74" s="99"/>
      <c r="L74" s="99"/>
      <c r="M74" s="99"/>
      <c r="N74" s="99"/>
      <c r="O74" s="130"/>
    </row>
    <row r="75" spans="1:15" x14ac:dyDescent="0.25">
      <c r="A75" s="526">
        <v>40</v>
      </c>
      <c r="B75" s="285" t="s">
        <v>1070</v>
      </c>
      <c r="C75" s="376" t="s">
        <v>1069</v>
      </c>
      <c r="D75" s="337">
        <v>0.38</v>
      </c>
      <c r="E75" s="282" t="s">
        <v>101</v>
      </c>
      <c r="F75" s="282">
        <v>18.8</v>
      </c>
      <c r="G75" s="282"/>
      <c r="H75" s="282"/>
      <c r="I75" s="293">
        <f>IF(H75="",D75*F75,D75*F75*H75)</f>
        <v>7.1440000000000001</v>
      </c>
      <c r="J75" s="94"/>
      <c r="K75" s="94"/>
      <c r="L75" s="94"/>
      <c r="M75" s="94"/>
      <c r="N75" s="94"/>
      <c r="O75" s="93"/>
    </row>
    <row r="76" spans="1:15" x14ac:dyDescent="0.25">
      <c r="A76" s="98"/>
      <c r="B76" s="95"/>
      <c r="C76" s="95"/>
      <c r="D76" s="95"/>
      <c r="E76" s="95"/>
      <c r="F76" s="95"/>
      <c r="G76" s="95"/>
      <c r="H76" s="256" t="s">
        <v>58</v>
      </c>
      <c r="I76" s="255">
        <f>SUM(I72:I75)</f>
        <v>12.780799999999999</v>
      </c>
      <c r="J76" s="95"/>
      <c r="K76" s="95"/>
      <c r="L76" s="95"/>
      <c r="M76" s="95"/>
      <c r="N76" s="95"/>
      <c r="O76" s="93"/>
    </row>
    <row r="77" spans="1:15" x14ac:dyDescent="0.25">
      <c r="A77" s="107"/>
      <c r="B77" s="94"/>
      <c r="C77" s="94"/>
      <c r="D77" s="94"/>
      <c r="E77" s="94"/>
      <c r="F77" s="94"/>
      <c r="G77" s="94"/>
      <c r="H77" s="94"/>
      <c r="I77" s="99"/>
      <c r="J77" s="94"/>
      <c r="K77" s="94"/>
      <c r="L77" s="94"/>
      <c r="M77" s="94"/>
      <c r="N77" s="94"/>
      <c r="O77" s="93"/>
    </row>
    <row r="78" spans="1:15" x14ac:dyDescent="0.25">
      <c r="A78" s="360"/>
      <c r="B78" s="99"/>
      <c r="C78" s="99"/>
      <c r="D78" s="99"/>
      <c r="E78" s="99"/>
      <c r="F78" s="99"/>
      <c r="G78" s="99"/>
      <c r="H78" s="359"/>
      <c r="I78" s="358"/>
      <c r="J78" s="99"/>
      <c r="K78" s="94"/>
      <c r="L78" s="94"/>
      <c r="M78" s="94"/>
      <c r="N78" s="94"/>
      <c r="O78" s="93"/>
    </row>
    <row r="79" spans="1:15" x14ac:dyDescent="0.25">
      <c r="A79" s="481" t="s">
        <v>67</v>
      </c>
      <c r="B79" s="274" t="s">
        <v>13</v>
      </c>
      <c r="C79" s="274" t="s">
        <v>66</v>
      </c>
      <c r="D79" s="274" t="s">
        <v>65</v>
      </c>
      <c r="E79" s="274" t="s">
        <v>64</v>
      </c>
      <c r="F79" s="274" t="s">
        <v>40</v>
      </c>
      <c r="G79" s="274" t="s">
        <v>63</v>
      </c>
      <c r="H79" s="274" t="s">
        <v>741</v>
      </c>
      <c r="I79" s="274" t="s">
        <v>58</v>
      </c>
      <c r="J79" s="95"/>
      <c r="K79" s="94"/>
      <c r="L79" s="94"/>
      <c r="M79" s="94"/>
      <c r="N79" s="94"/>
      <c r="O79" s="93"/>
    </row>
    <row r="80" spans="1:15" x14ac:dyDescent="0.25">
      <c r="A80" s="526">
        <v>10</v>
      </c>
      <c r="B80" s="367" t="s">
        <v>61</v>
      </c>
      <c r="C80" s="282" t="s">
        <v>482</v>
      </c>
      <c r="D80" s="337">
        <v>500</v>
      </c>
      <c r="E80" s="282" t="s">
        <v>59</v>
      </c>
      <c r="F80" s="282">
        <v>4</v>
      </c>
      <c r="G80" s="282">
        <v>3000</v>
      </c>
      <c r="H80" s="282">
        <v>1</v>
      </c>
      <c r="I80" s="276">
        <f>D80*F80/G80*H80</f>
        <v>0.66666666666666663</v>
      </c>
      <c r="J80" s="99"/>
      <c r="K80" s="99"/>
      <c r="L80" s="99"/>
      <c r="M80" s="99"/>
      <c r="N80" s="99"/>
      <c r="O80" s="130"/>
    </row>
    <row r="81" spans="1:15" x14ac:dyDescent="0.25">
      <c r="A81" s="98"/>
      <c r="B81" s="95"/>
      <c r="C81" s="95"/>
      <c r="D81" s="95"/>
      <c r="E81" s="95"/>
      <c r="F81" s="95"/>
      <c r="G81" s="95"/>
      <c r="H81" s="256" t="s">
        <v>58</v>
      </c>
      <c r="I81" s="255">
        <f>SUM(I80:I80)</f>
        <v>0.66666666666666663</v>
      </c>
      <c r="J81" s="95"/>
      <c r="K81" s="94"/>
      <c r="L81" s="94"/>
      <c r="M81" s="94"/>
      <c r="N81" s="94"/>
      <c r="O81" s="93"/>
    </row>
    <row r="82" spans="1:15" ht="15.75" thickBot="1" x14ac:dyDescent="0.3">
      <c r="A82" s="92"/>
      <c r="B82" s="91"/>
      <c r="C82" s="91"/>
      <c r="D82" s="91"/>
      <c r="E82" s="91"/>
      <c r="F82" s="91"/>
      <c r="G82" s="91"/>
      <c r="H82" s="91"/>
      <c r="I82" s="91"/>
      <c r="J82" s="91"/>
      <c r="K82" s="91"/>
      <c r="L82" s="91"/>
      <c r="M82" s="91"/>
      <c r="N82" s="91"/>
      <c r="O82" s="90"/>
    </row>
    <row r="83" spans="1:15" ht="15.75" thickBot="1" x14ac:dyDescent="0.3"/>
    <row r="84" spans="1:15" x14ac:dyDescent="0.25">
      <c r="A84" s="141"/>
      <c r="B84" s="140"/>
      <c r="C84" s="140"/>
      <c r="D84" s="140"/>
      <c r="E84" s="140"/>
      <c r="F84" s="140"/>
      <c r="G84" s="140"/>
      <c r="H84" s="140"/>
      <c r="I84" s="140"/>
      <c r="J84" s="272"/>
      <c r="K84" s="140"/>
      <c r="L84" s="140"/>
      <c r="M84" s="140"/>
      <c r="N84" s="140"/>
      <c r="O84" s="139"/>
    </row>
    <row r="85" spans="1:15" x14ac:dyDescent="0.25">
      <c r="A85" s="267" t="s">
        <v>57</v>
      </c>
      <c r="B85" s="133" t="s">
        <v>523</v>
      </c>
      <c r="C85" s="94"/>
      <c r="D85" s="94"/>
      <c r="E85" s="94"/>
      <c r="F85" s="94"/>
      <c r="G85" s="94"/>
      <c r="H85" s="94"/>
      <c r="I85" s="94"/>
      <c r="J85" s="271" t="s">
        <v>51</v>
      </c>
      <c r="K85" s="138">
        <v>81</v>
      </c>
      <c r="L85" s="94"/>
      <c r="M85" s="267" t="s">
        <v>113</v>
      </c>
      <c r="N85" s="100">
        <f>EN_01004_m+EN_01004_p</f>
        <v>3.1153423</v>
      </c>
      <c r="O85" s="93"/>
    </row>
    <row r="86" spans="1:15" x14ac:dyDescent="0.25">
      <c r="A86" s="267" t="s">
        <v>125</v>
      </c>
      <c r="B86" s="133" t="s">
        <v>21</v>
      </c>
      <c r="C86" s="94"/>
      <c r="D86" s="267" t="s">
        <v>122</v>
      </c>
      <c r="E86" s="270" t="s">
        <v>522</v>
      </c>
      <c r="F86" s="94"/>
      <c r="G86" s="94"/>
      <c r="H86" s="94"/>
      <c r="I86" s="94"/>
      <c r="J86" s="94"/>
      <c r="K86" s="94"/>
      <c r="L86" s="94"/>
      <c r="M86" s="267" t="s">
        <v>124</v>
      </c>
      <c r="N86" s="136">
        <v>1</v>
      </c>
      <c r="O86" s="93"/>
    </row>
    <row r="87" spans="1:15" x14ac:dyDescent="0.25">
      <c r="A87" s="267" t="s">
        <v>123</v>
      </c>
      <c r="B87" s="270" t="str">
        <f>'EN Assemblies'!B4</f>
        <v>Engine</v>
      </c>
      <c r="C87" s="94"/>
      <c r="D87" s="267" t="s">
        <v>119</v>
      </c>
      <c r="E87" s="94"/>
      <c r="F87" s="94"/>
      <c r="G87" s="94"/>
      <c r="H87" s="94"/>
      <c r="I87" s="94"/>
      <c r="J87" s="268" t="s">
        <v>122</v>
      </c>
      <c r="K87" s="94"/>
      <c r="L87" s="94"/>
      <c r="M87" s="94"/>
      <c r="N87" s="94"/>
      <c r="O87" s="93"/>
    </row>
    <row r="88" spans="1:15" x14ac:dyDescent="0.25">
      <c r="A88" s="267" t="s">
        <v>114</v>
      </c>
      <c r="B88" s="135" t="s">
        <v>1068</v>
      </c>
      <c r="C88" s="94"/>
      <c r="D88" s="267" t="s">
        <v>116</v>
      </c>
      <c r="E88" s="94"/>
      <c r="F88" s="94"/>
      <c r="G88" s="94"/>
      <c r="H88" s="94"/>
      <c r="I88" s="94"/>
      <c r="J88" s="268" t="s">
        <v>119</v>
      </c>
      <c r="K88" s="94"/>
      <c r="L88" s="94"/>
      <c r="M88" s="267" t="s">
        <v>118</v>
      </c>
      <c r="N88" s="100">
        <f>N86*N85</f>
        <v>3.1153423</v>
      </c>
      <c r="O88" s="93"/>
    </row>
    <row r="89" spans="1:15" x14ac:dyDescent="0.25">
      <c r="A89" s="267" t="s">
        <v>121</v>
      </c>
      <c r="B89" s="269" t="s">
        <v>1067</v>
      </c>
      <c r="C89" s="94"/>
      <c r="D89" s="94"/>
      <c r="E89" s="94"/>
      <c r="F89" s="94"/>
      <c r="G89" s="94"/>
      <c r="H89" s="94"/>
      <c r="I89" s="94"/>
      <c r="J89" s="268" t="s">
        <v>116</v>
      </c>
      <c r="K89" s="94"/>
      <c r="L89" s="94"/>
      <c r="M89" s="94"/>
      <c r="N89" s="94"/>
      <c r="O89" s="93"/>
    </row>
    <row r="90" spans="1:15" x14ac:dyDescent="0.25">
      <c r="A90" s="267" t="s">
        <v>117</v>
      </c>
      <c r="B90" s="133" t="s">
        <v>23</v>
      </c>
      <c r="C90" s="94"/>
      <c r="D90" s="94"/>
      <c r="E90" s="94"/>
      <c r="F90" s="94"/>
      <c r="G90" s="94"/>
      <c r="H90" s="94"/>
      <c r="I90" s="94"/>
      <c r="J90" s="94"/>
      <c r="K90" s="94"/>
      <c r="L90" s="94"/>
      <c r="M90" s="94"/>
      <c r="N90" s="94"/>
      <c r="O90" s="93"/>
    </row>
    <row r="91" spans="1:15" x14ac:dyDescent="0.25">
      <c r="A91" s="267" t="s">
        <v>115</v>
      </c>
      <c r="B91" s="133" t="s">
        <v>1066</v>
      </c>
      <c r="C91" s="94"/>
      <c r="D91" s="94"/>
      <c r="E91" s="94"/>
      <c r="F91" s="94"/>
      <c r="G91" s="94"/>
      <c r="H91" s="94"/>
      <c r="I91" s="94"/>
      <c r="J91" s="94"/>
      <c r="K91" s="94"/>
      <c r="L91" s="94"/>
      <c r="M91" s="94"/>
      <c r="N91" s="94"/>
      <c r="O91" s="93"/>
    </row>
    <row r="92" spans="1:15" x14ac:dyDescent="0.25">
      <c r="A92" s="266"/>
      <c r="B92" s="265"/>
      <c r="C92" s="265"/>
      <c r="D92" s="265"/>
      <c r="E92" s="265"/>
      <c r="F92" s="94"/>
      <c r="G92" s="94"/>
      <c r="H92" s="94"/>
      <c r="I92" s="94"/>
      <c r="J92" s="94"/>
      <c r="K92" s="94"/>
      <c r="L92" s="94"/>
      <c r="M92" s="94"/>
      <c r="N92" s="94"/>
      <c r="O92" s="93"/>
    </row>
    <row r="93" spans="1:15" x14ac:dyDescent="0.25">
      <c r="A93" s="264" t="s">
        <v>67</v>
      </c>
      <c r="B93" s="263" t="s">
        <v>112</v>
      </c>
      <c r="C93" s="263" t="s">
        <v>66</v>
      </c>
      <c r="D93" s="263" t="s">
        <v>65</v>
      </c>
      <c r="E93" s="263" t="s">
        <v>81</v>
      </c>
      <c r="F93" s="274" t="s">
        <v>80</v>
      </c>
      <c r="G93" s="274" t="s">
        <v>79</v>
      </c>
      <c r="H93" s="274" t="s">
        <v>78</v>
      </c>
      <c r="I93" s="274" t="s">
        <v>111</v>
      </c>
      <c r="J93" s="274" t="s">
        <v>110</v>
      </c>
      <c r="K93" s="274" t="s">
        <v>109</v>
      </c>
      <c r="L93" s="274" t="s">
        <v>108</v>
      </c>
      <c r="M93" s="274" t="s">
        <v>40</v>
      </c>
      <c r="N93" s="274" t="s">
        <v>58</v>
      </c>
      <c r="O93" s="93"/>
    </row>
    <row r="94" spans="1:15" x14ac:dyDescent="0.25">
      <c r="A94" s="529">
        <v>10</v>
      </c>
      <c r="B94" s="282" t="s">
        <v>1065</v>
      </c>
      <c r="C94" s="282" t="s">
        <v>824</v>
      </c>
      <c r="D94" s="337">
        <v>2.25</v>
      </c>
      <c r="E94" s="282">
        <v>14</v>
      </c>
      <c r="F94" s="282" t="s">
        <v>68</v>
      </c>
      <c r="G94" s="282"/>
      <c r="H94" s="278"/>
      <c r="I94" s="303" t="s">
        <v>1064</v>
      </c>
      <c r="J94" s="377">
        <v>1.54E-4</v>
      </c>
      <c r="K94" s="278">
        <v>0.27</v>
      </c>
      <c r="L94" s="278">
        <v>7860</v>
      </c>
      <c r="M94" s="397">
        <v>1</v>
      </c>
      <c r="N94" s="276">
        <f>IF(J94="",D94*M94,D94*J94*K94*L94*M94)</f>
        <v>0.73534230000000012</v>
      </c>
      <c r="O94" s="143"/>
    </row>
    <row r="95" spans="1:15" x14ac:dyDescent="0.25">
      <c r="A95" s="98"/>
      <c r="B95" s="95"/>
      <c r="C95" s="95"/>
      <c r="D95" s="95"/>
      <c r="E95" s="95"/>
      <c r="F95" s="95"/>
      <c r="G95" s="95"/>
      <c r="H95" s="95"/>
      <c r="I95" s="95"/>
      <c r="J95" s="95"/>
      <c r="K95" s="95"/>
      <c r="L95" s="95"/>
      <c r="M95" s="479" t="s">
        <v>58</v>
      </c>
      <c r="N95" s="255">
        <f>SUM(N94:N94)</f>
        <v>0.73534230000000012</v>
      </c>
      <c r="O95" s="93"/>
    </row>
    <row r="96" spans="1:15" x14ac:dyDescent="0.25">
      <c r="A96" s="107"/>
      <c r="B96" s="94"/>
      <c r="C96" s="94"/>
      <c r="D96" s="94"/>
      <c r="E96" s="94"/>
      <c r="F96" s="94"/>
      <c r="G96" s="94"/>
      <c r="H96" s="94"/>
      <c r="I96" s="94"/>
      <c r="J96" s="94"/>
      <c r="K96" s="94"/>
      <c r="L96" s="94"/>
      <c r="M96" s="94"/>
      <c r="N96" s="94"/>
      <c r="O96" s="93"/>
    </row>
    <row r="97" spans="1:15" x14ac:dyDescent="0.25">
      <c r="A97" s="481" t="s">
        <v>67</v>
      </c>
      <c r="B97" s="274" t="s">
        <v>106</v>
      </c>
      <c r="C97" s="274" t="s">
        <v>66</v>
      </c>
      <c r="D97" s="274" t="s">
        <v>65</v>
      </c>
      <c r="E97" s="274" t="s">
        <v>64</v>
      </c>
      <c r="F97" s="274" t="s">
        <v>40</v>
      </c>
      <c r="G97" s="274" t="s">
        <v>105</v>
      </c>
      <c r="H97" s="274" t="s">
        <v>104</v>
      </c>
      <c r="I97" s="274" t="s">
        <v>58</v>
      </c>
      <c r="J97" s="95"/>
      <c r="K97" s="95"/>
      <c r="L97" s="95"/>
      <c r="M97" s="95"/>
      <c r="N97" s="95"/>
      <c r="O97" s="93"/>
    </row>
    <row r="98" spans="1:15" ht="30" x14ac:dyDescent="0.25">
      <c r="A98" s="527">
        <v>10</v>
      </c>
      <c r="B98" s="376" t="s">
        <v>829</v>
      </c>
      <c r="C98" s="285"/>
      <c r="D98" s="337">
        <v>1.3</v>
      </c>
      <c r="E98" s="282" t="s">
        <v>64</v>
      </c>
      <c r="F98" s="282">
        <v>1</v>
      </c>
      <c r="G98" s="282"/>
      <c r="H98" s="282"/>
      <c r="I98" s="293">
        <f>IF(H98="",D98*F98,D98*F98*H98)</f>
        <v>1.3</v>
      </c>
      <c r="J98" s="142"/>
      <c r="K98" s="142"/>
      <c r="L98" s="142"/>
      <c r="M98" s="142"/>
      <c r="N98" s="142"/>
      <c r="O98" s="120"/>
    </row>
    <row r="99" spans="1:15" x14ac:dyDescent="0.25">
      <c r="A99" s="526">
        <v>20</v>
      </c>
      <c r="B99" s="285" t="s">
        <v>514</v>
      </c>
      <c r="C99" s="285" t="s">
        <v>1063</v>
      </c>
      <c r="D99" s="337">
        <v>0.04</v>
      </c>
      <c r="E99" s="282" t="s">
        <v>512</v>
      </c>
      <c r="F99" s="282">
        <v>4</v>
      </c>
      <c r="G99" s="282" t="s">
        <v>724</v>
      </c>
      <c r="H99" s="282">
        <v>3</v>
      </c>
      <c r="I99" s="293">
        <f>IF(H99="",D99*F99,D99*F99*H99)</f>
        <v>0.48</v>
      </c>
      <c r="J99" s="94"/>
      <c r="K99" s="94"/>
      <c r="L99" s="94"/>
      <c r="M99" s="94"/>
      <c r="N99" s="94"/>
      <c r="O99" s="93"/>
    </row>
    <row r="100" spans="1:15" ht="30" x14ac:dyDescent="0.25">
      <c r="A100" s="536">
        <v>30</v>
      </c>
      <c r="B100" s="376" t="s">
        <v>1062</v>
      </c>
      <c r="C100" s="285"/>
      <c r="D100" s="337">
        <v>0.1</v>
      </c>
      <c r="E100" s="282" t="s">
        <v>101</v>
      </c>
      <c r="F100" s="282">
        <v>6</v>
      </c>
      <c r="G100" s="282"/>
      <c r="H100" s="282"/>
      <c r="I100" s="276">
        <f>IF(H100="",D100*F100,D100*F100*H100)</f>
        <v>0.60000000000000009</v>
      </c>
      <c r="J100" s="99"/>
      <c r="K100" s="99"/>
      <c r="L100" s="99"/>
      <c r="M100" s="99"/>
      <c r="N100" s="99"/>
      <c r="O100" s="130"/>
    </row>
    <row r="101" spans="1:15" x14ac:dyDescent="0.25">
      <c r="A101" s="98"/>
      <c r="B101" s="95"/>
      <c r="C101" s="95"/>
      <c r="D101" s="95"/>
      <c r="E101" s="95"/>
      <c r="F101" s="95"/>
      <c r="G101" s="95"/>
      <c r="H101" s="256" t="s">
        <v>58</v>
      </c>
      <c r="I101" s="255">
        <f>SUM(I98:I100)</f>
        <v>2.38</v>
      </c>
      <c r="J101" s="95"/>
      <c r="K101" s="95"/>
      <c r="L101" s="95"/>
      <c r="M101" s="95"/>
      <c r="N101" s="95"/>
      <c r="O101" s="93"/>
    </row>
    <row r="102" spans="1:15" x14ac:dyDescent="0.25">
      <c r="A102" s="98"/>
      <c r="B102" s="95"/>
      <c r="C102" s="95"/>
      <c r="D102" s="95"/>
      <c r="E102" s="95"/>
      <c r="F102" s="95"/>
      <c r="G102" s="95"/>
      <c r="H102" s="523"/>
      <c r="I102" s="522"/>
      <c r="J102" s="95"/>
      <c r="K102" s="95"/>
      <c r="L102" s="95"/>
      <c r="M102" s="95"/>
      <c r="N102" s="95"/>
      <c r="O102" s="93"/>
    </row>
    <row r="103" spans="1:15" x14ac:dyDescent="0.25">
      <c r="A103" s="98"/>
      <c r="B103" s="95"/>
      <c r="C103" s="95"/>
      <c r="D103" s="95"/>
      <c r="E103" s="95"/>
      <c r="F103" s="95"/>
      <c r="G103" s="95"/>
      <c r="H103" s="523"/>
      <c r="I103" s="522"/>
      <c r="J103" s="95"/>
      <c r="K103" s="95"/>
      <c r="L103" s="95"/>
      <c r="M103" s="95"/>
      <c r="N103" s="95"/>
      <c r="O103" s="93"/>
    </row>
    <row r="104" spans="1:15" x14ac:dyDescent="0.25">
      <c r="A104" s="98"/>
      <c r="B104" s="95"/>
      <c r="C104" s="95"/>
      <c r="D104" s="95"/>
      <c r="E104" s="95"/>
      <c r="F104" s="95"/>
      <c r="G104" s="95"/>
      <c r="H104" s="523"/>
      <c r="I104" s="522"/>
      <c r="J104" s="95"/>
      <c r="K104" s="95"/>
      <c r="L104" s="95"/>
      <c r="M104" s="95"/>
      <c r="N104" s="95"/>
      <c r="O104" s="93"/>
    </row>
    <row r="105" spans="1:15" x14ac:dyDescent="0.25">
      <c r="A105" s="98"/>
      <c r="B105" s="95"/>
      <c r="C105" s="95"/>
      <c r="D105" s="95"/>
      <c r="E105" s="95"/>
      <c r="F105" s="95"/>
      <c r="G105" s="95"/>
      <c r="H105" s="523"/>
      <c r="I105" s="522"/>
      <c r="J105" s="95"/>
      <c r="K105" s="95"/>
      <c r="L105" s="95"/>
      <c r="M105" s="95"/>
      <c r="N105" s="95"/>
      <c r="O105" s="93"/>
    </row>
    <row r="106" spans="1:15" ht="15.75" thickBot="1" x14ac:dyDescent="0.3">
      <c r="A106" s="541"/>
      <c r="B106" s="533"/>
      <c r="C106" s="533"/>
      <c r="D106" s="533"/>
      <c r="E106" s="533"/>
      <c r="F106" s="533"/>
      <c r="G106" s="533"/>
      <c r="H106" s="532"/>
      <c r="I106" s="531"/>
      <c r="J106" s="533"/>
      <c r="K106" s="533"/>
      <c r="L106" s="533"/>
      <c r="M106" s="533"/>
      <c r="N106" s="533"/>
      <c r="O106" s="540"/>
    </row>
    <row r="107" spans="1:15" ht="15.75" thickBot="1" x14ac:dyDescent="0.3"/>
    <row r="108" spans="1:15" x14ac:dyDescent="0.25">
      <c r="A108" s="141"/>
      <c r="B108" s="140"/>
      <c r="C108" s="140"/>
      <c r="D108" s="140"/>
      <c r="E108" s="140"/>
      <c r="F108" s="140"/>
      <c r="G108" s="140"/>
      <c r="H108" s="140"/>
      <c r="I108" s="140"/>
      <c r="J108" s="272"/>
      <c r="K108" s="140"/>
      <c r="L108" s="140"/>
      <c r="M108" s="140"/>
      <c r="N108" s="140"/>
      <c r="O108" s="139"/>
    </row>
    <row r="109" spans="1:15" x14ac:dyDescent="0.25">
      <c r="A109" s="267" t="s">
        <v>57</v>
      </c>
      <c r="B109" s="133" t="s">
        <v>523</v>
      </c>
      <c r="C109" s="94"/>
      <c r="D109" s="94"/>
      <c r="E109" s="94"/>
      <c r="F109" s="94"/>
      <c r="G109" s="94"/>
      <c r="H109" s="94"/>
      <c r="I109" s="94"/>
      <c r="J109" s="271" t="s">
        <v>51</v>
      </c>
      <c r="K109" s="138">
        <v>81</v>
      </c>
      <c r="L109" s="94"/>
      <c r="M109" s="267" t="s">
        <v>113</v>
      </c>
      <c r="N109" s="100">
        <f>EN_01005_m+EN_01005_p+EN_01005_t+EN_01005_f</f>
        <v>56.263297633333337</v>
      </c>
      <c r="O109" s="93"/>
    </row>
    <row r="110" spans="1:15" x14ac:dyDescent="0.25">
      <c r="A110" s="267" t="s">
        <v>125</v>
      </c>
      <c r="B110" s="133" t="s">
        <v>21</v>
      </c>
      <c r="C110" s="94"/>
      <c r="D110" s="267" t="s">
        <v>122</v>
      </c>
      <c r="E110" s="270" t="s">
        <v>1061</v>
      </c>
      <c r="F110" s="94"/>
      <c r="G110" s="94"/>
      <c r="H110" s="94"/>
      <c r="I110" s="94"/>
      <c r="J110" s="94"/>
      <c r="K110" s="94"/>
      <c r="L110" s="94"/>
      <c r="M110" s="267" t="s">
        <v>124</v>
      </c>
      <c r="N110" s="136">
        <v>1</v>
      </c>
      <c r="O110" s="93"/>
    </row>
    <row r="111" spans="1:15" x14ac:dyDescent="0.25">
      <c r="A111" s="267" t="s">
        <v>123</v>
      </c>
      <c r="B111" s="270" t="str">
        <f>'EN Assemblies'!B4</f>
        <v>Engine</v>
      </c>
      <c r="C111" s="94"/>
      <c r="D111" s="267" t="s">
        <v>119</v>
      </c>
      <c r="E111" s="270" t="s">
        <v>1060</v>
      </c>
      <c r="F111" s="94"/>
      <c r="G111" s="94"/>
      <c r="H111" s="94"/>
      <c r="I111" s="94"/>
      <c r="J111" s="268" t="s">
        <v>122</v>
      </c>
      <c r="K111" s="94"/>
      <c r="L111" s="94"/>
      <c r="M111" s="94"/>
      <c r="N111" s="94"/>
      <c r="O111" s="93"/>
    </row>
    <row r="112" spans="1:15" x14ac:dyDescent="0.25">
      <c r="A112" s="267" t="s">
        <v>114</v>
      </c>
      <c r="B112" s="372" t="s">
        <v>1059</v>
      </c>
      <c r="C112" s="94"/>
      <c r="D112" s="267" t="s">
        <v>116</v>
      </c>
      <c r="E112" s="270" t="s">
        <v>1058</v>
      </c>
      <c r="F112" s="94"/>
      <c r="G112" s="94"/>
      <c r="H112" s="94"/>
      <c r="I112" s="94"/>
      <c r="J112" s="268" t="s">
        <v>119</v>
      </c>
      <c r="K112" s="94"/>
      <c r="L112" s="94"/>
      <c r="M112" s="267" t="s">
        <v>118</v>
      </c>
      <c r="N112" s="100">
        <f>N110*N109</f>
        <v>56.263297633333337</v>
      </c>
      <c r="O112" s="93"/>
    </row>
    <row r="113" spans="1:15" x14ac:dyDescent="0.25">
      <c r="A113" s="267" t="s">
        <v>121</v>
      </c>
      <c r="B113" s="269" t="s">
        <v>1057</v>
      </c>
      <c r="C113" s="94"/>
      <c r="D113" s="267" t="s">
        <v>989</v>
      </c>
      <c r="E113" s="270" t="s">
        <v>1056</v>
      </c>
      <c r="F113" s="94"/>
      <c r="G113" s="94"/>
      <c r="H113" s="94"/>
      <c r="I113" s="94"/>
      <c r="J113" s="268" t="s">
        <v>116</v>
      </c>
      <c r="K113" s="94"/>
      <c r="L113" s="94"/>
      <c r="M113" s="94"/>
      <c r="N113" s="94"/>
      <c r="O113" s="93"/>
    </row>
    <row r="114" spans="1:15" x14ac:dyDescent="0.25">
      <c r="A114" s="267" t="s">
        <v>117</v>
      </c>
      <c r="B114" s="133" t="s">
        <v>23</v>
      </c>
      <c r="C114" s="94"/>
      <c r="D114" s="94"/>
      <c r="E114" s="94"/>
      <c r="F114" s="94"/>
      <c r="G114" s="94"/>
      <c r="H114" s="94"/>
      <c r="I114" s="94"/>
      <c r="J114" s="94"/>
      <c r="K114" s="94"/>
      <c r="L114" s="94"/>
      <c r="M114" s="94"/>
      <c r="N114" s="94"/>
      <c r="O114" s="93"/>
    </row>
    <row r="115" spans="1:15" x14ac:dyDescent="0.25">
      <c r="A115" s="267" t="s">
        <v>115</v>
      </c>
      <c r="B115" s="194" t="s">
        <v>1055</v>
      </c>
      <c r="C115" s="94"/>
      <c r="D115" s="94"/>
      <c r="E115" s="94"/>
      <c r="F115" s="94"/>
      <c r="G115" s="94"/>
      <c r="H115" s="94"/>
      <c r="I115" s="94"/>
      <c r="J115" s="94"/>
      <c r="K115" s="94"/>
      <c r="L115" s="94"/>
      <c r="M115" s="94"/>
      <c r="N115" s="94"/>
      <c r="O115" s="93"/>
    </row>
    <row r="116" spans="1:15" x14ac:dyDescent="0.25">
      <c r="A116" s="266"/>
      <c r="B116" s="265"/>
      <c r="C116" s="265"/>
      <c r="D116" s="265"/>
      <c r="E116" s="265"/>
      <c r="F116" s="94"/>
      <c r="G116" s="94"/>
      <c r="H116" s="94"/>
      <c r="I116" s="94"/>
      <c r="J116" s="94"/>
      <c r="K116" s="94"/>
      <c r="L116" s="94"/>
      <c r="M116" s="94"/>
      <c r="N116" s="94"/>
      <c r="O116" s="93"/>
    </row>
    <row r="117" spans="1:15" x14ac:dyDescent="0.25">
      <c r="A117" s="264" t="s">
        <v>67</v>
      </c>
      <c r="B117" s="263" t="s">
        <v>112</v>
      </c>
      <c r="C117" s="263" t="s">
        <v>66</v>
      </c>
      <c r="D117" s="263" t="s">
        <v>65</v>
      </c>
      <c r="E117" s="263" t="s">
        <v>81</v>
      </c>
      <c r="F117" s="274" t="s">
        <v>80</v>
      </c>
      <c r="G117" s="274" t="s">
        <v>79</v>
      </c>
      <c r="H117" s="274" t="s">
        <v>78</v>
      </c>
      <c r="I117" s="274" t="s">
        <v>111</v>
      </c>
      <c r="J117" s="274" t="s">
        <v>110</v>
      </c>
      <c r="K117" s="274" t="s">
        <v>109</v>
      </c>
      <c r="L117" s="274" t="s">
        <v>108</v>
      </c>
      <c r="M117" s="274" t="s">
        <v>40</v>
      </c>
      <c r="N117" s="274" t="s">
        <v>58</v>
      </c>
      <c r="O117" s="93"/>
    </row>
    <row r="118" spans="1:15" s="214" customFormat="1" ht="30" x14ac:dyDescent="0.25">
      <c r="A118" s="1644">
        <v>10</v>
      </c>
      <c r="B118" s="292" t="s">
        <v>479</v>
      </c>
      <c r="C118" s="282" t="s">
        <v>1054</v>
      </c>
      <c r="D118" s="337">
        <v>4.2</v>
      </c>
      <c r="E118" s="282">
        <v>300</v>
      </c>
      <c r="F118" s="282" t="s">
        <v>68</v>
      </c>
      <c r="G118" s="282">
        <v>2.5</v>
      </c>
      <c r="H118" s="278" t="s">
        <v>68</v>
      </c>
      <c r="I118" s="281" t="s">
        <v>1053</v>
      </c>
      <c r="J118" s="377">
        <v>7.5000000000000002E-4</v>
      </c>
      <c r="K118" s="278">
        <v>0.4</v>
      </c>
      <c r="L118" s="278">
        <v>2710</v>
      </c>
      <c r="M118" s="539">
        <v>1</v>
      </c>
      <c r="N118" s="276">
        <f>IF(J118="",D118*M118,D118*J118*K118*L118*M118)</f>
        <v>3.4146000000000001</v>
      </c>
      <c r="O118" s="498"/>
    </row>
    <row r="119" spans="1:15" ht="30" x14ac:dyDescent="0.25">
      <c r="A119" s="529">
        <v>20</v>
      </c>
      <c r="B119" s="292" t="s">
        <v>479</v>
      </c>
      <c r="C119" s="292" t="s">
        <v>1052</v>
      </c>
      <c r="D119" s="337">
        <v>4.2</v>
      </c>
      <c r="E119" s="282">
        <v>70</v>
      </c>
      <c r="F119" s="282" t="s">
        <v>68</v>
      </c>
      <c r="G119" s="282">
        <v>1.5</v>
      </c>
      <c r="H119" s="278" t="s">
        <v>68</v>
      </c>
      <c r="I119" s="538" t="s">
        <v>1051</v>
      </c>
      <c r="J119" s="377">
        <v>1.05E-4</v>
      </c>
      <c r="K119" s="278">
        <v>0.13</v>
      </c>
      <c r="L119" s="537">
        <v>2710</v>
      </c>
      <c r="M119" s="397">
        <v>1</v>
      </c>
      <c r="N119" s="276">
        <f>IF(J119="",D119*M119,D119*J119*K119*L119*M119)</f>
        <v>0.15536430000000001</v>
      </c>
      <c r="O119" s="143"/>
    </row>
    <row r="120" spans="1:15" x14ac:dyDescent="0.25">
      <c r="A120" s="98"/>
      <c r="B120" s="95"/>
      <c r="C120" s="95"/>
      <c r="D120" s="95"/>
      <c r="E120" s="95"/>
      <c r="F120" s="95"/>
      <c r="G120" s="95"/>
      <c r="H120" s="95"/>
      <c r="I120" s="95"/>
      <c r="J120" s="95"/>
      <c r="K120" s="95"/>
      <c r="L120" s="95"/>
      <c r="M120" s="479" t="s">
        <v>58</v>
      </c>
      <c r="N120" s="255">
        <f>SUM(N118:N119)</f>
        <v>3.5699643000000001</v>
      </c>
      <c r="O120" s="93"/>
    </row>
    <row r="121" spans="1:15" x14ac:dyDescent="0.25">
      <c r="A121" s="107"/>
      <c r="B121" s="94"/>
      <c r="C121" s="94"/>
      <c r="D121" s="94"/>
      <c r="E121" s="94"/>
      <c r="F121" s="94"/>
      <c r="G121" s="94"/>
      <c r="H121" s="94"/>
      <c r="I121" s="94"/>
      <c r="J121" s="94"/>
      <c r="K121" s="94"/>
      <c r="L121" s="94"/>
      <c r="M121" s="94"/>
      <c r="N121" s="94"/>
      <c r="O121" s="93"/>
    </row>
    <row r="122" spans="1:15" x14ac:dyDescent="0.25">
      <c r="A122" s="481" t="s">
        <v>67</v>
      </c>
      <c r="B122" s="274" t="s">
        <v>106</v>
      </c>
      <c r="C122" s="274" t="s">
        <v>66</v>
      </c>
      <c r="D122" s="274" t="s">
        <v>65</v>
      </c>
      <c r="E122" s="274" t="s">
        <v>64</v>
      </c>
      <c r="F122" s="274" t="s">
        <v>40</v>
      </c>
      <c r="G122" s="274" t="s">
        <v>105</v>
      </c>
      <c r="H122" s="274" t="s">
        <v>104</v>
      </c>
      <c r="I122" s="274" t="s">
        <v>58</v>
      </c>
      <c r="J122" s="95"/>
      <c r="K122" s="95"/>
      <c r="L122" s="95"/>
      <c r="M122" s="95"/>
      <c r="N122" s="95"/>
      <c r="O122" s="93"/>
    </row>
    <row r="123" spans="1:15" ht="30" x14ac:dyDescent="0.25">
      <c r="A123" s="527">
        <v>10</v>
      </c>
      <c r="B123" s="376" t="s">
        <v>1046</v>
      </c>
      <c r="C123" s="376" t="s">
        <v>1050</v>
      </c>
      <c r="D123" s="337">
        <v>1.3</v>
      </c>
      <c r="E123" s="282" t="s">
        <v>64</v>
      </c>
      <c r="F123" s="282">
        <v>2</v>
      </c>
      <c r="G123" s="282"/>
      <c r="H123" s="282"/>
      <c r="I123" s="293">
        <f t="shared" ref="I123:I131" si="0">IF(H123="",D123*F123,D123*F123*H123)</f>
        <v>2.6</v>
      </c>
      <c r="J123" s="142"/>
      <c r="K123" s="142"/>
      <c r="L123" s="142"/>
      <c r="M123" s="142"/>
      <c r="N123" s="142"/>
      <c r="O123" s="120"/>
    </row>
    <row r="124" spans="1:15" x14ac:dyDescent="0.25">
      <c r="A124" s="526">
        <v>20</v>
      </c>
      <c r="B124" s="285" t="s">
        <v>527</v>
      </c>
      <c r="C124" s="285" t="s">
        <v>1049</v>
      </c>
      <c r="D124" s="337">
        <v>0.01</v>
      </c>
      <c r="E124" s="282" t="s">
        <v>101</v>
      </c>
      <c r="F124" s="282">
        <v>427.2</v>
      </c>
      <c r="G124" s="282" t="s">
        <v>629</v>
      </c>
      <c r="H124" s="282">
        <v>1</v>
      </c>
      <c r="I124" s="293">
        <f t="shared" si="0"/>
        <v>4.2720000000000002</v>
      </c>
      <c r="J124" s="94"/>
      <c r="K124" s="94"/>
      <c r="L124" s="94"/>
      <c r="M124" s="94"/>
      <c r="N124" s="94"/>
      <c r="O124" s="93"/>
    </row>
    <row r="125" spans="1:15" x14ac:dyDescent="0.25">
      <c r="A125" s="536">
        <v>30</v>
      </c>
      <c r="B125" s="376" t="s">
        <v>527</v>
      </c>
      <c r="C125" s="285" t="s">
        <v>1048</v>
      </c>
      <c r="D125" s="337">
        <v>0.01</v>
      </c>
      <c r="E125" s="282" t="s">
        <v>101</v>
      </c>
      <c r="F125" s="282">
        <v>77.8</v>
      </c>
      <c r="G125" s="282" t="s">
        <v>629</v>
      </c>
      <c r="H125" s="282">
        <v>1</v>
      </c>
      <c r="I125" s="293">
        <f t="shared" si="0"/>
        <v>0.77800000000000002</v>
      </c>
      <c r="J125" s="99"/>
      <c r="K125" s="99"/>
      <c r="L125" s="99"/>
      <c r="M125" s="99"/>
      <c r="N125" s="99"/>
      <c r="O125" s="130"/>
    </row>
    <row r="126" spans="1:15" ht="30" x14ac:dyDescent="0.25">
      <c r="A126" s="527">
        <v>40</v>
      </c>
      <c r="B126" s="376" t="s">
        <v>103</v>
      </c>
      <c r="C126" s="376" t="s">
        <v>1047</v>
      </c>
      <c r="D126" s="337">
        <v>0.15</v>
      </c>
      <c r="E126" s="282" t="s">
        <v>101</v>
      </c>
      <c r="F126" s="282">
        <v>162.4</v>
      </c>
      <c r="G126" s="282"/>
      <c r="H126" s="282"/>
      <c r="I126" s="293">
        <f t="shared" si="0"/>
        <v>24.36</v>
      </c>
      <c r="J126" s="94"/>
      <c r="K126" s="94"/>
      <c r="L126" s="94"/>
      <c r="M126" s="94"/>
      <c r="N126" s="94"/>
      <c r="O126" s="93"/>
    </row>
    <row r="127" spans="1:15" ht="30" x14ac:dyDescent="0.25">
      <c r="A127" s="526">
        <v>50</v>
      </c>
      <c r="B127" s="376" t="s">
        <v>1046</v>
      </c>
      <c r="C127" s="285"/>
      <c r="D127" s="337">
        <v>1.3</v>
      </c>
      <c r="E127" s="282" t="s">
        <v>64</v>
      </c>
      <c r="F127" s="282">
        <v>1</v>
      </c>
      <c r="G127" s="282"/>
      <c r="H127" s="282"/>
      <c r="I127" s="293">
        <f t="shared" si="0"/>
        <v>1.3</v>
      </c>
      <c r="J127" s="94"/>
      <c r="K127" s="94"/>
      <c r="L127" s="94"/>
      <c r="M127" s="94"/>
      <c r="N127" s="94"/>
      <c r="O127" s="93"/>
    </row>
    <row r="128" spans="1:15" x14ac:dyDescent="0.25">
      <c r="A128" s="536">
        <v>60</v>
      </c>
      <c r="B128" s="309" t="s">
        <v>296</v>
      </c>
      <c r="C128" s="285" t="s">
        <v>1045</v>
      </c>
      <c r="D128" s="337">
        <v>0.35</v>
      </c>
      <c r="E128" s="282" t="s">
        <v>294</v>
      </c>
      <c r="F128" s="282">
        <v>1</v>
      </c>
      <c r="G128" s="282"/>
      <c r="H128" s="282"/>
      <c r="I128" s="293">
        <f t="shared" si="0"/>
        <v>0.35</v>
      </c>
      <c r="J128" s="94"/>
      <c r="K128" s="94"/>
      <c r="L128" s="94"/>
      <c r="M128" s="94"/>
      <c r="N128" s="94"/>
      <c r="O128" s="93"/>
    </row>
    <row r="129" spans="1:15" ht="30" x14ac:dyDescent="0.25">
      <c r="A129" s="527">
        <v>70</v>
      </c>
      <c r="B129" s="309" t="s">
        <v>631</v>
      </c>
      <c r="C129" s="285" t="s">
        <v>1044</v>
      </c>
      <c r="D129" s="337">
        <v>0.1</v>
      </c>
      <c r="E129" s="282" t="s">
        <v>101</v>
      </c>
      <c r="F129" s="282">
        <v>0.6</v>
      </c>
      <c r="G129" s="282"/>
      <c r="H129" s="282"/>
      <c r="I129" s="293">
        <f t="shared" si="0"/>
        <v>0.06</v>
      </c>
      <c r="J129" s="94"/>
      <c r="K129" s="94"/>
      <c r="L129" s="94"/>
      <c r="M129" s="94"/>
      <c r="N129" s="94"/>
      <c r="O129" s="93"/>
    </row>
    <row r="130" spans="1:15" ht="30" x14ac:dyDescent="0.25">
      <c r="A130" s="526">
        <v>80</v>
      </c>
      <c r="B130" s="282" t="s">
        <v>163</v>
      </c>
      <c r="C130" s="285" t="s">
        <v>1034</v>
      </c>
      <c r="D130" s="337">
        <v>0.5</v>
      </c>
      <c r="E130" s="282" t="s">
        <v>64</v>
      </c>
      <c r="F130" s="282">
        <v>12</v>
      </c>
      <c r="G130" s="309" t="s">
        <v>189</v>
      </c>
      <c r="H130" s="282">
        <v>1.5</v>
      </c>
      <c r="I130" s="293">
        <f t="shared" si="0"/>
        <v>9</v>
      </c>
      <c r="J130" s="94"/>
      <c r="K130" s="94"/>
      <c r="L130" s="94"/>
      <c r="M130" s="94"/>
      <c r="N130" s="94"/>
      <c r="O130" s="93"/>
    </row>
    <row r="131" spans="1:15" x14ac:dyDescent="0.25">
      <c r="A131" s="536">
        <v>90</v>
      </c>
      <c r="B131" s="309" t="s">
        <v>85</v>
      </c>
      <c r="C131" s="285" t="s">
        <v>1043</v>
      </c>
      <c r="D131" s="337">
        <v>0.75</v>
      </c>
      <c r="E131" s="282" t="s">
        <v>64</v>
      </c>
      <c r="F131" s="282">
        <v>1</v>
      </c>
      <c r="G131" s="282"/>
      <c r="H131" s="282"/>
      <c r="I131" s="293">
        <f t="shared" si="0"/>
        <v>0.75</v>
      </c>
      <c r="J131" s="94"/>
      <c r="K131" s="94"/>
      <c r="L131" s="94"/>
      <c r="M131" s="94"/>
      <c r="N131" s="94"/>
      <c r="O131" s="93"/>
    </row>
    <row r="132" spans="1:15" x14ac:dyDescent="0.25">
      <c r="A132" s="98"/>
      <c r="B132" s="95"/>
      <c r="C132" s="95"/>
      <c r="D132" s="95"/>
      <c r="E132" s="95"/>
      <c r="F132" s="95"/>
      <c r="G132" s="95"/>
      <c r="H132" s="256" t="s">
        <v>58</v>
      </c>
      <c r="I132" s="255">
        <f>SUM(I123:I131)</f>
        <v>43.47</v>
      </c>
      <c r="J132" s="95"/>
      <c r="K132" s="95"/>
      <c r="L132" s="95"/>
      <c r="M132" s="95"/>
      <c r="N132" s="95"/>
      <c r="O132" s="93"/>
    </row>
    <row r="133" spans="1:15" x14ac:dyDescent="0.25">
      <c r="A133" s="107"/>
      <c r="B133" s="94"/>
      <c r="C133" s="94"/>
      <c r="D133" s="94"/>
      <c r="E133" s="94"/>
      <c r="F133" s="94"/>
      <c r="G133" s="94"/>
      <c r="H133" s="94"/>
      <c r="I133" s="99"/>
      <c r="J133" s="94"/>
      <c r="K133" s="94"/>
      <c r="L133" s="94"/>
      <c r="M133" s="94"/>
      <c r="N133" s="94"/>
      <c r="O133" s="93"/>
    </row>
    <row r="134" spans="1:15" x14ac:dyDescent="0.25">
      <c r="A134" s="481" t="s">
        <v>67</v>
      </c>
      <c r="B134" s="274" t="s">
        <v>82</v>
      </c>
      <c r="C134" s="274" t="s">
        <v>66</v>
      </c>
      <c r="D134" s="274" t="s">
        <v>65</v>
      </c>
      <c r="E134" s="274" t="s">
        <v>81</v>
      </c>
      <c r="F134" s="274" t="s">
        <v>80</v>
      </c>
      <c r="G134" s="274" t="s">
        <v>79</v>
      </c>
      <c r="H134" s="274" t="s">
        <v>78</v>
      </c>
      <c r="I134" s="274" t="s">
        <v>40</v>
      </c>
      <c r="J134" s="274" t="s">
        <v>58</v>
      </c>
      <c r="K134" s="94"/>
      <c r="L134" s="94"/>
      <c r="M134" s="94"/>
      <c r="N134" s="94"/>
      <c r="O134" s="93"/>
    </row>
    <row r="135" spans="1:15" x14ac:dyDescent="0.25">
      <c r="A135" s="526">
        <v>10</v>
      </c>
      <c r="B135" s="338" t="s">
        <v>72</v>
      </c>
      <c r="C135" s="292" t="s">
        <v>1042</v>
      </c>
      <c r="D135" s="282">
        <v>7.0000000000000007E-2</v>
      </c>
      <c r="E135" s="282">
        <v>6</v>
      </c>
      <c r="F135" s="535" t="s">
        <v>68</v>
      </c>
      <c r="G135" s="282">
        <v>30</v>
      </c>
      <c r="H135" s="285" t="s">
        <v>68</v>
      </c>
      <c r="I135" s="534">
        <v>12</v>
      </c>
      <c r="J135" s="276">
        <f>I135*D135</f>
        <v>0.84000000000000008</v>
      </c>
      <c r="K135" s="94"/>
      <c r="L135" s="94"/>
      <c r="M135" s="94"/>
      <c r="N135" s="94"/>
      <c r="O135" s="93"/>
    </row>
    <row r="136" spans="1:15" x14ac:dyDescent="0.25">
      <c r="A136" s="526">
        <v>20</v>
      </c>
      <c r="B136" s="338" t="s">
        <v>72</v>
      </c>
      <c r="C136" s="292" t="s">
        <v>1041</v>
      </c>
      <c r="D136" s="282">
        <v>0.05</v>
      </c>
      <c r="E136" s="282">
        <v>8</v>
      </c>
      <c r="F136" s="535" t="s">
        <v>68</v>
      </c>
      <c r="G136" s="282">
        <v>10</v>
      </c>
      <c r="H136" s="285" t="s">
        <v>68</v>
      </c>
      <c r="I136" s="534">
        <v>1</v>
      </c>
      <c r="J136" s="276">
        <f>I136*D136</f>
        <v>0.05</v>
      </c>
      <c r="K136" s="94"/>
      <c r="L136" s="94"/>
      <c r="M136" s="94"/>
      <c r="N136" s="94"/>
      <c r="O136" s="93"/>
    </row>
    <row r="137" spans="1:15" x14ac:dyDescent="0.25">
      <c r="A137" s="98"/>
      <c r="B137" s="95"/>
      <c r="C137" s="95"/>
      <c r="D137" s="95"/>
      <c r="E137" s="95"/>
      <c r="F137" s="95"/>
      <c r="G137" s="95"/>
      <c r="H137" s="95"/>
      <c r="I137" s="256" t="s">
        <v>58</v>
      </c>
      <c r="J137" s="255">
        <f>SUM(J135:J136)</f>
        <v>0.89000000000000012</v>
      </c>
      <c r="K137" s="94"/>
      <c r="L137" s="94"/>
      <c r="M137" s="94"/>
      <c r="N137" s="94"/>
      <c r="O137" s="93"/>
    </row>
    <row r="138" spans="1:15" x14ac:dyDescent="0.25">
      <c r="A138" s="360"/>
      <c r="B138" s="99"/>
      <c r="C138" s="99"/>
      <c r="D138" s="99"/>
      <c r="E138" s="99"/>
      <c r="F138" s="99"/>
      <c r="G138" s="99"/>
      <c r="H138" s="359"/>
      <c r="I138" s="358"/>
      <c r="J138" s="99"/>
      <c r="K138" s="94"/>
      <c r="L138" s="94"/>
      <c r="M138" s="94"/>
      <c r="N138" s="94"/>
      <c r="O138" s="93"/>
    </row>
    <row r="139" spans="1:15" x14ac:dyDescent="0.25">
      <c r="A139" s="481" t="s">
        <v>67</v>
      </c>
      <c r="B139" s="274" t="s">
        <v>13</v>
      </c>
      <c r="C139" s="274" t="s">
        <v>66</v>
      </c>
      <c r="D139" s="274" t="s">
        <v>65</v>
      </c>
      <c r="E139" s="274" t="s">
        <v>64</v>
      </c>
      <c r="F139" s="274" t="s">
        <v>40</v>
      </c>
      <c r="G139" s="274" t="s">
        <v>63</v>
      </c>
      <c r="H139" s="274" t="s">
        <v>741</v>
      </c>
      <c r="I139" s="274" t="s">
        <v>58</v>
      </c>
      <c r="J139" s="95"/>
      <c r="K139" s="94"/>
      <c r="L139" s="94"/>
      <c r="M139" s="94"/>
      <c r="N139" s="94"/>
      <c r="O139" s="93"/>
    </row>
    <row r="140" spans="1:15" x14ac:dyDescent="0.25">
      <c r="A140" s="526">
        <v>10</v>
      </c>
      <c r="B140" s="367" t="s">
        <v>61</v>
      </c>
      <c r="C140" s="282" t="s">
        <v>482</v>
      </c>
      <c r="D140" s="337">
        <v>500</v>
      </c>
      <c r="E140" s="282" t="s">
        <v>59</v>
      </c>
      <c r="F140" s="282">
        <v>50</v>
      </c>
      <c r="G140" s="282">
        <v>3000</v>
      </c>
      <c r="H140" s="282">
        <v>1</v>
      </c>
      <c r="I140" s="276">
        <f>D140*F140/G140*H140</f>
        <v>8.3333333333333339</v>
      </c>
      <c r="J140" s="99"/>
      <c r="K140" s="99"/>
      <c r="L140" s="99"/>
      <c r="M140" s="99"/>
      <c r="N140" s="99"/>
      <c r="O140" s="130"/>
    </row>
    <row r="141" spans="1:15" x14ac:dyDescent="0.25">
      <c r="A141" s="98"/>
      <c r="B141" s="95"/>
      <c r="C141" s="95"/>
      <c r="D141" s="95"/>
      <c r="E141" s="95"/>
      <c r="F141" s="95"/>
      <c r="G141" s="95"/>
      <c r="H141" s="256" t="s">
        <v>58</v>
      </c>
      <c r="I141" s="255">
        <f>SUM(I140:I140)</f>
        <v>8.3333333333333339</v>
      </c>
      <c r="J141" s="95"/>
      <c r="K141" s="94"/>
      <c r="L141" s="94"/>
      <c r="M141" s="94"/>
      <c r="N141" s="94"/>
      <c r="O141" s="93"/>
    </row>
    <row r="142" spans="1:15" ht="15.75" thickBot="1" x14ac:dyDescent="0.3">
      <c r="A142" s="92"/>
      <c r="B142" s="91"/>
      <c r="C142" s="91"/>
      <c r="D142" s="91"/>
      <c r="E142" s="91"/>
      <c r="F142" s="91"/>
      <c r="G142" s="91"/>
      <c r="H142" s="91"/>
      <c r="I142" s="91"/>
      <c r="J142" s="91"/>
      <c r="K142" s="91"/>
      <c r="L142" s="91"/>
      <c r="M142" s="91"/>
      <c r="N142" s="91"/>
      <c r="O142" s="90"/>
    </row>
    <row r="143" spans="1:15" ht="15.75" thickBot="1" x14ac:dyDescent="0.3"/>
    <row r="144" spans="1:15" x14ac:dyDescent="0.25">
      <c r="A144" s="141"/>
      <c r="B144" s="140"/>
      <c r="C144" s="140"/>
      <c r="D144" s="140"/>
      <c r="E144" s="140"/>
      <c r="F144" s="140"/>
      <c r="G144" s="140"/>
      <c r="H144" s="140"/>
      <c r="I144" s="140"/>
      <c r="J144" s="272"/>
      <c r="K144" s="140"/>
      <c r="L144" s="140"/>
      <c r="M144" s="140"/>
      <c r="N144" s="140"/>
      <c r="O144" s="139"/>
    </row>
    <row r="145" spans="1:15" x14ac:dyDescent="0.25">
      <c r="A145" s="267" t="s">
        <v>57</v>
      </c>
      <c r="B145" s="133" t="s">
        <v>523</v>
      </c>
      <c r="C145" s="94"/>
      <c r="D145" s="94"/>
      <c r="E145" s="94"/>
      <c r="F145" s="94"/>
      <c r="G145" s="94"/>
      <c r="H145" s="94"/>
      <c r="I145" s="94"/>
      <c r="J145" s="271" t="s">
        <v>51</v>
      </c>
      <c r="K145" s="138">
        <v>81</v>
      </c>
      <c r="L145" s="94"/>
      <c r="M145" s="267" t="s">
        <v>113</v>
      </c>
      <c r="N145" s="100">
        <f>EN_01006_f+EN_01006_m+EN_01006_p</f>
        <v>5.8769504000000001</v>
      </c>
      <c r="O145" s="93"/>
    </row>
    <row r="146" spans="1:15" x14ac:dyDescent="0.25">
      <c r="A146" s="267" t="s">
        <v>125</v>
      </c>
      <c r="B146" s="133" t="s">
        <v>21</v>
      </c>
      <c r="C146" s="94"/>
      <c r="D146" s="267" t="s">
        <v>122</v>
      </c>
      <c r="E146" s="270" t="s">
        <v>522</v>
      </c>
      <c r="F146" s="94"/>
      <c r="G146" s="94"/>
      <c r="H146" s="94"/>
      <c r="I146" s="94"/>
      <c r="J146" s="94"/>
      <c r="K146" s="94"/>
      <c r="L146" s="94"/>
      <c r="M146" s="267" t="s">
        <v>124</v>
      </c>
      <c r="N146" s="136">
        <v>2</v>
      </c>
      <c r="O146" s="93"/>
    </row>
    <row r="147" spans="1:15" x14ac:dyDescent="0.25">
      <c r="A147" s="267" t="s">
        <v>123</v>
      </c>
      <c r="B147" s="270" t="str">
        <f>'EN Assemblies'!B4</f>
        <v>Engine</v>
      </c>
      <c r="C147" s="94"/>
      <c r="D147" s="267" t="s">
        <v>119</v>
      </c>
      <c r="E147" s="94"/>
      <c r="F147" s="94"/>
      <c r="G147" s="94"/>
      <c r="H147" s="94"/>
      <c r="I147" s="94"/>
      <c r="J147" s="268" t="s">
        <v>122</v>
      </c>
      <c r="K147" s="94"/>
      <c r="L147" s="94"/>
      <c r="M147" s="94"/>
      <c r="N147" s="94"/>
      <c r="O147" s="93"/>
    </row>
    <row r="148" spans="1:15" x14ac:dyDescent="0.25">
      <c r="A148" s="267" t="s">
        <v>114</v>
      </c>
      <c r="B148" s="372" t="s">
        <v>1040</v>
      </c>
      <c r="C148" s="94"/>
      <c r="D148" s="267" t="s">
        <v>116</v>
      </c>
      <c r="E148" s="94"/>
      <c r="F148" s="94"/>
      <c r="G148" s="94"/>
      <c r="H148" s="94"/>
      <c r="I148" s="94"/>
      <c r="J148" s="268" t="s">
        <v>119</v>
      </c>
      <c r="K148" s="94"/>
      <c r="L148" s="94"/>
      <c r="M148" s="267" t="s">
        <v>118</v>
      </c>
      <c r="N148" s="100">
        <f>N146*N145</f>
        <v>11.7539008</v>
      </c>
      <c r="O148" s="93"/>
    </row>
    <row r="149" spans="1:15" x14ac:dyDescent="0.25">
      <c r="A149" s="267" t="s">
        <v>121</v>
      </c>
      <c r="B149" s="269" t="s">
        <v>1039</v>
      </c>
      <c r="C149" s="94"/>
      <c r="D149" s="94"/>
      <c r="E149" s="94"/>
      <c r="F149" s="94"/>
      <c r="G149" s="94"/>
      <c r="H149" s="94"/>
      <c r="I149" s="94"/>
      <c r="J149" s="268" t="s">
        <v>116</v>
      </c>
      <c r="K149" s="94"/>
      <c r="L149" s="94"/>
      <c r="M149" s="94"/>
      <c r="N149" s="94"/>
      <c r="O149" s="93"/>
    </row>
    <row r="150" spans="1:15" x14ac:dyDescent="0.25">
      <c r="A150" s="267" t="s">
        <v>117</v>
      </c>
      <c r="B150" s="133" t="s">
        <v>23</v>
      </c>
      <c r="C150" s="94"/>
      <c r="D150" s="94"/>
      <c r="E150" s="94"/>
      <c r="F150" s="94"/>
      <c r="G150" s="94"/>
      <c r="H150" s="94"/>
      <c r="I150" s="94"/>
      <c r="J150" s="94"/>
      <c r="K150" s="94"/>
      <c r="L150" s="94"/>
      <c r="M150" s="94"/>
      <c r="N150" s="94"/>
      <c r="O150" s="93"/>
    </row>
    <row r="151" spans="1:15" x14ac:dyDescent="0.25">
      <c r="A151" s="267" t="s">
        <v>115</v>
      </c>
      <c r="B151" s="194" t="s">
        <v>1038</v>
      </c>
      <c r="C151" s="94"/>
      <c r="D151" s="94"/>
      <c r="E151" s="94"/>
      <c r="F151" s="94"/>
      <c r="G151" s="94"/>
      <c r="H151" s="94"/>
      <c r="I151" s="94"/>
      <c r="J151" s="94"/>
      <c r="K151" s="94"/>
      <c r="L151" s="94"/>
      <c r="M151" s="94"/>
      <c r="N151" s="94"/>
      <c r="O151" s="93"/>
    </row>
    <row r="152" spans="1:15" x14ac:dyDescent="0.25">
      <c r="A152" s="266"/>
      <c r="B152" s="265"/>
      <c r="C152" s="265"/>
      <c r="D152" s="265"/>
      <c r="E152" s="265"/>
      <c r="F152" s="94"/>
      <c r="G152" s="94"/>
      <c r="H152" s="94"/>
      <c r="I152" s="94"/>
      <c r="J152" s="94"/>
      <c r="K152" s="94"/>
      <c r="L152" s="94"/>
      <c r="M152" s="94"/>
      <c r="N152" s="94"/>
      <c r="O152" s="93"/>
    </row>
    <row r="153" spans="1:15" x14ac:dyDescent="0.25">
      <c r="A153" s="264" t="s">
        <v>67</v>
      </c>
      <c r="B153" s="263" t="s">
        <v>112</v>
      </c>
      <c r="C153" s="263" t="s">
        <v>66</v>
      </c>
      <c r="D153" s="263" t="s">
        <v>65</v>
      </c>
      <c r="E153" s="263" t="s">
        <v>81</v>
      </c>
      <c r="F153" s="274" t="s">
        <v>80</v>
      </c>
      <c r="G153" s="274" t="s">
        <v>79</v>
      </c>
      <c r="H153" s="274" t="s">
        <v>78</v>
      </c>
      <c r="I153" s="274" t="s">
        <v>111</v>
      </c>
      <c r="J153" s="274" t="s">
        <v>110</v>
      </c>
      <c r="K153" s="274" t="s">
        <v>109</v>
      </c>
      <c r="L153" s="274" t="s">
        <v>108</v>
      </c>
      <c r="M153" s="274" t="s">
        <v>40</v>
      </c>
      <c r="N153" s="274" t="s">
        <v>58</v>
      </c>
      <c r="O153" s="93"/>
    </row>
    <row r="154" spans="1:15" ht="30" x14ac:dyDescent="0.25">
      <c r="A154" s="529">
        <v>10</v>
      </c>
      <c r="B154" s="282" t="s">
        <v>479</v>
      </c>
      <c r="C154" s="282" t="s">
        <v>1037</v>
      </c>
      <c r="D154" s="337">
        <v>4.2</v>
      </c>
      <c r="E154" s="282">
        <v>60</v>
      </c>
      <c r="F154" s="282" t="s">
        <v>68</v>
      </c>
      <c r="G154" s="282">
        <v>2</v>
      </c>
      <c r="H154" s="278" t="s">
        <v>68</v>
      </c>
      <c r="I154" s="281" t="s">
        <v>1036</v>
      </c>
      <c r="J154" s="377">
        <v>1.2E-4</v>
      </c>
      <c r="K154" s="278">
        <v>0.06</v>
      </c>
      <c r="L154" s="278">
        <v>2710</v>
      </c>
      <c r="M154" s="397">
        <v>1</v>
      </c>
      <c r="N154" s="276">
        <f>IF(J154="",D154*M154,D154*J154*K154*L154*M154)</f>
        <v>8.1950399999999993E-2</v>
      </c>
      <c r="O154" s="143"/>
    </row>
    <row r="155" spans="1:15" x14ac:dyDescent="0.25">
      <c r="A155" s="98"/>
      <c r="B155" s="95"/>
      <c r="C155" s="95"/>
      <c r="D155" s="95"/>
      <c r="E155" s="95"/>
      <c r="F155" s="95"/>
      <c r="G155" s="95"/>
      <c r="H155" s="95"/>
      <c r="I155" s="95"/>
      <c r="J155" s="95"/>
      <c r="K155" s="95"/>
      <c r="L155" s="95"/>
      <c r="M155" s="479" t="s">
        <v>58</v>
      </c>
      <c r="N155" s="255">
        <f>SUM(N154:N154)</f>
        <v>8.1950399999999993E-2</v>
      </c>
      <c r="O155" s="93"/>
    </row>
    <row r="156" spans="1:15" x14ac:dyDescent="0.25">
      <c r="A156" s="107"/>
      <c r="B156" s="94"/>
      <c r="C156" s="94"/>
      <c r="D156" s="94"/>
      <c r="E156" s="94"/>
      <c r="F156" s="94"/>
      <c r="G156" s="94"/>
      <c r="H156" s="94"/>
      <c r="I156" s="94"/>
      <c r="J156" s="94"/>
      <c r="K156" s="94"/>
      <c r="L156" s="94"/>
      <c r="M156" s="94"/>
      <c r="N156" s="94"/>
      <c r="O156" s="93"/>
    </row>
    <row r="157" spans="1:15" x14ac:dyDescent="0.25">
      <c r="A157" s="481" t="s">
        <v>67</v>
      </c>
      <c r="B157" s="274" t="s">
        <v>106</v>
      </c>
      <c r="C157" s="274" t="s">
        <v>66</v>
      </c>
      <c r="D157" s="274" t="s">
        <v>65</v>
      </c>
      <c r="E157" s="274" t="s">
        <v>64</v>
      </c>
      <c r="F157" s="274" t="s">
        <v>40</v>
      </c>
      <c r="G157" s="274" t="s">
        <v>105</v>
      </c>
      <c r="H157" s="274" t="s">
        <v>104</v>
      </c>
      <c r="I157" s="274" t="s">
        <v>58</v>
      </c>
      <c r="J157" s="95"/>
      <c r="K157" s="95"/>
      <c r="L157" s="95"/>
      <c r="M157" s="95"/>
      <c r="N157" s="95"/>
      <c r="O157" s="93"/>
    </row>
    <row r="158" spans="1:15" ht="30" x14ac:dyDescent="0.25">
      <c r="A158" s="527">
        <v>10</v>
      </c>
      <c r="B158" s="376" t="s">
        <v>905</v>
      </c>
      <c r="C158" s="285"/>
      <c r="D158" s="337">
        <v>1.3</v>
      </c>
      <c r="E158" s="282" t="s">
        <v>64</v>
      </c>
      <c r="F158" s="282">
        <v>1</v>
      </c>
      <c r="G158" s="282"/>
      <c r="H158" s="282"/>
      <c r="I158" s="293">
        <f>IF(H158="",D158*F158,D158*F158*H158)</f>
        <v>1.3</v>
      </c>
      <c r="J158" s="142"/>
      <c r="K158" s="142"/>
      <c r="L158" s="142"/>
      <c r="M158" s="142"/>
      <c r="N158" s="142"/>
      <c r="O158" s="120"/>
    </row>
    <row r="159" spans="1:15" x14ac:dyDescent="0.25">
      <c r="A159" s="526">
        <v>20</v>
      </c>
      <c r="B159" s="285" t="s">
        <v>527</v>
      </c>
      <c r="C159" s="285"/>
      <c r="D159" s="337">
        <v>0.01</v>
      </c>
      <c r="E159" s="282" t="s">
        <v>101</v>
      </c>
      <c r="F159" s="282">
        <v>254</v>
      </c>
      <c r="G159" s="282" t="s">
        <v>1035</v>
      </c>
      <c r="H159" s="282">
        <v>1</v>
      </c>
      <c r="I159" s="293">
        <f>IF(H159="",D159*F159,D159*F159*H159)</f>
        <v>2.54</v>
      </c>
      <c r="J159" s="94"/>
      <c r="K159" s="94"/>
      <c r="L159" s="94"/>
      <c r="M159" s="94"/>
      <c r="N159" s="94"/>
      <c r="O159" s="93"/>
    </row>
    <row r="160" spans="1:15" ht="30" x14ac:dyDescent="0.25">
      <c r="A160" s="536">
        <v>30</v>
      </c>
      <c r="B160" s="309" t="s">
        <v>85</v>
      </c>
      <c r="C160" s="285" t="s">
        <v>1034</v>
      </c>
      <c r="D160" s="337">
        <v>0.75</v>
      </c>
      <c r="E160" s="282" t="s">
        <v>64</v>
      </c>
      <c r="F160" s="282">
        <v>2</v>
      </c>
      <c r="G160" s="309" t="s">
        <v>186</v>
      </c>
      <c r="H160" s="282">
        <v>1.25</v>
      </c>
      <c r="I160" s="293">
        <f>IF(H160="",D160*F160,D160*F160*H160)</f>
        <v>1.875</v>
      </c>
      <c r="J160" s="99"/>
      <c r="K160" s="99"/>
      <c r="L160" s="99"/>
      <c r="M160" s="99"/>
      <c r="N160" s="99"/>
      <c r="O160" s="130"/>
    </row>
    <row r="161" spans="1:15" x14ac:dyDescent="0.25">
      <c r="A161" s="98"/>
      <c r="B161" s="95"/>
      <c r="C161" s="95"/>
      <c r="D161" s="95"/>
      <c r="E161" s="95"/>
      <c r="F161" s="95"/>
      <c r="G161" s="95"/>
      <c r="H161" s="256" t="s">
        <v>58</v>
      </c>
      <c r="I161" s="255">
        <f>SUM(I158:I160)</f>
        <v>5.7149999999999999</v>
      </c>
      <c r="J161" s="95"/>
      <c r="K161" s="95"/>
      <c r="L161" s="95"/>
      <c r="M161" s="95"/>
      <c r="N161" s="95"/>
      <c r="O161" s="93"/>
    </row>
    <row r="162" spans="1:15" x14ac:dyDescent="0.25">
      <c r="A162" s="107"/>
      <c r="B162" s="94"/>
      <c r="C162" s="94"/>
      <c r="D162" s="94"/>
      <c r="E162" s="94"/>
      <c r="F162" s="94"/>
      <c r="G162" s="94"/>
      <c r="H162" s="94"/>
      <c r="I162" s="99"/>
      <c r="J162" s="94"/>
      <c r="K162" s="94"/>
      <c r="L162" s="94"/>
      <c r="M162" s="94"/>
      <c r="N162" s="94"/>
      <c r="O162" s="93"/>
    </row>
    <row r="163" spans="1:15" x14ac:dyDescent="0.25">
      <c r="A163" s="481" t="s">
        <v>67</v>
      </c>
      <c r="B163" s="274" t="s">
        <v>82</v>
      </c>
      <c r="C163" s="274" t="s">
        <v>66</v>
      </c>
      <c r="D163" s="274" t="s">
        <v>65</v>
      </c>
      <c r="E163" s="274" t="s">
        <v>81</v>
      </c>
      <c r="F163" s="274" t="s">
        <v>80</v>
      </c>
      <c r="G163" s="274" t="s">
        <v>79</v>
      </c>
      <c r="H163" s="274" t="s">
        <v>78</v>
      </c>
      <c r="I163" s="274" t="s">
        <v>40</v>
      </c>
      <c r="J163" s="274" t="s">
        <v>58</v>
      </c>
      <c r="K163" s="94"/>
      <c r="L163" s="94"/>
      <c r="M163" s="94"/>
      <c r="N163" s="94"/>
      <c r="O163" s="93"/>
    </row>
    <row r="164" spans="1:15" x14ac:dyDescent="0.25">
      <c r="A164" s="282">
        <v>10</v>
      </c>
      <c r="B164" s="338" t="s">
        <v>72</v>
      </c>
      <c r="C164" s="292" t="s">
        <v>1033</v>
      </c>
      <c r="D164" s="282">
        <v>0.04</v>
      </c>
      <c r="E164" s="282">
        <v>6</v>
      </c>
      <c r="F164" s="535" t="s">
        <v>68</v>
      </c>
      <c r="G164" s="282">
        <v>20</v>
      </c>
      <c r="H164" s="285" t="s">
        <v>68</v>
      </c>
      <c r="I164" s="534">
        <v>2</v>
      </c>
      <c r="J164" s="276">
        <f>I164*D164</f>
        <v>0.08</v>
      </c>
      <c r="K164" s="94"/>
      <c r="L164" s="94"/>
      <c r="M164" s="94"/>
      <c r="N164" s="94"/>
      <c r="O164" s="93"/>
    </row>
    <row r="165" spans="1:15" x14ac:dyDescent="0.25">
      <c r="A165" s="98"/>
      <c r="B165" s="95"/>
      <c r="C165" s="95"/>
      <c r="D165" s="95"/>
      <c r="E165" s="95"/>
      <c r="F165" s="95"/>
      <c r="G165" s="95"/>
      <c r="H165" s="95"/>
      <c r="I165" s="256" t="s">
        <v>58</v>
      </c>
      <c r="J165" s="255">
        <f>SUM(J164:J164)</f>
        <v>0.08</v>
      </c>
      <c r="K165" s="94"/>
      <c r="L165" s="94"/>
      <c r="M165" s="94"/>
      <c r="N165" s="94"/>
      <c r="O165" s="93"/>
    </row>
    <row r="166" spans="1:15" ht="15.75" thickBot="1" x14ac:dyDescent="0.3">
      <c r="A166" s="533"/>
      <c r="B166" s="533"/>
      <c r="C166" s="533"/>
      <c r="D166" s="533"/>
      <c r="E166" s="533"/>
      <c r="F166" s="533"/>
      <c r="G166" s="533"/>
      <c r="H166" s="533"/>
      <c r="I166" s="532"/>
      <c r="J166" s="531"/>
      <c r="K166" s="304"/>
      <c r="L166" s="304"/>
      <c r="M166" s="304"/>
      <c r="N166" s="304"/>
      <c r="O166" s="530"/>
    </row>
    <row r="167" spans="1:15" ht="15.75" thickBot="1" x14ac:dyDescent="0.3"/>
    <row r="168" spans="1:15" x14ac:dyDescent="0.25">
      <c r="A168" s="141"/>
      <c r="B168" s="140"/>
      <c r="C168" s="140"/>
      <c r="D168" s="140"/>
      <c r="E168" s="140"/>
      <c r="F168" s="140"/>
      <c r="G168" s="140"/>
      <c r="H168" s="140"/>
      <c r="I168" s="140"/>
      <c r="J168" s="272"/>
      <c r="K168" s="140"/>
      <c r="L168" s="140"/>
      <c r="M168" s="140"/>
      <c r="N168" s="140"/>
      <c r="O168" s="139"/>
    </row>
    <row r="169" spans="1:15" x14ac:dyDescent="0.25">
      <c r="A169" s="267" t="s">
        <v>57</v>
      </c>
      <c r="B169" s="133" t="s">
        <v>523</v>
      </c>
      <c r="C169" s="94"/>
      <c r="D169" s="94"/>
      <c r="E169" s="94"/>
      <c r="F169" s="94"/>
      <c r="G169" s="94"/>
      <c r="H169" s="94"/>
      <c r="I169" s="94"/>
      <c r="J169" s="271" t="s">
        <v>51</v>
      </c>
      <c r="K169" s="138">
        <v>81</v>
      </c>
      <c r="L169" s="94"/>
      <c r="M169" s="267" t="s">
        <v>113</v>
      </c>
      <c r="N169" s="100">
        <f>EN_02001_m+EN_01002_p</f>
        <v>2.6534215000000003</v>
      </c>
      <c r="O169" s="93"/>
    </row>
    <row r="170" spans="1:15" x14ac:dyDescent="0.25">
      <c r="A170" s="267" t="s">
        <v>125</v>
      </c>
      <c r="B170" s="133" t="s">
        <v>21</v>
      </c>
      <c r="C170" s="94"/>
      <c r="D170" s="267" t="s">
        <v>122</v>
      </c>
      <c r="E170" s="94"/>
      <c r="F170" s="94"/>
      <c r="G170" s="94"/>
      <c r="H170" s="94"/>
      <c r="I170" s="94"/>
      <c r="J170" s="94"/>
      <c r="K170" s="94"/>
      <c r="L170" s="94"/>
      <c r="M170" s="267" t="s">
        <v>124</v>
      </c>
      <c r="N170" s="136">
        <v>4</v>
      </c>
      <c r="O170" s="93"/>
    </row>
    <row r="171" spans="1:15" x14ac:dyDescent="0.25">
      <c r="A171" s="267" t="s">
        <v>123</v>
      </c>
      <c r="B171" s="270" t="str">
        <f>'EN Assemblies'!B56</f>
        <v>Exhaust system</v>
      </c>
      <c r="C171" s="94"/>
      <c r="D171" s="267" t="s">
        <v>119</v>
      </c>
      <c r="E171" s="94"/>
      <c r="F171" s="94"/>
      <c r="G171" s="94"/>
      <c r="H171" s="94"/>
      <c r="I171" s="94"/>
      <c r="J171" s="268" t="s">
        <v>122</v>
      </c>
      <c r="K171" s="94"/>
      <c r="L171" s="94"/>
      <c r="M171" s="94"/>
      <c r="N171" s="94"/>
      <c r="O171" s="93"/>
    </row>
    <row r="172" spans="1:15" x14ac:dyDescent="0.25">
      <c r="A172" s="267" t="s">
        <v>114</v>
      </c>
      <c r="B172" s="372" t="s">
        <v>1032</v>
      </c>
      <c r="C172" s="94"/>
      <c r="D172" s="267" t="s">
        <v>116</v>
      </c>
      <c r="E172" s="94"/>
      <c r="F172" s="94"/>
      <c r="G172" s="94"/>
      <c r="H172" s="94"/>
      <c r="I172" s="94"/>
      <c r="J172" s="268" t="s">
        <v>119</v>
      </c>
      <c r="K172" s="94"/>
      <c r="L172" s="94"/>
      <c r="M172" s="267" t="s">
        <v>118</v>
      </c>
      <c r="N172" s="100">
        <f>N170*N169</f>
        <v>10.613686000000001</v>
      </c>
      <c r="O172" s="93"/>
    </row>
    <row r="173" spans="1:15" x14ac:dyDescent="0.25">
      <c r="A173" s="267" t="s">
        <v>121</v>
      </c>
      <c r="B173" s="269" t="s">
        <v>1031</v>
      </c>
      <c r="C173" s="94"/>
      <c r="D173" s="94"/>
      <c r="E173" s="94"/>
      <c r="F173" s="94"/>
      <c r="G173" s="94"/>
      <c r="H173" s="94"/>
      <c r="I173" s="94"/>
      <c r="J173" s="268" t="s">
        <v>116</v>
      </c>
      <c r="K173" s="94"/>
      <c r="L173" s="94"/>
      <c r="M173" s="94"/>
      <c r="N173" s="94"/>
      <c r="O173" s="93"/>
    </row>
    <row r="174" spans="1:15" x14ac:dyDescent="0.25">
      <c r="A174" s="267" t="s">
        <v>117</v>
      </c>
      <c r="B174" s="133" t="s">
        <v>23</v>
      </c>
      <c r="C174" s="94"/>
      <c r="D174" s="94"/>
      <c r="E174" s="94"/>
      <c r="F174" s="94"/>
      <c r="G174" s="94"/>
      <c r="H174" s="94"/>
      <c r="I174" s="94"/>
      <c r="J174" s="94"/>
      <c r="K174" s="94"/>
      <c r="L174" s="94"/>
      <c r="M174" s="94"/>
      <c r="N174" s="94"/>
      <c r="O174" s="93"/>
    </row>
    <row r="175" spans="1:15" x14ac:dyDescent="0.25">
      <c r="A175" s="267" t="s">
        <v>115</v>
      </c>
      <c r="B175" s="133"/>
      <c r="C175" s="94"/>
      <c r="D175" s="94"/>
      <c r="E175" s="94"/>
      <c r="F175" s="94"/>
      <c r="G175" s="94"/>
      <c r="H175" s="94"/>
      <c r="I175" s="94"/>
      <c r="J175" s="94"/>
      <c r="K175" s="94"/>
      <c r="L175" s="94"/>
      <c r="M175" s="94"/>
      <c r="N175" s="94"/>
      <c r="O175" s="93"/>
    </row>
    <row r="176" spans="1:15" x14ac:dyDescent="0.25">
      <c r="A176" s="266"/>
      <c r="B176" s="265"/>
      <c r="C176" s="265"/>
      <c r="D176" s="265"/>
      <c r="E176" s="265"/>
      <c r="F176" s="94"/>
      <c r="G176" s="94"/>
      <c r="H176" s="94"/>
      <c r="I176" s="94"/>
      <c r="J176" s="94"/>
      <c r="K176" s="94"/>
      <c r="L176" s="94"/>
      <c r="M176" s="94"/>
      <c r="N176" s="94"/>
      <c r="O176" s="93"/>
    </row>
    <row r="177" spans="1:15" x14ac:dyDescent="0.25">
      <c r="A177" s="264" t="s">
        <v>67</v>
      </c>
      <c r="B177" s="263" t="s">
        <v>112</v>
      </c>
      <c r="C177" s="263" t="s">
        <v>66</v>
      </c>
      <c r="D177" s="263" t="s">
        <v>65</v>
      </c>
      <c r="E177" s="263" t="s">
        <v>81</v>
      </c>
      <c r="F177" s="274" t="s">
        <v>80</v>
      </c>
      <c r="G177" s="274" t="s">
        <v>79</v>
      </c>
      <c r="H177" s="274" t="s">
        <v>78</v>
      </c>
      <c r="I177" s="274" t="s">
        <v>111</v>
      </c>
      <c r="J177" s="274" t="s">
        <v>110</v>
      </c>
      <c r="K177" s="274" t="s">
        <v>109</v>
      </c>
      <c r="L177" s="274" t="s">
        <v>108</v>
      </c>
      <c r="M177" s="274" t="s">
        <v>40</v>
      </c>
      <c r="N177" s="274" t="s">
        <v>58</v>
      </c>
      <c r="O177" s="93"/>
    </row>
    <row r="178" spans="1:15" x14ac:dyDescent="0.25">
      <c r="A178" s="529">
        <v>10</v>
      </c>
      <c r="B178" s="370" t="s">
        <v>519</v>
      </c>
      <c r="C178" s="315" t="s">
        <v>1025</v>
      </c>
      <c r="D178" s="324">
        <v>2.25</v>
      </c>
      <c r="E178" s="315">
        <v>45</v>
      </c>
      <c r="F178" s="315" t="s">
        <v>68</v>
      </c>
      <c r="G178" s="315"/>
      <c r="H178" s="314"/>
      <c r="I178" s="357" t="s">
        <v>1030</v>
      </c>
      <c r="J178" s="356">
        <v>1.5900000000000001E-3</v>
      </c>
      <c r="K178" s="320">
        <v>2.7E-2</v>
      </c>
      <c r="L178" s="319">
        <v>7800</v>
      </c>
      <c r="M178" s="318">
        <v>1</v>
      </c>
      <c r="N178" s="276">
        <f>IF(J178="",D178*M178,D178*J178*K178*L178*M178)</f>
        <v>0.75342149999999997</v>
      </c>
      <c r="O178" s="143"/>
    </row>
    <row r="179" spans="1:15" x14ac:dyDescent="0.25">
      <c r="A179" s="98"/>
      <c r="B179" s="95"/>
      <c r="C179" s="95"/>
      <c r="D179" s="95"/>
      <c r="E179" s="95"/>
      <c r="F179" s="95"/>
      <c r="G179" s="95"/>
      <c r="H179" s="95"/>
      <c r="I179" s="95"/>
      <c r="J179" s="95"/>
      <c r="K179" s="95"/>
      <c r="L179" s="95"/>
      <c r="M179" s="479" t="s">
        <v>58</v>
      </c>
      <c r="N179" s="255">
        <f>SUM(N178:N178)</f>
        <v>0.75342149999999997</v>
      </c>
      <c r="O179" s="93"/>
    </row>
    <row r="180" spans="1:15" x14ac:dyDescent="0.25">
      <c r="A180" s="107"/>
      <c r="B180" s="94"/>
      <c r="C180" s="94"/>
      <c r="D180" s="94"/>
      <c r="E180" s="94"/>
      <c r="F180" s="94"/>
      <c r="G180" s="94"/>
      <c r="H180" s="94"/>
      <c r="I180" s="94"/>
      <c r="J180" s="94"/>
      <c r="K180" s="94"/>
      <c r="L180" s="94"/>
      <c r="M180" s="94"/>
      <c r="N180" s="94"/>
      <c r="O180" s="93"/>
    </row>
    <row r="181" spans="1:15" x14ac:dyDescent="0.25">
      <c r="A181" s="481" t="s">
        <v>67</v>
      </c>
      <c r="B181" s="274" t="s">
        <v>106</v>
      </c>
      <c r="C181" s="274" t="s">
        <v>66</v>
      </c>
      <c r="D181" s="274" t="s">
        <v>65</v>
      </c>
      <c r="E181" s="274" t="s">
        <v>64</v>
      </c>
      <c r="F181" s="274" t="s">
        <v>40</v>
      </c>
      <c r="G181" s="274" t="s">
        <v>105</v>
      </c>
      <c r="H181" s="274" t="s">
        <v>104</v>
      </c>
      <c r="I181" s="274" t="s">
        <v>58</v>
      </c>
      <c r="J181" s="95"/>
      <c r="K181" s="95"/>
      <c r="L181" s="95"/>
      <c r="M181" s="95"/>
      <c r="N181" s="95"/>
      <c r="O181" s="93"/>
    </row>
    <row r="182" spans="1:15" ht="30" x14ac:dyDescent="0.25">
      <c r="A182" s="331">
        <v>10</v>
      </c>
      <c r="B182" s="326" t="s">
        <v>516</v>
      </c>
      <c r="C182" s="331" t="s">
        <v>802</v>
      </c>
      <c r="D182" s="334">
        <v>1.3</v>
      </c>
      <c r="E182" s="326" t="s">
        <v>64</v>
      </c>
      <c r="F182" s="331">
        <v>1</v>
      </c>
      <c r="G182" s="331" t="s">
        <v>1023</v>
      </c>
      <c r="H182" s="331">
        <v>0.25</v>
      </c>
      <c r="I182" s="293">
        <f>IF(H182="",D182*F182,D182*F182*H182)</f>
        <v>0.32500000000000001</v>
      </c>
      <c r="J182" s="142"/>
      <c r="K182" s="142"/>
      <c r="L182" s="142"/>
      <c r="M182" s="142"/>
      <c r="N182" s="142"/>
      <c r="O182" s="120"/>
    </row>
    <row r="183" spans="1:15" ht="30" x14ac:dyDescent="0.25">
      <c r="A183" s="328">
        <v>20</v>
      </c>
      <c r="B183" s="326" t="s">
        <v>1029</v>
      </c>
      <c r="C183" s="328" t="s">
        <v>834</v>
      </c>
      <c r="D183" s="329">
        <v>0.04</v>
      </c>
      <c r="E183" s="328" t="s">
        <v>512</v>
      </c>
      <c r="F183" s="333">
        <v>25.2</v>
      </c>
      <c r="G183" s="326" t="s">
        <v>1028</v>
      </c>
      <c r="H183" s="325">
        <v>3.75</v>
      </c>
      <c r="I183" s="293">
        <f>IF(H183="",D183*F183,D183*F183*H183)</f>
        <v>3.7800000000000002</v>
      </c>
      <c r="J183" s="94"/>
      <c r="K183" s="94"/>
      <c r="L183" s="94"/>
      <c r="M183" s="94"/>
      <c r="N183" s="94"/>
      <c r="O183" s="93"/>
    </row>
    <row r="184" spans="1:15" x14ac:dyDescent="0.25">
      <c r="A184" s="98"/>
      <c r="B184" s="95"/>
      <c r="C184" s="95"/>
      <c r="D184" s="95"/>
      <c r="E184" s="95"/>
      <c r="F184" s="95"/>
      <c r="G184" s="95"/>
      <c r="H184" s="256" t="s">
        <v>58</v>
      </c>
      <c r="I184" s="255">
        <f>SUM(I182:I183)</f>
        <v>4.1050000000000004</v>
      </c>
      <c r="J184" s="95"/>
      <c r="K184" s="95"/>
      <c r="L184" s="95"/>
      <c r="M184" s="95"/>
      <c r="N184" s="95"/>
      <c r="O184" s="93"/>
    </row>
    <row r="185" spans="1:15" x14ac:dyDescent="0.25">
      <c r="A185" s="98"/>
      <c r="B185" s="95"/>
      <c r="C185" s="95"/>
      <c r="D185" s="95"/>
      <c r="E185" s="95"/>
      <c r="F185" s="95"/>
      <c r="G185" s="95"/>
      <c r="H185" s="523"/>
      <c r="I185" s="522"/>
      <c r="J185" s="95"/>
      <c r="K185" s="95"/>
      <c r="L185" s="95"/>
      <c r="M185" s="95"/>
      <c r="N185" s="95"/>
      <c r="O185" s="93"/>
    </row>
    <row r="186" spans="1:15" x14ac:dyDescent="0.25">
      <c r="A186" s="98"/>
      <c r="B186" s="95"/>
      <c r="C186" s="95"/>
      <c r="D186" s="95"/>
      <c r="E186" s="95"/>
      <c r="F186" s="95"/>
      <c r="G186" s="95"/>
      <c r="H186" s="523"/>
      <c r="I186" s="522"/>
      <c r="J186" s="95"/>
      <c r="K186" s="95"/>
      <c r="L186" s="95"/>
      <c r="M186" s="95"/>
      <c r="N186" s="95"/>
      <c r="O186" s="93"/>
    </row>
    <row r="187" spans="1:15" x14ac:dyDescent="0.25">
      <c r="A187" s="107"/>
      <c r="B187" s="94"/>
      <c r="C187" s="94"/>
      <c r="D187" s="94"/>
      <c r="E187" s="94"/>
      <c r="F187" s="94"/>
      <c r="G187" s="94"/>
      <c r="H187" s="94"/>
      <c r="I187" s="99"/>
      <c r="J187" s="94"/>
      <c r="K187" s="94"/>
      <c r="L187" s="94"/>
      <c r="M187" s="94"/>
      <c r="N187" s="94"/>
      <c r="O187" s="93"/>
    </row>
    <row r="188" spans="1:15" ht="15.75" thickBot="1" x14ac:dyDescent="0.3">
      <c r="A188" s="92"/>
      <c r="B188" s="91"/>
      <c r="C188" s="91"/>
      <c r="D188" s="91"/>
      <c r="E188" s="91"/>
      <c r="F188" s="91"/>
      <c r="G188" s="91"/>
      <c r="H188" s="91"/>
      <c r="I188" s="91"/>
      <c r="J188" s="91"/>
      <c r="K188" s="91"/>
      <c r="L188" s="91"/>
      <c r="M188" s="91"/>
      <c r="N188" s="91"/>
      <c r="O188" s="90"/>
    </row>
    <row r="189" spans="1:15" ht="15.75" thickBot="1" x14ac:dyDescent="0.3"/>
    <row r="190" spans="1:15" x14ac:dyDescent="0.25">
      <c r="A190" s="141"/>
      <c r="B190" s="140"/>
      <c r="C190" s="140"/>
      <c r="D190" s="140"/>
      <c r="E190" s="140"/>
      <c r="F190" s="140"/>
      <c r="G190" s="140"/>
      <c r="H190" s="140"/>
      <c r="I190" s="140"/>
      <c r="J190" s="272"/>
      <c r="K190" s="140"/>
      <c r="L190" s="140"/>
      <c r="M190" s="140"/>
      <c r="N190" s="140"/>
      <c r="O190" s="139"/>
    </row>
    <row r="191" spans="1:15" x14ac:dyDescent="0.25">
      <c r="A191" s="267" t="s">
        <v>57</v>
      </c>
      <c r="B191" s="133" t="s">
        <v>523</v>
      </c>
      <c r="C191" s="94"/>
      <c r="D191" s="94"/>
      <c r="E191" s="94"/>
      <c r="F191" s="94"/>
      <c r="G191" s="94"/>
      <c r="H191" s="94"/>
      <c r="I191" s="94"/>
      <c r="J191" s="271" t="s">
        <v>51</v>
      </c>
      <c r="K191" s="138">
        <v>81</v>
      </c>
      <c r="L191" s="94"/>
      <c r="M191" s="267" t="s">
        <v>113</v>
      </c>
      <c r="N191" s="100">
        <f>EN_02002_m+EN_02002_p</f>
        <v>1.9997499999999999</v>
      </c>
      <c r="O191" s="93"/>
    </row>
    <row r="192" spans="1:15" x14ac:dyDescent="0.25">
      <c r="A192" s="267" t="s">
        <v>125</v>
      </c>
      <c r="B192" s="133" t="s">
        <v>21</v>
      </c>
      <c r="C192" s="94"/>
      <c r="D192" s="267" t="s">
        <v>122</v>
      </c>
      <c r="E192" s="94"/>
      <c r="F192" s="94"/>
      <c r="G192" s="94"/>
      <c r="H192" s="94"/>
      <c r="I192" s="94"/>
      <c r="J192" s="94"/>
      <c r="K192" s="94"/>
      <c r="L192" s="94"/>
      <c r="M192" s="267" t="s">
        <v>124</v>
      </c>
      <c r="N192" s="136">
        <v>4</v>
      </c>
      <c r="O192" s="93"/>
    </row>
    <row r="193" spans="1:15" x14ac:dyDescent="0.25">
      <c r="A193" s="267" t="s">
        <v>123</v>
      </c>
      <c r="B193" s="270" t="str">
        <f>'EN Assemblies'!B56</f>
        <v>Exhaust system</v>
      </c>
      <c r="C193" s="94"/>
      <c r="D193" s="267" t="s">
        <v>119</v>
      </c>
      <c r="E193" s="94"/>
      <c r="F193" s="94"/>
      <c r="G193" s="94"/>
      <c r="H193" s="94"/>
      <c r="I193" s="94"/>
      <c r="J193" s="268" t="s">
        <v>122</v>
      </c>
      <c r="K193" s="94"/>
      <c r="L193" s="94"/>
      <c r="M193" s="94"/>
      <c r="N193" s="94"/>
      <c r="O193" s="93"/>
    </row>
    <row r="194" spans="1:15" x14ac:dyDescent="0.25">
      <c r="A194" s="267" t="s">
        <v>114</v>
      </c>
      <c r="B194" s="372" t="s">
        <v>1027</v>
      </c>
      <c r="C194" s="94"/>
      <c r="D194" s="267" t="s">
        <v>116</v>
      </c>
      <c r="E194" s="94"/>
      <c r="F194" s="94"/>
      <c r="G194" s="94"/>
      <c r="H194" s="94"/>
      <c r="I194" s="94"/>
      <c r="J194" s="268" t="s">
        <v>119</v>
      </c>
      <c r="K194" s="94"/>
      <c r="L194" s="94"/>
      <c r="M194" s="267" t="s">
        <v>118</v>
      </c>
      <c r="N194" s="100">
        <f>N192*N191</f>
        <v>7.9989999999999997</v>
      </c>
      <c r="O194" s="93"/>
    </row>
    <row r="195" spans="1:15" x14ac:dyDescent="0.25">
      <c r="A195" s="267" t="s">
        <v>121</v>
      </c>
      <c r="B195" s="269" t="s">
        <v>1026</v>
      </c>
      <c r="C195" s="94"/>
      <c r="D195" s="94"/>
      <c r="E195" s="94"/>
      <c r="F195" s="94"/>
      <c r="G195" s="94"/>
      <c r="H195" s="94"/>
      <c r="I195" s="94"/>
      <c r="J195" s="268" t="s">
        <v>116</v>
      </c>
      <c r="K195" s="94"/>
      <c r="L195" s="94"/>
      <c r="M195" s="94"/>
      <c r="N195" s="94"/>
      <c r="O195" s="93"/>
    </row>
    <row r="196" spans="1:15" x14ac:dyDescent="0.25">
      <c r="A196" s="267" t="s">
        <v>117</v>
      </c>
      <c r="B196" s="133" t="s">
        <v>23</v>
      </c>
      <c r="C196" s="94"/>
      <c r="D196" s="94"/>
      <c r="E196" s="94"/>
      <c r="F196" s="94"/>
      <c r="G196" s="94"/>
      <c r="H196" s="94"/>
      <c r="I196" s="94"/>
      <c r="J196" s="94"/>
      <c r="K196" s="94"/>
      <c r="L196" s="94"/>
      <c r="M196" s="94"/>
      <c r="N196" s="94"/>
      <c r="O196" s="93"/>
    </row>
    <row r="197" spans="1:15" x14ac:dyDescent="0.25">
      <c r="A197" s="267" t="s">
        <v>115</v>
      </c>
      <c r="B197" s="133"/>
      <c r="C197" s="94"/>
      <c r="D197" s="94"/>
      <c r="E197" s="94"/>
      <c r="F197" s="94"/>
      <c r="G197" s="94"/>
      <c r="H197" s="94"/>
      <c r="I197" s="94"/>
      <c r="J197" s="94"/>
      <c r="K197" s="94"/>
      <c r="L197" s="94"/>
      <c r="M197" s="94"/>
      <c r="N197" s="94"/>
      <c r="O197" s="93"/>
    </row>
    <row r="198" spans="1:15" x14ac:dyDescent="0.25">
      <c r="A198" s="266"/>
      <c r="B198" s="265"/>
      <c r="C198" s="265"/>
      <c r="D198" s="265"/>
      <c r="E198" s="265"/>
      <c r="F198" s="94"/>
      <c r="G198" s="94"/>
      <c r="H198" s="94"/>
      <c r="I198" s="94"/>
      <c r="J198" s="94"/>
      <c r="K198" s="94"/>
      <c r="L198" s="94"/>
      <c r="M198" s="94"/>
      <c r="N198" s="94"/>
      <c r="O198" s="93"/>
    </row>
    <row r="199" spans="1:15" x14ac:dyDescent="0.25">
      <c r="A199" s="264" t="s">
        <v>67</v>
      </c>
      <c r="B199" s="263" t="s">
        <v>112</v>
      </c>
      <c r="C199" s="263" t="s">
        <v>66</v>
      </c>
      <c r="D199" s="263" t="s">
        <v>65</v>
      </c>
      <c r="E199" s="263" t="s">
        <v>81</v>
      </c>
      <c r="F199" s="274" t="s">
        <v>80</v>
      </c>
      <c r="G199" s="274" t="s">
        <v>79</v>
      </c>
      <c r="H199" s="274" t="s">
        <v>78</v>
      </c>
      <c r="I199" s="274" t="s">
        <v>111</v>
      </c>
      <c r="J199" s="274" t="s">
        <v>110</v>
      </c>
      <c r="K199" s="274" t="s">
        <v>109</v>
      </c>
      <c r="L199" s="274" t="s">
        <v>108</v>
      </c>
      <c r="M199" s="274" t="s">
        <v>40</v>
      </c>
      <c r="N199" s="274" t="s">
        <v>58</v>
      </c>
      <c r="O199" s="93"/>
    </row>
    <row r="200" spans="1:15" x14ac:dyDescent="0.25">
      <c r="A200" s="315">
        <v>10</v>
      </c>
      <c r="B200" s="354" t="s">
        <v>729</v>
      </c>
      <c r="C200" s="292" t="s">
        <v>1025</v>
      </c>
      <c r="D200" s="324">
        <v>2.25</v>
      </c>
      <c r="E200" s="315">
        <v>80</v>
      </c>
      <c r="F200" s="315" t="s">
        <v>68</v>
      </c>
      <c r="G200" s="315">
        <v>50</v>
      </c>
      <c r="H200" s="314" t="s">
        <v>68</v>
      </c>
      <c r="I200" s="357" t="s">
        <v>1024</v>
      </c>
      <c r="J200" s="356">
        <v>4.0000000000000001E-3</v>
      </c>
      <c r="K200" s="320">
        <v>5.0000000000000001E-3</v>
      </c>
      <c r="L200" s="355">
        <v>7800</v>
      </c>
      <c r="M200" s="299">
        <v>1</v>
      </c>
      <c r="N200" s="276">
        <f>IF(J200="",D200*M200,D200*J200*K200*L200*M200)</f>
        <v>0.35100000000000003</v>
      </c>
      <c r="O200" s="143"/>
    </row>
    <row r="201" spans="1:15" x14ac:dyDescent="0.25">
      <c r="A201" s="98"/>
      <c r="B201" s="95"/>
      <c r="C201" s="95"/>
      <c r="D201" s="95"/>
      <c r="E201" s="95"/>
      <c r="F201" s="95"/>
      <c r="G201" s="95"/>
      <c r="H201" s="95"/>
      <c r="I201" s="95"/>
      <c r="J201" s="95"/>
      <c r="K201" s="95"/>
      <c r="L201" s="95"/>
      <c r="M201" s="479" t="s">
        <v>58</v>
      </c>
      <c r="N201" s="255">
        <f>SUM(N200:N200)</f>
        <v>0.35100000000000003</v>
      </c>
      <c r="O201" s="93"/>
    </row>
    <row r="202" spans="1:15" x14ac:dyDescent="0.25">
      <c r="A202" s="107"/>
      <c r="B202" s="94"/>
      <c r="C202" s="94"/>
      <c r="D202" s="94"/>
      <c r="E202" s="94"/>
      <c r="F202" s="94"/>
      <c r="G202" s="94"/>
      <c r="H202" s="94"/>
      <c r="I202" s="94"/>
      <c r="J202" s="94"/>
      <c r="K202" s="94"/>
      <c r="L202" s="94"/>
      <c r="M202" s="94"/>
      <c r="N202" s="94"/>
      <c r="O202" s="93"/>
    </row>
    <row r="203" spans="1:15" x14ac:dyDescent="0.25">
      <c r="A203" s="481" t="s">
        <v>67</v>
      </c>
      <c r="B203" s="274" t="s">
        <v>106</v>
      </c>
      <c r="C203" s="274" t="s">
        <v>66</v>
      </c>
      <c r="D203" s="274" t="s">
        <v>65</v>
      </c>
      <c r="E203" s="274" t="s">
        <v>64</v>
      </c>
      <c r="F203" s="274" t="s">
        <v>40</v>
      </c>
      <c r="G203" s="274" t="s">
        <v>105</v>
      </c>
      <c r="H203" s="274" t="s">
        <v>104</v>
      </c>
      <c r="I203" s="274" t="s">
        <v>58</v>
      </c>
      <c r="J203" s="95"/>
      <c r="K203" s="95"/>
      <c r="L203" s="95"/>
      <c r="M203" s="95"/>
      <c r="N203" s="95"/>
      <c r="O203" s="93"/>
    </row>
    <row r="204" spans="1:15" ht="30" x14ac:dyDescent="0.25">
      <c r="A204" s="325">
        <v>10</v>
      </c>
      <c r="B204" s="326" t="s">
        <v>516</v>
      </c>
      <c r="C204" s="325" t="s">
        <v>802</v>
      </c>
      <c r="D204" s="329">
        <v>1.3</v>
      </c>
      <c r="E204" s="326" t="s">
        <v>64</v>
      </c>
      <c r="F204" s="325">
        <v>1</v>
      </c>
      <c r="G204" s="331" t="s">
        <v>1023</v>
      </c>
      <c r="H204" s="325">
        <v>0.25</v>
      </c>
      <c r="I204" s="293">
        <f>IF(H204="",D204*F204,D204*F204*H204)</f>
        <v>0.32500000000000001</v>
      </c>
      <c r="J204" s="142"/>
      <c r="K204" s="142"/>
      <c r="L204" s="142"/>
      <c r="M204" s="142"/>
      <c r="N204" s="142"/>
      <c r="O204" s="120"/>
    </row>
    <row r="205" spans="1:15" x14ac:dyDescent="0.25">
      <c r="A205" s="328">
        <v>20</v>
      </c>
      <c r="B205" s="326" t="s">
        <v>541</v>
      </c>
      <c r="C205" s="328" t="s">
        <v>1022</v>
      </c>
      <c r="D205" s="329">
        <v>0.01</v>
      </c>
      <c r="E205" s="328" t="s">
        <v>101</v>
      </c>
      <c r="F205" s="328">
        <v>35.299999999999997</v>
      </c>
      <c r="G205" s="326" t="s">
        <v>724</v>
      </c>
      <c r="H205" s="325">
        <v>3.75</v>
      </c>
      <c r="I205" s="293">
        <f>IF(H205="",D205*F205,D205*F205*H205)</f>
        <v>1.32375</v>
      </c>
      <c r="J205" s="94"/>
      <c r="K205" s="94"/>
      <c r="L205" s="94"/>
      <c r="M205" s="94"/>
      <c r="N205" s="94"/>
      <c r="O205" s="93"/>
    </row>
    <row r="206" spans="1:15" x14ac:dyDescent="0.25">
      <c r="A206" s="98"/>
      <c r="B206" s="95"/>
      <c r="C206" s="95"/>
      <c r="D206" s="95"/>
      <c r="E206" s="95"/>
      <c r="F206" s="95"/>
      <c r="G206" s="95"/>
      <c r="H206" s="256" t="s">
        <v>58</v>
      </c>
      <c r="I206" s="255">
        <f>SUM(I204:I205)</f>
        <v>1.6487499999999999</v>
      </c>
      <c r="J206" s="95"/>
      <c r="K206" s="95"/>
      <c r="L206" s="95"/>
      <c r="M206" s="95"/>
      <c r="N206" s="95"/>
      <c r="O206" s="93"/>
    </row>
    <row r="207" spans="1:15" ht="14.25" customHeight="1" x14ac:dyDescent="0.25">
      <c r="A207" s="107"/>
      <c r="B207" s="94"/>
      <c r="C207" s="94"/>
      <c r="D207" s="94"/>
      <c r="E207" s="94"/>
      <c r="F207" s="94"/>
      <c r="G207" s="94"/>
      <c r="H207" s="94"/>
      <c r="I207" s="99"/>
      <c r="J207" s="94"/>
      <c r="K207" s="94"/>
      <c r="L207" s="94"/>
      <c r="M207" s="94"/>
      <c r="N207" s="94"/>
      <c r="O207" s="93"/>
    </row>
    <row r="208" spans="1:15" ht="14.25" customHeight="1" x14ac:dyDescent="0.25">
      <c r="A208" s="107"/>
      <c r="B208" s="94"/>
      <c r="C208" s="94"/>
      <c r="D208" s="94"/>
      <c r="E208" s="94"/>
      <c r="F208" s="94"/>
      <c r="G208" s="94"/>
      <c r="H208" s="94"/>
      <c r="I208" s="99"/>
      <c r="J208" s="94"/>
      <c r="K208" s="94"/>
      <c r="L208" s="94"/>
      <c r="M208" s="94"/>
      <c r="N208" s="94"/>
      <c r="O208" s="93"/>
    </row>
    <row r="209" spans="1:15" ht="15.75" thickBot="1" x14ac:dyDescent="0.3">
      <c r="A209" s="92"/>
      <c r="B209" s="91"/>
      <c r="C209" s="91"/>
      <c r="D209" s="91"/>
      <c r="E209" s="91"/>
      <c r="F209" s="91"/>
      <c r="G209" s="91"/>
      <c r="H209" s="91"/>
      <c r="I209" s="91"/>
      <c r="J209" s="91"/>
      <c r="K209" s="91"/>
      <c r="L209" s="91"/>
      <c r="M209" s="91"/>
      <c r="N209" s="91"/>
      <c r="O209" s="90"/>
    </row>
    <row r="210" spans="1:15" ht="15.75" thickBot="1" x14ac:dyDescent="0.3"/>
    <row r="211" spans="1:15" x14ac:dyDescent="0.25">
      <c r="A211" s="141"/>
      <c r="B211" s="140"/>
      <c r="C211" s="140"/>
      <c r="D211" s="140"/>
      <c r="E211" s="140"/>
      <c r="F211" s="140"/>
      <c r="G211" s="140"/>
      <c r="H211" s="140"/>
      <c r="I211" s="140"/>
      <c r="J211" s="272"/>
      <c r="K211" s="140"/>
      <c r="L211" s="140"/>
      <c r="M211" s="140"/>
      <c r="N211" s="140"/>
      <c r="O211" s="139"/>
    </row>
    <row r="212" spans="1:15" x14ac:dyDescent="0.25">
      <c r="A212" s="267" t="s">
        <v>57</v>
      </c>
      <c r="B212" s="133" t="s">
        <v>523</v>
      </c>
      <c r="C212" s="94"/>
      <c r="D212" s="94"/>
      <c r="E212" s="94"/>
      <c r="F212" s="94"/>
      <c r="G212" s="94"/>
      <c r="H212" s="94"/>
      <c r="I212" s="94"/>
      <c r="J212" s="271" t="s">
        <v>51</v>
      </c>
      <c r="K212" s="138">
        <v>81</v>
      </c>
      <c r="L212" s="94"/>
      <c r="M212" s="267" t="s">
        <v>113</v>
      </c>
      <c r="N212" s="100">
        <f>EN_02003_m+EN_02003_p+EN_02003_t</f>
        <v>83.802575416666684</v>
      </c>
      <c r="O212" s="93"/>
    </row>
    <row r="213" spans="1:15" x14ac:dyDescent="0.25">
      <c r="A213" s="267" t="s">
        <v>125</v>
      </c>
      <c r="B213" s="133" t="s">
        <v>21</v>
      </c>
      <c r="C213" s="94"/>
      <c r="D213" s="267" t="s">
        <v>122</v>
      </c>
      <c r="E213" s="94"/>
      <c r="F213" s="94"/>
      <c r="G213" s="94"/>
      <c r="H213" s="94"/>
      <c r="I213" s="94"/>
      <c r="J213" s="94"/>
      <c r="K213" s="94"/>
      <c r="L213" s="94"/>
      <c r="M213" s="267" t="s">
        <v>124</v>
      </c>
      <c r="N213" s="136">
        <v>1</v>
      </c>
      <c r="O213" s="93"/>
    </row>
    <row r="214" spans="1:15" x14ac:dyDescent="0.25">
      <c r="A214" s="267" t="s">
        <v>123</v>
      </c>
      <c r="B214" s="270" t="str">
        <f>'EN Assemblies'!B56</f>
        <v>Exhaust system</v>
      </c>
      <c r="C214" s="94"/>
      <c r="D214" s="267" t="s">
        <v>119</v>
      </c>
      <c r="E214" s="94"/>
      <c r="F214" s="94"/>
      <c r="G214" s="94"/>
      <c r="H214" s="94"/>
      <c r="I214" s="94"/>
      <c r="J214" s="268" t="s">
        <v>122</v>
      </c>
      <c r="K214" s="94"/>
      <c r="L214" s="94"/>
      <c r="M214" s="94"/>
      <c r="N214" s="94"/>
      <c r="O214" s="93"/>
    </row>
    <row r="215" spans="1:15" x14ac:dyDescent="0.25">
      <c r="A215" s="267" t="s">
        <v>114</v>
      </c>
      <c r="B215" s="372" t="s">
        <v>1021</v>
      </c>
      <c r="C215" s="94"/>
      <c r="D215" s="267" t="s">
        <v>116</v>
      </c>
      <c r="E215" s="94"/>
      <c r="F215" s="94"/>
      <c r="G215" s="94"/>
      <c r="H215" s="94"/>
      <c r="I215" s="94"/>
      <c r="J215" s="268" t="s">
        <v>119</v>
      </c>
      <c r="K215" s="94"/>
      <c r="L215" s="94"/>
      <c r="M215" s="267" t="s">
        <v>118</v>
      </c>
      <c r="N215" s="100">
        <f>N213*N212</f>
        <v>83.802575416666684</v>
      </c>
      <c r="O215" s="93"/>
    </row>
    <row r="216" spans="1:15" x14ac:dyDescent="0.25">
      <c r="A216" s="267" t="s">
        <v>121</v>
      </c>
      <c r="B216" s="269" t="s">
        <v>1020</v>
      </c>
      <c r="C216" s="94"/>
      <c r="D216" s="94"/>
      <c r="E216" s="94"/>
      <c r="F216" s="94"/>
      <c r="G216" s="94"/>
      <c r="H216" s="94"/>
      <c r="I216" s="94"/>
      <c r="J216" s="268" t="s">
        <v>116</v>
      </c>
      <c r="K216" s="94"/>
      <c r="L216" s="94"/>
      <c r="M216" s="94"/>
      <c r="N216" s="94"/>
      <c r="O216" s="93"/>
    </row>
    <row r="217" spans="1:15" x14ac:dyDescent="0.25">
      <c r="A217" s="267" t="s">
        <v>117</v>
      </c>
      <c r="B217" s="133" t="s">
        <v>23</v>
      </c>
      <c r="C217" s="94"/>
      <c r="D217" s="94"/>
      <c r="E217" s="94"/>
      <c r="F217" s="94"/>
      <c r="G217" s="94"/>
      <c r="H217" s="94"/>
      <c r="I217" s="94"/>
      <c r="J217" s="94"/>
      <c r="K217" s="94"/>
      <c r="L217" s="94"/>
      <c r="M217" s="94"/>
      <c r="N217" s="94"/>
      <c r="O217" s="93"/>
    </row>
    <row r="218" spans="1:15" x14ac:dyDescent="0.25">
      <c r="A218" s="267" t="s">
        <v>115</v>
      </c>
      <c r="B218" s="133" t="s">
        <v>1019</v>
      </c>
      <c r="C218" s="94"/>
      <c r="D218" s="94"/>
      <c r="E218" s="94"/>
      <c r="F218" s="94"/>
      <c r="G218" s="94"/>
      <c r="H218" s="94"/>
      <c r="I218" s="94"/>
      <c r="J218" s="94"/>
      <c r="K218" s="94"/>
      <c r="L218" s="94"/>
      <c r="M218" s="94"/>
      <c r="N218" s="94"/>
      <c r="O218" s="93"/>
    </row>
    <row r="219" spans="1:15" x14ac:dyDescent="0.25">
      <c r="A219" s="266"/>
      <c r="B219" s="265"/>
      <c r="C219" s="265"/>
      <c r="D219" s="265"/>
      <c r="E219" s="265"/>
      <c r="F219" s="94"/>
      <c r="G219" s="94"/>
      <c r="H219" s="94"/>
      <c r="I219" s="94"/>
      <c r="J219" s="94"/>
      <c r="K219" s="94"/>
      <c r="L219" s="94"/>
      <c r="M219" s="94"/>
      <c r="N219" s="94"/>
      <c r="O219" s="93"/>
    </row>
    <row r="220" spans="1:15" x14ac:dyDescent="0.25">
      <c r="A220" s="264" t="s">
        <v>67</v>
      </c>
      <c r="B220" s="263" t="s">
        <v>112</v>
      </c>
      <c r="C220" s="263" t="s">
        <v>66</v>
      </c>
      <c r="D220" s="263" t="s">
        <v>65</v>
      </c>
      <c r="E220" s="263" t="s">
        <v>81</v>
      </c>
      <c r="F220" s="274" t="s">
        <v>80</v>
      </c>
      <c r="G220" s="274" t="s">
        <v>79</v>
      </c>
      <c r="H220" s="274" t="s">
        <v>78</v>
      </c>
      <c r="I220" s="274" t="s">
        <v>111</v>
      </c>
      <c r="J220" s="274" t="s">
        <v>110</v>
      </c>
      <c r="K220" s="274" t="s">
        <v>109</v>
      </c>
      <c r="L220" s="274" t="s">
        <v>108</v>
      </c>
      <c r="M220" s="274" t="s">
        <v>40</v>
      </c>
      <c r="N220" s="274" t="s">
        <v>58</v>
      </c>
      <c r="O220" s="93"/>
    </row>
    <row r="221" spans="1:15" x14ac:dyDescent="0.25">
      <c r="A221" s="315">
        <v>10</v>
      </c>
      <c r="B221" s="354" t="s">
        <v>778</v>
      </c>
      <c r="C221" s="378" t="s">
        <v>1007</v>
      </c>
      <c r="D221" s="525">
        <v>2.25</v>
      </c>
      <c r="E221" s="315"/>
      <c r="F221" s="315"/>
      <c r="G221" s="315"/>
      <c r="H221" s="314"/>
      <c r="I221" s="281" t="s">
        <v>1016</v>
      </c>
      <c r="J221" s="528">
        <v>8.5000000000000006E-5</v>
      </c>
      <c r="K221" s="278">
        <v>1.405</v>
      </c>
      <c r="L221" s="278">
        <v>7800</v>
      </c>
      <c r="M221" s="302">
        <v>1</v>
      </c>
      <c r="N221" s="276">
        <f>IF(J221="",D221*M221,D221*J221*K221*L221*M221)</f>
        <v>2.0959087500000004</v>
      </c>
      <c r="O221" s="143"/>
    </row>
    <row r="222" spans="1:15" x14ac:dyDescent="0.25">
      <c r="A222" s="98"/>
      <c r="B222" s="95"/>
      <c r="C222" s="95"/>
      <c r="D222" s="95"/>
      <c r="E222" s="95"/>
      <c r="F222" s="95"/>
      <c r="G222" s="95"/>
      <c r="H222" s="95"/>
      <c r="I222" s="95"/>
      <c r="J222" s="95"/>
      <c r="K222" s="95"/>
      <c r="L222" s="95"/>
      <c r="M222" s="479" t="s">
        <v>58</v>
      </c>
      <c r="N222" s="255">
        <f>SUM(N221:N221)</f>
        <v>2.0959087500000004</v>
      </c>
      <c r="O222" s="93"/>
    </row>
    <row r="223" spans="1:15" x14ac:dyDescent="0.25">
      <c r="A223" s="107"/>
      <c r="B223" s="94"/>
      <c r="C223" s="94"/>
      <c r="D223" s="94"/>
      <c r="E223" s="94"/>
      <c r="F223" s="94"/>
      <c r="G223" s="94"/>
      <c r="H223" s="94"/>
      <c r="I223" s="94"/>
      <c r="J223" s="94"/>
      <c r="K223" s="94"/>
      <c r="L223" s="94"/>
      <c r="M223" s="94"/>
      <c r="N223" s="94"/>
      <c r="O223" s="93"/>
    </row>
    <row r="224" spans="1:15" x14ac:dyDescent="0.25">
      <c r="A224" s="481" t="s">
        <v>67</v>
      </c>
      <c r="B224" s="274" t="s">
        <v>106</v>
      </c>
      <c r="C224" s="274" t="s">
        <v>66</v>
      </c>
      <c r="D224" s="274" t="s">
        <v>65</v>
      </c>
      <c r="E224" s="274" t="s">
        <v>64</v>
      </c>
      <c r="F224" s="274" t="s">
        <v>40</v>
      </c>
      <c r="G224" s="274" t="s">
        <v>105</v>
      </c>
      <c r="H224" s="274" t="s">
        <v>104</v>
      </c>
      <c r="I224" s="274" t="s">
        <v>58</v>
      </c>
      <c r="J224" s="95"/>
      <c r="K224" s="95"/>
      <c r="L224" s="95"/>
      <c r="M224" s="95"/>
      <c r="N224" s="95"/>
      <c r="O224" s="93"/>
    </row>
    <row r="225" spans="1:15" x14ac:dyDescent="0.25">
      <c r="A225" s="527">
        <v>10</v>
      </c>
      <c r="B225" s="309" t="s">
        <v>1005</v>
      </c>
      <c r="C225" s="308"/>
      <c r="D225" s="337">
        <v>0.75</v>
      </c>
      <c r="E225" s="309" t="s">
        <v>537</v>
      </c>
      <c r="F225" s="308">
        <v>12</v>
      </c>
      <c r="G225" s="308"/>
      <c r="H225" s="308"/>
      <c r="I225" s="293">
        <f>IF(H225="",D225*F225,D225*F225*H225)</f>
        <v>9</v>
      </c>
      <c r="J225" s="142"/>
      <c r="K225" s="142"/>
      <c r="L225" s="142"/>
      <c r="M225" s="142"/>
      <c r="N225" s="142"/>
      <c r="O225" s="120"/>
    </row>
    <row r="226" spans="1:15" x14ac:dyDescent="0.25">
      <c r="A226" s="526">
        <v>20</v>
      </c>
      <c r="B226" s="309" t="s">
        <v>463</v>
      </c>
      <c r="C226" s="282"/>
      <c r="D226" s="337">
        <v>0.15</v>
      </c>
      <c r="E226" s="282" t="s">
        <v>999</v>
      </c>
      <c r="F226" s="336">
        <f>20*3.4</f>
        <v>68</v>
      </c>
      <c r="G226" s="309"/>
      <c r="H226" s="308"/>
      <c r="I226" s="293">
        <f>IF(H226="",D226*F226,D226*F226*H226)</f>
        <v>10.199999999999999</v>
      </c>
      <c r="J226" s="94"/>
      <c r="K226" s="94"/>
      <c r="L226" s="94"/>
      <c r="M226" s="94"/>
      <c r="N226" s="94"/>
      <c r="O226" s="93"/>
    </row>
    <row r="227" spans="1:15" ht="30" x14ac:dyDescent="0.25">
      <c r="A227" s="527">
        <v>30</v>
      </c>
      <c r="B227" s="309" t="s">
        <v>1004</v>
      </c>
      <c r="C227" s="308"/>
      <c r="D227" s="337">
        <v>0.75</v>
      </c>
      <c r="E227" s="309" t="s">
        <v>908</v>
      </c>
      <c r="F227" s="308">
        <v>40</v>
      </c>
      <c r="G227" s="308"/>
      <c r="H227" s="308"/>
      <c r="I227" s="276">
        <f>IF(H227="",D227*F227,D227*F227*H227)</f>
        <v>30</v>
      </c>
      <c r="J227" s="99"/>
      <c r="K227" s="99"/>
      <c r="L227" s="99"/>
      <c r="M227" s="99"/>
      <c r="N227" s="99"/>
      <c r="O227" s="130"/>
    </row>
    <row r="228" spans="1:15" x14ac:dyDescent="0.25">
      <c r="A228" s="526">
        <v>40</v>
      </c>
      <c r="B228" s="309" t="s">
        <v>907</v>
      </c>
      <c r="C228" s="308"/>
      <c r="D228" s="337">
        <v>0.38</v>
      </c>
      <c r="E228" s="309" t="s">
        <v>101</v>
      </c>
      <c r="F228" s="308">
        <f>20*3.4</f>
        <v>68</v>
      </c>
      <c r="G228" s="308"/>
      <c r="H228" s="308"/>
      <c r="I228" s="276">
        <f>IF(H228="",D228*F228,D228*F228*H228)</f>
        <v>25.84</v>
      </c>
      <c r="J228" s="94"/>
      <c r="K228" s="94"/>
      <c r="L228" s="94"/>
      <c r="M228" s="94"/>
      <c r="N228" s="94"/>
      <c r="O228" s="93"/>
    </row>
    <row r="229" spans="1:15" x14ac:dyDescent="0.25">
      <c r="A229" s="98"/>
      <c r="B229" s="95"/>
      <c r="C229" s="95"/>
      <c r="D229" s="95"/>
      <c r="E229" s="95"/>
      <c r="F229" s="95"/>
      <c r="G229" s="95"/>
      <c r="H229" s="256" t="s">
        <v>58</v>
      </c>
      <c r="I229" s="255">
        <f>SUM(I225:I228)</f>
        <v>75.040000000000006</v>
      </c>
      <c r="J229" s="95"/>
      <c r="K229" s="95"/>
      <c r="L229" s="95"/>
      <c r="M229" s="95"/>
      <c r="N229" s="95"/>
      <c r="O229" s="93"/>
    </row>
    <row r="230" spans="1:15" x14ac:dyDescent="0.25">
      <c r="A230" s="107"/>
      <c r="B230" s="94"/>
      <c r="C230" s="94"/>
      <c r="D230" s="94"/>
      <c r="E230" s="94"/>
      <c r="F230" s="94"/>
      <c r="G230" s="94"/>
      <c r="H230" s="94"/>
      <c r="I230" s="99"/>
      <c r="J230" s="94"/>
      <c r="K230" s="94"/>
      <c r="L230" s="94"/>
      <c r="M230" s="94"/>
      <c r="N230" s="94"/>
      <c r="O230" s="93"/>
    </row>
    <row r="231" spans="1:15" x14ac:dyDescent="0.25">
      <c r="A231" s="360"/>
      <c r="B231" s="99"/>
      <c r="C231" s="99"/>
      <c r="D231" s="99"/>
      <c r="E231" s="99"/>
      <c r="F231" s="99"/>
      <c r="G231" s="99"/>
      <c r="H231" s="359"/>
      <c r="I231" s="358"/>
      <c r="J231" s="99"/>
      <c r="K231" s="94"/>
      <c r="L231" s="94"/>
      <c r="M231" s="94"/>
      <c r="N231" s="94"/>
      <c r="O231" s="93"/>
    </row>
    <row r="232" spans="1:15" x14ac:dyDescent="0.25">
      <c r="A232" s="481" t="s">
        <v>67</v>
      </c>
      <c r="B232" s="274" t="s">
        <v>13</v>
      </c>
      <c r="C232" s="274" t="s">
        <v>66</v>
      </c>
      <c r="D232" s="274" t="s">
        <v>65</v>
      </c>
      <c r="E232" s="274" t="s">
        <v>64</v>
      </c>
      <c r="F232" s="274" t="s">
        <v>40</v>
      </c>
      <c r="G232" s="274" t="s">
        <v>63</v>
      </c>
      <c r="H232" s="274" t="s">
        <v>741</v>
      </c>
      <c r="I232" s="274" t="s">
        <v>58</v>
      </c>
      <c r="J232" s="95"/>
      <c r="K232" s="94"/>
      <c r="L232" s="94"/>
      <c r="M232" s="94"/>
      <c r="N232" s="94"/>
      <c r="O232" s="93"/>
    </row>
    <row r="233" spans="1:15" x14ac:dyDescent="0.25">
      <c r="A233" s="282">
        <v>10</v>
      </c>
      <c r="B233" s="299" t="s">
        <v>61</v>
      </c>
      <c r="C233" s="282"/>
      <c r="D233" s="520">
        <v>500</v>
      </c>
      <c r="E233" s="282" t="s">
        <v>59</v>
      </c>
      <c r="F233" s="282">
        <v>40</v>
      </c>
      <c r="G233" s="282">
        <v>3000</v>
      </c>
      <c r="H233" s="282">
        <v>1</v>
      </c>
      <c r="I233" s="276">
        <f>D233*F233/G233*H233</f>
        <v>6.666666666666667</v>
      </c>
      <c r="J233" s="99"/>
      <c r="K233" s="99"/>
      <c r="L233" s="99"/>
      <c r="M233" s="99"/>
      <c r="N233" s="99"/>
      <c r="O233" s="130"/>
    </row>
    <row r="234" spans="1:15" x14ac:dyDescent="0.25">
      <c r="A234" s="98"/>
      <c r="B234" s="95"/>
      <c r="C234" s="95"/>
      <c r="D234" s="95"/>
      <c r="E234" s="95"/>
      <c r="F234" s="95"/>
      <c r="G234" s="95"/>
      <c r="H234" s="256" t="s">
        <v>58</v>
      </c>
      <c r="I234" s="255">
        <f>SUM(I233:I233)</f>
        <v>6.666666666666667</v>
      </c>
      <c r="J234" s="95"/>
      <c r="K234" s="94"/>
      <c r="L234" s="94"/>
      <c r="M234" s="94"/>
      <c r="N234" s="94"/>
      <c r="O234" s="93"/>
    </row>
    <row r="235" spans="1:15" x14ac:dyDescent="0.25">
      <c r="A235" s="98"/>
      <c r="B235" s="95"/>
      <c r="C235" s="95"/>
      <c r="D235" s="95"/>
      <c r="E235" s="95"/>
      <c r="F235" s="95"/>
      <c r="G235" s="95"/>
      <c r="H235" s="523"/>
      <c r="I235" s="522"/>
      <c r="J235" s="95"/>
      <c r="K235" s="94"/>
      <c r="L235" s="94"/>
      <c r="M235" s="94"/>
      <c r="N235" s="94"/>
      <c r="O235" s="93"/>
    </row>
    <row r="236" spans="1:15" x14ac:dyDescent="0.25">
      <c r="A236" s="98"/>
      <c r="B236" s="95"/>
      <c r="C236" s="95"/>
      <c r="D236" s="95"/>
      <c r="E236" s="95"/>
      <c r="F236" s="95"/>
      <c r="G236" s="95"/>
      <c r="H236" s="523"/>
      <c r="I236" s="522"/>
      <c r="J236" s="95"/>
      <c r="K236" s="94"/>
      <c r="L236" s="94"/>
      <c r="M236" s="94"/>
      <c r="N236" s="94"/>
      <c r="O236" s="93"/>
    </row>
    <row r="237" spans="1:15" ht="15.75" thickBot="1" x14ac:dyDescent="0.3">
      <c r="A237" s="92"/>
      <c r="B237" s="91"/>
      <c r="C237" s="91"/>
      <c r="D237" s="91"/>
      <c r="E237" s="91"/>
      <c r="F237" s="91"/>
      <c r="G237" s="91"/>
      <c r="H237" s="91"/>
      <c r="I237" s="91"/>
      <c r="J237" s="91"/>
      <c r="K237" s="91"/>
      <c r="L237" s="91"/>
      <c r="M237" s="91"/>
      <c r="N237" s="91"/>
      <c r="O237" s="90"/>
    </row>
    <row r="238" spans="1:15" ht="15.75" thickBot="1" x14ac:dyDescent="0.3"/>
    <row r="239" spans="1:15" x14ac:dyDescent="0.25">
      <c r="A239" s="141"/>
      <c r="B239" s="140"/>
      <c r="C239" s="140"/>
      <c r="D239" s="140"/>
      <c r="E239" s="140"/>
      <c r="F239" s="140"/>
      <c r="G239" s="140"/>
      <c r="H239" s="140"/>
      <c r="I239" s="140"/>
      <c r="J239" s="272"/>
      <c r="K239" s="140"/>
      <c r="L239" s="140"/>
      <c r="M239" s="140"/>
      <c r="N239" s="140"/>
      <c r="O239" s="139"/>
    </row>
    <row r="240" spans="1:15" x14ac:dyDescent="0.25">
      <c r="A240" s="267" t="s">
        <v>57</v>
      </c>
      <c r="B240" s="133" t="s">
        <v>523</v>
      </c>
      <c r="C240" s="94"/>
      <c r="D240" s="94"/>
      <c r="E240" s="94"/>
      <c r="F240" s="94"/>
      <c r="G240" s="94"/>
      <c r="H240" s="94"/>
      <c r="I240" s="94"/>
      <c r="J240" s="271" t="s">
        <v>51</v>
      </c>
      <c r="K240" s="138">
        <v>81</v>
      </c>
      <c r="L240" s="94"/>
      <c r="M240" s="267" t="s">
        <v>113</v>
      </c>
      <c r="N240" s="100">
        <f>EN_02004_m+EN_02004_p+EN_02004_t</f>
        <v>27.039906086666665</v>
      </c>
      <c r="O240" s="93"/>
    </row>
    <row r="241" spans="1:15" x14ac:dyDescent="0.25">
      <c r="A241" s="267" t="s">
        <v>125</v>
      </c>
      <c r="B241" s="133" t="s">
        <v>21</v>
      </c>
      <c r="C241" s="94"/>
      <c r="D241" s="267" t="s">
        <v>122</v>
      </c>
      <c r="E241" s="94"/>
      <c r="F241" s="94"/>
      <c r="G241" s="94"/>
      <c r="H241" s="94"/>
      <c r="I241" s="94"/>
      <c r="J241" s="94"/>
      <c r="K241" s="94"/>
      <c r="L241" s="94"/>
      <c r="M241" s="267" t="s">
        <v>124</v>
      </c>
      <c r="N241" s="136">
        <v>2</v>
      </c>
      <c r="O241" s="93"/>
    </row>
    <row r="242" spans="1:15" x14ac:dyDescent="0.25">
      <c r="A242" s="267" t="s">
        <v>123</v>
      </c>
      <c r="B242" s="270" t="str">
        <f>'EN Assemblies'!B56</f>
        <v>Exhaust system</v>
      </c>
      <c r="C242" s="94"/>
      <c r="D242" s="267" t="s">
        <v>119</v>
      </c>
      <c r="E242" s="94"/>
      <c r="F242" s="94"/>
      <c r="G242" s="94"/>
      <c r="H242" s="94"/>
      <c r="I242" s="94"/>
      <c r="J242" s="268" t="s">
        <v>122</v>
      </c>
      <c r="K242" s="94"/>
      <c r="L242" s="94"/>
      <c r="M242" s="94"/>
      <c r="N242" s="94"/>
      <c r="O242" s="93"/>
    </row>
    <row r="243" spans="1:15" x14ac:dyDescent="0.25">
      <c r="A243" s="267" t="s">
        <v>114</v>
      </c>
      <c r="B243" s="372" t="s">
        <v>1018</v>
      </c>
      <c r="C243" s="94"/>
      <c r="D243" s="267" t="s">
        <v>116</v>
      </c>
      <c r="E243" s="94"/>
      <c r="F243" s="94"/>
      <c r="G243" s="94"/>
      <c r="H243" s="94"/>
      <c r="I243" s="94"/>
      <c r="J243" s="268" t="s">
        <v>119</v>
      </c>
      <c r="K243" s="94"/>
      <c r="L243" s="94"/>
      <c r="M243" s="267" t="s">
        <v>118</v>
      </c>
      <c r="N243" s="100">
        <f>N241*N240</f>
        <v>54.07981217333333</v>
      </c>
      <c r="O243" s="93"/>
    </row>
    <row r="244" spans="1:15" x14ac:dyDescent="0.25">
      <c r="A244" s="267" t="s">
        <v>121</v>
      </c>
      <c r="B244" s="269" t="s">
        <v>1017</v>
      </c>
      <c r="C244" s="94"/>
      <c r="D244" s="94"/>
      <c r="E244" s="94"/>
      <c r="F244" s="94"/>
      <c r="G244" s="94"/>
      <c r="H244" s="94"/>
      <c r="I244" s="94"/>
      <c r="J244" s="268" t="s">
        <v>116</v>
      </c>
      <c r="K244" s="94"/>
      <c r="L244" s="94"/>
      <c r="M244" s="94"/>
      <c r="N244" s="94"/>
      <c r="O244" s="93"/>
    </row>
    <row r="245" spans="1:15" x14ac:dyDescent="0.25">
      <c r="A245" s="267" t="s">
        <v>117</v>
      </c>
      <c r="B245" s="133" t="s">
        <v>23</v>
      </c>
      <c r="C245" s="94"/>
      <c r="D245" s="94"/>
      <c r="E245" s="94"/>
      <c r="F245" s="94"/>
      <c r="G245" s="94"/>
      <c r="H245" s="94"/>
      <c r="I245" s="94"/>
      <c r="J245" s="94"/>
      <c r="K245" s="94"/>
      <c r="L245" s="94"/>
      <c r="M245" s="94"/>
      <c r="N245" s="94"/>
      <c r="O245" s="93"/>
    </row>
    <row r="246" spans="1:15" x14ac:dyDescent="0.25">
      <c r="A246" s="267" t="s">
        <v>115</v>
      </c>
      <c r="B246" s="133"/>
      <c r="C246" s="94"/>
      <c r="D246" s="94"/>
      <c r="E246" s="94"/>
      <c r="F246" s="94"/>
      <c r="G246" s="94"/>
      <c r="H246" s="94"/>
      <c r="I246" s="94"/>
      <c r="J246" s="94"/>
      <c r="K246" s="94"/>
      <c r="L246" s="94"/>
      <c r="M246" s="94"/>
      <c r="N246" s="94"/>
      <c r="O246" s="93"/>
    </row>
    <row r="247" spans="1:15" x14ac:dyDescent="0.25">
      <c r="A247" s="266"/>
      <c r="B247" s="265"/>
      <c r="C247" s="265"/>
      <c r="D247" s="265"/>
      <c r="E247" s="265"/>
      <c r="F247" s="94"/>
      <c r="G247" s="94"/>
      <c r="H247" s="94"/>
      <c r="I247" s="94"/>
      <c r="J247" s="94"/>
      <c r="K247" s="94"/>
      <c r="L247" s="94"/>
      <c r="M247" s="94"/>
      <c r="N247" s="94"/>
      <c r="O247" s="93"/>
    </row>
    <row r="248" spans="1:15" x14ac:dyDescent="0.25">
      <c r="A248" s="264" t="s">
        <v>67</v>
      </c>
      <c r="B248" s="263" t="s">
        <v>112</v>
      </c>
      <c r="C248" s="263" t="s">
        <v>66</v>
      </c>
      <c r="D248" s="263" t="s">
        <v>65</v>
      </c>
      <c r="E248" s="263" t="s">
        <v>81</v>
      </c>
      <c r="F248" s="274" t="s">
        <v>80</v>
      </c>
      <c r="G248" s="274" t="s">
        <v>79</v>
      </c>
      <c r="H248" s="274" t="s">
        <v>78</v>
      </c>
      <c r="I248" s="274" t="s">
        <v>111</v>
      </c>
      <c r="J248" s="274" t="s">
        <v>110</v>
      </c>
      <c r="K248" s="274" t="s">
        <v>109</v>
      </c>
      <c r="L248" s="274" t="s">
        <v>108</v>
      </c>
      <c r="M248" s="274" t="s">
        <v>40</v>
      </c>
      <c r="N248" s="274" t="s">
        <v>58</v>
      </c>
      <c r="O248" s="93"/>
    </row>
    <row r="249" spans="1:15" s="214" customFormat="1" x14ac:dyDescent="0.25">
      <c r="A249" s="315">
        <v>10</v>
      </c>
      <c r="B249" s="354" t="s">
        <v>778</v>
      </c>
      <c r="C249" s="378" t="s">
        <v>1007</v>
      </c>
      <c r="D249" s="525">
        <v>2.25</v>
      </c>
      <c r="E249" s="315"/>
      <c r="F249" s="315"/>
      <c r="G249" s="315"/>
      <c r="H249" s="314"/>
      <c r="I249" s="281" t="s">
        <v>1016</v>
      </c>
      <c r="J249" s="375">
        <v>8.5000000000000006E-5</v>
      </c>
      <c r="K249" s="512">
        <f>2*0.101</f>
        <v>0.20200000000000001</v>
      </c>
      <c r="L249" s="314">
        <v>7800</v>
      </c>
      <c r="M249" s="524">
        <v>1</v>
      </c>
      <c r="N249" s="276">
        <f>IF(J249="",D249*M249,D249*J249*K249*L249*M249)</f>
        <v>0.30133350000000003</v>
      </c>
      <c r="O249" s="498"/>
    </row>
    <row r="250" spans="1:15" x14ac:dyDescent="0.25">
      <c r="A250" s="315">
        <v>20</v>
      </c>
      <c r="B250" s="354" t="s">
        <v>778</v>
      </c>
      <c r="C250" s="378" t="s">
        <v>1007</v>
      </c>
      <c r="D250" s="525">
        <v>2.25</v>
      </c>
      <c r="E250" s="315"/>
      <c r="F250" s="315"/>
      <c r="G250" s="315"/>
      <c r="H250" s="314"/>
      <c r="I250" s="281" t="s">
        <v>1010</v>
      </c>
      <c r="J250" s="375">
        <f>0.0424*0.0016</f>
        <v>6.7840000000000001E-5</v>
      </c>
      <c r="K250" s="518">
        <v>0.01</v>
      </c>
      <c r="L250" s="314">
        <v>7800</v>
      </c>
      <c r="M250" s="524">
        <v>1</v>
      </c>
      <c r="N250" s="276">
        <f>IF(J250="",D250*M250,D250*J250*K250*L250*M250)</f>
        <v>1.190592E-2</v>
      </c>
      <c r="O250" s="143"/>
    </row>
    <row r="251" spans="1:15" x14ac:dyDescent="0.25">
      <c r="A251" s="98"/>
      <c r="B251" s="95"/>
      <c r="C251" s="95"/>
      <c r="D251" s="95"/>
      <c r="E251" s="95"/>
      <c r="F251" s="95"/>
      <c r="G251" s="95"/>
      <c r="H251" s="95"/>
      <c r="I251" s="95"/>
      <c r="J251" s="95"/>
      <c r="K251" s="95"/>
      <c r="L251" s="95"/>
      <c r="M251" s="479" t="s">
        <v>58</v>
      </c>
      <c r="N251" s="255">
        <f>SUM(N249:N250)</f>
        <v>0.31323942000000005</v>
      </c>
      <c r="O251" s="93"/>
    </row>
    <row r="252" spans="1:15" x14ac:dyDescent="0.25">
      <c r="A252" s="107"/>
      <c r="B252" s="94"/>
      <c r="C252" s="94"/>
      <c r="D252" s="94"/>
      <c r="E252" s="94"/>
      <c r="F252" s="94"/>
      <c r="G252" s="94"/>
      <c r="H252" s="94"/>
      <c r="I252" s="94"/>
      <c r="J252" s="94"/>
      <c r="K252" s="94"/>
      <c r="L252" s="94"/>
      <c r="M252" s="94"/>
      <c r="N252" s="94"/>
      <c r="O252" s="93"/>
    </row>
    <row r="253" spans="1:15" x14ac:dyDescent="0.25">
      <c r="A253" s="481" t="s">
        <v>67</v>
      </c>
      <c r="B253" s="274" t="s">
        <v>106</v>
      </c>
      <c r="C253" s="274" t="s">
        <v>66</v>
      </c>
      <c r="D253" s="274" t="s">
        <v>65</v>
      </c>
      <c r="E253" s="274" t="s">
        <v>64</v>
      </c>
      <c r="F253" s="274" t="s">
        <v>40</v>
      </c>
      <c r="G253" s="274" t="s">
        <v>105</v>
      </c>
      <c r="H253" s="274" t="s">
        <v>104</v>
      </c>
      <c r="I253" s="274" t="s">
        <v>58</v>
      </c>
      <c r="J253" s="95"/>
      <c r="K253" s="95"/>
      <c r="L253" s="95"/>
      <c r="M253" s="95"/>
      <c r="N253" s="95"/>
      <c r="O253" s="93"/>
    </row>
    <row r="254" spans="1:15" x14ac:dyDescent="0.25">
      <c r="A254" s="282">
        <v>10</v>
      </c>
      <c r="B254" s="309" t="s">
        <v>463</v>
      </c>
      <c r="C254" s="282"/>
      <c r="D254" s="337">
        <v>0.15</v>
      </c>
      <c r="E254" s="282" t="s">
        <v>999</v>
      </c>
      <c r="F254" s="336">
        <f>5*3.4+2*4.2</f>
        <v>25.4</v>
      </c>
      <c r="G254" s="309"/>
      <c r="H254" s="308"/>
      <c r="I254" s="293">
        <f>IF(H254="",D254*F254,D254*F254*H254)</f>
        <v>3.8099999999999996</v>
      </c>
      <c r="J254" s="142"/>
      <c r="K254" s="142"/>
      <c r="L254" s="142"/>
      <c r="M254" s="142"/>
      <c r="N254" s="142"/>
      <c r="O254" s="120"/>
    </row>
    <row r="255" spans="1:15" ht="30" x14ac:dyDescent="0.25">
      <c r="A255" s="308">
        <v>20</v>
      </c>
      <c r="B255" s="309" t="s">
        <v>1004</v>
      </c>
      <c r="C255" s="308"/>
      <c r="D255" s="337">
        <v>0.75</v>
      </c>
      <c r="E255" s="309" t="s">
        <v>908</v>
      </c>
      <c r="F255" s="308">
        <v>9</v>
      </c>
      <c r="G255" s="308"/>
      <c r="H255" s="308"/>
      <c r="I255" s="293">
        <f>IF(H255="",D255*F255,D255*F255*H255)</f>
        <v>6.75</v>
      </c>
      <c r="J255" s="94"/>
      <c r="K255" s="94"/>
      <c r="L255" s="94"/>
      <c r="M255" s="94"/>
      <c r="N255" s="94"/>
      <c r="O255" s="93"/>
    </row>
    <row r="256" spans="1:15" x14ac:dyDescent="0.25">
      <c r="A256" s="308">
        <v>30</v>
      </c>
      <c r="B256" s="309" t="s">
        <v>907</v>
      </c>
      <c r="C256" s="308"/>
      <c r="D256" s="337">
        <v>0.38</v>
      </c>
      <c r="E256" s="309" t="s">
        <v>101</v>
      </c>
      <c r="F256" s="308">
        <v>25</v>
      </c>
      <c r="G256" s="308"/>
      <c r="H256" s="308"/>
      <c r="I256" s="276">
        <f>IF(H256="",D256*F256,D256*F256*H256)</f>
        <v>9.5</v>
      </c>
      <c r="J256" s="99"/>
      <c r="K256" s="99"/>
      <c r="L256" s="99"/>
      <c r="M256" s="99"/>
      <c r="N256" s="99"/>
      <c r="O256" s="130"/>
    </row>
    <row r="257" spans="1:15" x14ac:dyDescent="0.25">
      <c r="A257" s="98"/>
      <c r="B257" s="95"/>
      <c r="C257" s="95"/>
      <c r="D257" s="95"/>
      <c r="E257" s="95"/>
      <c r="F257" s="95"/>
      <c r="G257" s="95"/>
      <c r="H257" s="256" t="s">
        <v>58</v>
      </c>
      <c r="I257" s="255">
        <f>SUM(I254:I256)</f>
        <v>20.059999999999999</v>
      </c>
      <c r="J257" s="95"/>
      <c r="K257" s="95"/>
      <c r="L257" s="95"/>
      <c r="M257" s="95"/>
      <c r="N257" s="95"/>
      <c r="O257" s="93"/>
    </row>
    <row r="258" spans="1:15" x14ac:dyDescent="0.25">
      <c r="A258" s="360"/>
      <c r="B258" s="99"/>
      <c r="C258" s="99"/>
      <c r="D258" s="99"/>
      <c r="E258" s="99"/>
      <c r="F258" s="99"/>
      <c r="G258" s="99"/>
      <c r="H258" s="359"/>
      <c r="I258" s="358"/>
      <c r="J258" s="99"/>
      <c r="K258" s="94"/>
      <c r="L258" s="94"/>
      <c r="M258" s="94"/>
      <c r="N258" s="94"/>
      <c r="O258" s="93"/>
    </row>
    <row r="259" spans="1:15" x14ac:dyDescent="0.25">
      <c r="A259" s="481" t="s">
        <v>67</v>
      </c>
      <c r="B259" s="274" t="s">
        <v>13</v>
      </c>
      <c r="C259" s="274" t="s">
        <v>66</v>
      </c>
      <c r="D259" s="274" t="s">
        <v>65</v>
      </c>
      <c r="E259" s="274" t="s">
        <v>64</v>
      </c>
      <c r="F259" s="274" t="s">
        <v>40</v>
      </c>
      <c r="G259" s="274" t="s">
        <v>63</v>
      </c>
      <c r="H259" s="274" t="s">
        <v>741</v>
      </c>
      <c r="I259" s="274" t="s">
        <v>58</v>
      </c>
      <c r="J259" s="95"/>
      <c r="K259" s="94"/>
      <c r="L259" s="94"/>
      <c r="M259" s="94"/>
      <c r="N259" s="94"/>
      <c r="O259" s="93"/>
    </row>
    <row r="260" spans="1:15" x14ac:dyDescent="0.25">
      <c r="A260" s="282">
        <v>10</v>
      </c>
      <c r="B260" s="299" t="s">
        <v>61</v>
      </c>
      <c r="C260" s="282"/>
      <c r="D260" s="517">
        <v>500</v>
      </c>
      <c r="E260" s="282" t="s">
        <v>59</v>
      </c>
      <c r="F260" s="282">
        <v>40</v>
      </c>
      <c r="G260" s="282">
        <v>3000</v>
      </c>
      <c r="H260" s="282">
        <v>1</v>
      </c>
      <c r="I260" s="276">
        <f>D260*F260/G260*H260</f>
        <v>6.666666666666667</v>
      </c>
      <c r="J260" s="99"/>
      <c r="K260" s="99"/>
      <c r="L260" s="99"/>
      <c r="M260" s="99"/>
      <c r="N260" s="99"/>
      <c r="O260" s="130"/>
    </row>
    <row r="261" spans="1:15" x14ac:dyDescent="0.25">
      <c r="A261" s="98"/>
      <c r="B261" s="95"/>
      <c r="C261" s="95"/>
      <c r="D261" s="95"/>
      <c r="E261" s="95"/>
      <c r="F261" s="95"/>
      <c r="G261" s="95"/>
      <c r="H261" s="256" t="s">
        <v>58</v>
      </c>
      <c r="I261" s="255">
        <f>SUM(I260:I260)</f>
        <v>6.666666666666667</v>
      </c>
      <c r="J261" s="95"/>
      <c r="K261" s="94"/>
      <c r="L261" s="94"/>
      <c r="M261" s="94"/>
      <c r="N261" s="94"/>
      <c r="O261" s="93"/>
    </row>
    <row r="262" spans="1:15" x14ac:dyDescent="0.25">
      <c r="A262" s="98"/>
      <c r="B262" s="95"/>
      <c r="C262" s="95"/>
      <c r="D262" s="95"/>
      <c r="E262" s="95"/>
      <c r="F262" s="95"/>
      <c r="G262" s="95"/>
      <c r="H262" s="523"/>
      <c r="I262" s="522"/>
      <c r="J262" s="95"/>
      <c r="K262" s="94"/>
      <c r="L262" s="94"/>
      <c r="M262" s="94"/>
      <c r="N262" s="94"/>
      <c r="O262" s="93"/>
    </row>
    <row r="263" spans="1:15" x14ac:dyDescent="0.25">
      <c r="A263" s="98"/>
      <c r="B263" s="95"/>
      <c r="C263" s="95"/>
      <c r="D263" s="95"/>
      <c r="E263" s="95"/>
      <c r="F263" s="95"/>
      <c r="G263" s="95"/>
      <c r="H263" s="523"/>
      <c r="I263" s="522"/>
      <c r="J263" s="95"/>
      <c r="K263" s="94"/>
      <c r="L263" s="94"/>
      <c r="M263" s="94"/>
      <c r="N263" s="94"/>
      <c r="O263" s="93"/>
    </row>
    <row r="264" spans="1:15" ht="15.75" thickBot="1" x14ac:dyDescent="0.3">
      <c r="A264" s="92"/>
      <c r="B264" s="91"/>
      <c r="C264" s="91"/>
      <c r="D264" s="91"/>
      <c r="E264" s="91"/>
      <c r="F264" s="91"/>
      <c r="G264" s="91"/>
      <c r="H264" s="91"/>
      <c r="I264" s="91"/>
      <c r="J264" s="91"/>
      <c r="K264" s="91"/>
      <c r="L264" s="91"/>
      <c r="M264" s="91"/>
      <c r="N264" s="91"/>
      <c r="O264" s="90"/>
    </row>
    <row r="265" spans="1:15" ht="15.75" thickBot="1" x14ac:dyDescent="0.3"/>
    <row r="266" spans="1:15" x14ac:dyDescent="0.25">
      <c r="A266" s="141"/>
      <c r="B266" s="140"/>
      <c r="C266" s="140"/>
      <c r="D266" s="140"/>
      <c r="E266" s="140"/>
      <c r="F266" s="140"/>
      <c r="G266" s="140"/>
      <c r="H266" s="140"/>
      <c r="I266" s="140"/>
      <c r="J266" s="272"/>
      <c r="K266" s="140"/>
      <c r="L266" s="140"/>
      <c r="M266" s="140"/>
      <c r="N266" s="140"/>
      <c r="O266" s="139"/>
    </row>
    <row r="267" spans="1:15" x14ac:dyDescent="0.25">
      <c r="A267" s="267" t="s">
        <v>57</v>
      </c>
      <c r="B267" s="133" t="s">
        <v>523</v>
      </c>
      <c r="C267" s="94"/>
      <c r="D267" s="94"/>
      <c r="E267" s="94"/>
      <c r="F267" s="94"/>
      <c r="G267" s="94"/>
      <c r="H267" s="94"/>
      <c r="I267" s="94"/>
      <c r="J267" s="271" t="s">
        <v>51</v>
      </c>
      <c r="K267" s="138">
        <v>81</v>
      </c>
      <c r="L267" s="94"/>
      <c r="M267" s="267" t="s">
        <v>113</v>
      </c>
      <c r="N267" s="100">
        <f>EN_02005_m+EN_02005_p+EN_02005_t</f>
        <v>47.989955733333332</v>
      </c>
      <c r="O267" s="93"/>
    </row>
    <row r="268" spans="1:15" x14ac:dyDescent="0.25">
      <c r="A268" s="267" t="s">
        <v>125</v>
      </c>
      <c r="B268" s="133" t="s">
        <v>21</v>
      </c>
      <c r="C268" s="94"/>
      <c r="D268" s="267" t="s">
        <v>122</v>
      </c>
      <c r="E268" s="94"/>
      <c r="F268" s="94"/>
      <c r="G268" s="94"/>
      <c r="H268" s="94"/>
      <c r="I268" s="94"/>
      <c r="J268" s="94"/>
      <c r="K268" s="94"/>
      <c r="L268" s="94"/>
      <c r="M268" s="267" t="s">
        <v>124</v>
      </c>
      <c r="N268" s="136">
        <v>1</v>
      </c>
      <c r="O268" s="93"/>
    </row>
    <row r="269" spans="1:15" x14ac:dyDescent="0.25">
      <c r="A269" s="267" t="s">
        <v>123</v>
      </c>
      <c r="B269" s="270" t="str">
        <f>'EN Assemblies'!B56</f>
        <v>Exhaust system</v>
      </c>
      <c r="C269" s="94"/>
      <c r="D269" s="267" t="s">
        <v>119</v>
      </c>
      <c r="E269" s="94"/>
      <c r="F269" s="94"/>
      <c r="G269" s="94"/>
      <c r="H269" s="94"/>
      <c r="I269" s="94"/>
      <c r="J269" s="268" t="s">
        <v>122</v>
      </c>
      <c r="K269" s="94"/>
      <c r="L269" s="94"/>
      <c r="M269" s="94"/>
      <c r="N269" s="94"/>
      <c r="O269" s="93"/>
    </row>
    <row r="270" spans="1:15" x14ac:dyDescent="0.25">
      <c r="A270" s="267" t="s">
        <v>114</v>
      </c>
      <c r="B270" s="372" t="s">
        <v>1015</v>
      </c>
      <c r="C270" s="94"/>
      <c r="D270" s="267" t="s">
        <v>116</v>
      </c>
      <c r="E270" s="94"/>
      <c r="F270" s="94"/>
      <c r="G270" s="94"/>
      <c r="H270" s="94"/>
      <c r="I270" s="94"/>
      <c r="J270" s="268" t="s">
        <v>119</v>
      </c>
      <c r="K270" s="94"/>
      <c r="L270" s="94"/>
      <c r="M270" s="267" t="s">
        <v>118</v>
      </c>
      <c r="N270" s="100">
        <f>N268*N267</f>
        <v>47.989955733333332</v>
      </c>
      <c r="O270" s="93"/>
    </row>
    <row r="271" spans="1:15" x14ac:dyDescent="0.25">
      <c r="A271" s="267" t="s">
        <v>121</v>
      </c>
      <c r="B271" s="269" t="s">
        <v>1014</v>
      </c>
      <c r="C271" s="94"/>
      <c r="D271" s="94"/>
      <c r="E271" s="94"/>
      <c r="F271" s="94"/>
      <c r="G271" s="94"/>
      <c r="H271" s="94"/>
      <c r="I271" s="94"/>
      <c r="J271" s="268" t="s">
        <v>116</v>
      </c>
      <c r="K271" s="94"/>
      <c r="L271" s="94"/>
      <c r="M271" s="94"/>
      <c r="N271" s="94"/>
      <c r="O271" s="93"/>
    </row>
    <row r="272" spans="1:15" x14ac:dyDescent="0.25">
      <c r="A272" s="267" t="s">
        <v>117</v>
      </c>
      <c r="B272" s="133" t="s">
        <v>23</v>
      </c>
      <c r="C272" s="94"/>
      <c r="D272" s="94"/>
      <c r="E272" s="94"/>
      <c r="F272" s="94"/>
      <c r="G272" s="94"/>
      <c r="H272" s="94"/>
      <c r="I272" s="94"/>
      <c r="J272" s="94"/>
      <c r="K272" s="94"/>
      <c r="L272" s="94"/>
      <c r="M272" s="94"/>
      <c r="N272" s="94"/>
      <c r="O272" s="93"/>
    </row>
    <row r="273" spans="1:15" x14ac:dyDescent="0.25">
      <c r="A273" s="267" t="s">
        <v>115</v>
      </c>
      <c r="B273" s="133" t="s">
        <v>1013</v>
      </c>
      <c r="C273" s="94"/>
      <c r="D273" s="94"/>
      <c r="E273" s="94"/>
      <c r="F273" s="94"/>
      <c r="G273" s="94"/>
      <c r="H273" s="94"/>
      <c r="I273" s="94"/>
      <c r="J273" s="94"/>
      <c r="K273" s="94"/>
      <c r="L273" s="94"/>
      <c r="M273" s="94"/>
      <c r="N273" s="94"/>
      <c r="O273" s="93"/>
    </row>
    <row r="274" spans="1:15" x14ac:dyDescent="0.25">
      <c r="A274" s="266"/>
      <c r="B274" s="265"/>
      <c r="C274" s="265"/>
      <c r="D274" s="265"/>
      <c r="E274" s="265"/>
      <c r="F274" s="94"/>
      <c r="G274" s="94"/>
      <c r="H274" s="94"/>
      <c r="I274" s="94"/>
      <c r="J274" s="94"/>
      <c r="K274" s="94"/>
      <c r="L274" s="94"/>
      <c r="M274" s="94"/>
      <c r="N274" s="94"/>
      <c r="O274" s="93"/>
    </row>
    <row r="275" spans="1:15" x14ac:dyDescent="0.25">
      <c r="A275" s="264" t="s">
        <v>67</v>
      </c>
      <c r="B275" s="263" t="s">
        <v>112</v>
      </c>
      <c r="C275" s="263" t="s">
        <v>66</v>
      </c>
      <c r="D275" s="263" t="s">
        <v>65</v>
      </c>
      <c r="E275" s="263" t="s">
        <v>81</v>
      </c>
      <c r="F275" s="274" t="s">
        <v>80</v>
      </c>
      <c r="G275" s="274" t="s">
        <v>79</v>
      </c>
      <c r="H275" s="274" t="s">
        <v>78</v>
      </c>
      <c r="I275" s="274" t="s">
        <v>111</v>
      </c>
      <c r="J275" s="274" t="s">
        <v>110</v>
      </c>
      <c r="K275" s="274" t="s">
        <v>109</v>
      </c>
      <c r="L275" s="274" t="s">
        <v>108</v>
      </c>
      <c r="M275" s="274" t="s">
        <v>40</v>
      </c>
      <c r="N275" s="274" t="s">
        <v>58</v>
      </c>
      <c r="O275" s="93"/>
    </row>
    <row r="276" spans="1:15" x14ac:dyDescent="0.25">
      <c r="A276" s="282">
        <v>10</v>
      </c>
      <c r="B276" s="298" t="s">
        <v>778</v>
      </c>
      <c r="C276" s="378" t="s">
        <v>1007</v>
      </c>
      <c r="D276" s="497">
        <v>2.25</v>
      </c>
      <c r="E276" s="282"/>
      <c r="F276" s="282"/>
      <c r="G276" s="282"/>
      <c r="H276" s="278"/>
      <c r="I276" s="281" t="s">
        <v>1010</v>
      </c>
      <c r="J276" s="521">
        <f>0.042*0.0016</f>
        <v>6.7200000000000007E-5</v>
      </c>
      <c r="K276" s="278">
        <v>0.59</v>
      </c>
      <c r="L276" s="278">
        <v>7800</v>
      </c>
      <c r="M276" s="302">
        <v>1</v>
      </c>
      <c r="N276" s="276">
        <f>IF(J276="",D276*M276,D276*J276*K276*L276*M276)</f>
        <v>0.69582240000000006</v>
      </c>
      <c r="O276" s="143"/>
    </row>
    <row r="277" spans="1:15" x14ac:dyDescent="0.25">
      <c r="A277" s="98"/>
      <c r="B277" s="95"/>
      <c r="C277" s="95"/>
      <c r="D277" s="95"/>
      <c r="E277" s="95"/>
      <c r="F277" s="95"/>
      <c r="G277" s="95"/>
      <c r="H277" s="95"/>
      <c r="I277" s="95"/>
      <c r="J277" s="95"/>
      <c r="K277" s="95"/>
      <c r="L277" s="95"/>
      <c r="M277" s="479" t="s">
        <v>58</v>
      </c>
      <c r="N277" s="255">
        <f>SUM(N276:N276)</f>
        <v>0.69582240000000006</v>
      </c>
      <c r="O277" s="93"/>
    </row>
    <row r="278" spans="1:15" x14ac:dyDescent="0.25">
      <c r="A278" s="107"/>
      <c r="B278" s="94"/>
      <c r="C278" s="94"/>
      <c r="D278" s="94"/>
      <c r="E278" s="94"/>
      <c r="F278" s="94"/>
      <c r="G278" s="94"/>
      <c r="H278" s="94"/>
      <c r="I278" s="94"/>
      <c r="J278" s="94"/>
      <c r="K278" s="94"/>
      <c r="L278" s="94"/>
      <c r="M278" s="94"/>
      <c r="N278" s="94"/>
      <c r="O278" s="93"/>
    </row>
    <row r="279" spans="1:15" x14ac:dyDescent="0.25">
      <c r="A279" s="481" t="s">
        <v>67</v>
      </c>
      <c r="B279" s="274" t="s">
        <v>106</v>
      </c>
      <c r="C279" s="274" t="s">
        <v>66</v>
      </c>
      <c r="D279" s="274" t="s">
        <v>65</v>
      </c>
      <c r="E279" s="274" t="s">
        <v>64</v>
      </c>
      <c r="F279" s="274" t="s">
        <v>40</v>
      </c>
      <c r="G279" s="274" t="s">
        <v>105</v>
      </c>
      <c r="H279" s="274" t="s">
        <v>104</v>
      </c>
      <c r="I279" s="274" t="s">
        <v>58</v>
      </c>
      <c r="J279" s="95"/>
      <c r="K279" s="95"/>
      <c r="L279" s="95"/>
      <c r="M279" s="95"/>
      <c r="N279" s="95"/>
      <c r="O279" s="93"/>
    </row>
    <row r="280" spans="1:15" x14ac:dyDescent="0.25">
      <c r="A280" s="325">
        <v>10</v>
      </c>
      <c r="B280" s="326" t="s">
        <v>1005</v>
      </c>
      <c r="C280" s="325"/>
      <c r="D280" s="329">
        <v>0.75</v>
      </c>
      <c r="E280" s="326" t="s">
        <v>537</v>
      </c>
      <c r="F280" s="325">
        <v>4</v>
      </c>
      <c r="G280" s="325"/>
      <c r="H280" s="325"/>
      <c r="I280" s="293">
        <f>IF(H280="",D280*F280,D280*F280*H280)</f>
        <v>3</v>
      </c>
      <c r="J280" s="142"/>
      <c r="K280" s="142"/>
      <c r="L280" s="142"/>
      <c r="M280" s="142"/>
      <c r="N280" s="142"/>
      <c r="O280" s="120"/>
    </row>
    <row r="281" spans="1:15" x14ac:dyDescent="0.25">
      <c r="A281" s="328">
        <v>20</v>
      </c>
      <c r="B281" s="326" t="s">
        <v>463</v>
      </c>
      <c r="C281" s="328"/>
      <c r="D281" s="329">
        <v>0.15</v>
      </c>
      <c r="E281" s="328" t="s">
        <v>999</v>
      </c>
      <c r="F281" s="333">
        <f>4.24*14</f>
        <v>59.36</v>
      </c>
      <c r="G281" s="326"/>
      <c r="H281" s="325"/>
      <c r="I281" s="293">
        <f>IF(H281="",D281*F281,D281*F281*H281)</f>
        <v>8.9039999999999999</v>
      </c>
      <c r="J281" s="94"/>
      <c r="K281" s="94"/>
      <c r="L281" s="94"/>
      <c r="M281" s="94"/>
      <c r="N281" s="94"/>
      <c r="O281" s="93"/>
    </row>
    <row r="282" spans="1:15" ht="30" x14ac:dyDescent="0.25">
      <c r="A282" s="325">
        <v>30</v>
      </c>
      <c r="B282" s="326" t="s">
        <v>1004</v>
      </c>
      <c r="C282" s="325"/>
      <c r="D282" s="329">
        <v>0.75</v>
      </c>
      <c r="E282" s="326" t="s">
        <v>908</v>
      </c>
      <c r="F282" s="325">
        <v>14</v>
      </c>
      <c r="G282" s="325"/>
      <c r="H282" s="325"/>
      <c r="I282" s="276">
        <f>IF(H282="",D282*F282,D282*F282*H282)</f>
        <v>10.5</v>
      </c>
      <c r="J282" s="99"/>
      <c r="K282" s="99"/>
      <c r="L282" s="99"/>
      <c r="M282" s="99"/>
      <c r="N282" s="99"/>
      <c r="O282" s="130"/>
    </row>
    <row r="283" spans="1:15" x14ac:dyDescent="0.25">
      <c r="A283" s="325">
        <v>40</v>
      </c>
      <c r="B283" s="326" t="s">
        <v>907</v>
      </c>
      <c r="C283" s="325"/>
      <c r="D283" s="329">
        <v>0.38</v>
      </c>
      <c r="E283" s="326" t="s">
        <v>101</v>
      </c>
      <c r="F283" s="325">
        <f>4.24*14</f>
        <v>59.36</v>
      </c>
      <c r="G283" s="325"/>
      <c r="H283" s="325"/>
      <c r="I283" s="276">
        <f>IF(H283="",D283*F283,D283*F283*H283)</f>
        <v>22.556799999999999</v>
      </c>
      <c r="J283" s="94"/>
      <c r="K283" s="94"/>
      <c r="L283" s="94"/>
      <c r="M283" s="94"/>
      <c r="N283" s="94"/>
      <c r="O283" s="93"/>
    </row>
    <row r="284" spans="1:15" x14ac:dyDescent="0.25">
      <c r="A284" s="98"/>
      <c r="B284" s="95"/>
      <c r="C284" s="95"/>
      <c r="D284" s="95"/>
      <c r="E284" s="95"/>
      <c r="F284" s="95"/>
      <c r="G284" s="95"/>
      <c r="H284" s="256" t="s">
        <v>58</v>
      </c>
      <c r="I284" s="255">
        <f>SUM(I280:I283)</f>
        <v>44.960799999999999</v>
      </c>
      <c r="J284" s="95"/>
      <c r="K284" s="95"/>
      <c r="L284" s="95"/>
      <c r="M284" s="95"/>
      <c r="N284" s="95"/>
      <c r="O284" s="93"/>
    </row>
    <row r="285" spans="1:15" x14ac:dyDescent="0.25">
      <c r="A285" s="107"/>
      <c r="B285" s="94"/>
      <c r="C285" s="94"/>
      <c r="D285" s="94"/>
      <c r="E285" s="94"/>
      <c r="F285" s="94"/>
      <c r="G285" s="94"/>
      <c r="H285" s="94"/>
      <c r="I285" s="99"/>
      <c r="J285" s="94"/>
      <c r="K285" s="94"/>
      <c r="L285" s="94"/>
      <c r="M285" s="94"/>
      <c r="N285" s="94"/>
      <c r="O285" s="93"/>
    </row>
    <row r="286" spans="1:15" x14ac:dyDescent="0.25">
      <c r="A286" s="360"/>
      <c r="B286" s="99"/>
      <c r="C286" s="99"/>
      <c r="D286" s="99"/>
      <c r="E286" s="99"/>
      <c r="F286" s="99"/>
      <c r="G286" s="99"/>
      <c r="H286" s="359"/>
      <c r="I286" s="358"/>
      <c r="J286" s="99"/>
      <c r="K286" s="94"/>
      <c r="L286" s="94"/>
      <c r="M286" s="94"/>
      <c r="N286" s="94"/>
      <c r="O286" s="93"/>
    </row>
    <row r="287" spans="1:15" x14ac:dyDescent="0.25">
      <c r="A287" s="481" t="s">
        <v>67</v>
      </c>
      <c r="B287" s="274" t="s">
        <v>13</v>
      </c>
      <c r="C287" s="274" t="s">
        <v>66</v>
      </c>
      <c r="D287" s="274" t="s">
        <v>65</v>
      </c>
      <c r="E287" s="274" t="s">
        <v>64</v>
      </c>
      <c r="F287" s="274" t="s">
        <v>40</v>
      </c>
      <c r="G287" s="274" t="s">
        <v>63</v>
      </c>
      <c r="H287" s="274" t="s">
        <v>741</v>
      </c>
      <c r="I287" s="274" t="s">
        <v>58</v>
      </c>
      <c r="J287" s="95"/>
      <c r="K287" s="94"/>
      <c r="L287" s="94"/>
      <c r="M287" s="94"/>
      <c r="N287" s="94"/>
      <c r="O287" s="93"/>
    </row>
    <row r="288" spans="1:15" x14ac:dyDescent="0.25">
      <c r="A288" s="282">
        <v>10</v>
      </c>
      <c r="B288" s="299" t="s">
        <v>61</v>
      </c>
      <c r="C288" s="282"/>
      <c r="D288" s="520">
        <v>500</v>
      </c>
      <c r="E288" s="282" t="s">
        <v>59</v>
      </c>
      <c r="F288" s="282">
        <v>14</v>
      </c>
      <c r="G288" s="282">
        <v>3000</v>
      </c>
      <c r="H288" s="282">
        <v>1</v>
      </c>
      <c r="I288" s="276">
        <f>D288*F288/G288*H288</f>
        <v>2.3333333333333335</v>
      </c>
      <c r="J288" s="99"/>
      <c r="K288" s="99"/>
      <c r="L288" s="99"/>
      <c r="M288" s="99"/>
      <c r="N288" s="99"/>
      <c r="O288" s="130"/>
    </row>
    <row r="289" spans="1:15" x14ac:dyDescent="0.25">
      <c r="A289" s="98"/>
      <c r="B289" s="95"/>
      <c r="C289" s="95"/>
      <c r="D289" s="95"/>
      <c r="E289" s="95"/>
      <c r="F289" s="95"/>
      <c r="G289" s="95"/>
      <c r="H289" s="256" t="s">
        <v>58</v>
      </c>
      <c r="I289" s="255">
        <f>SUM(I288:I288)</f>
        <v>2.3333333333333335</v>
      </c>
      <c r="J289" s="95"/>
      <c r="K289" s="94"/>
      <c r="L289" s="94"/>
      <c r="M289" s="94"/>
      <c r="N289" s="94"/>
      <c r="O289" s="93"/>
    </row>
    <row r="290" spans="1:15" ht="15.75" thickBot="1" x14ac:dyDescent="0.3">
      <c r="A290" s="92"/>
      <c r="B290" s="91"/>
      <c r="C290" s="91"/>
      <c r="D290" s="91"/>
      <c r="E290" s="91"/>
      <c r="F290" s="91"/>
      <c r="G290" s="91"/>
      <c r="H290" s="91"/>
      <c r="I290" s="91"/>
      <c r="J290" s="91"/>
      <c r="K290" s="91"/>
      <c r="L290" s="91"/>
      <c r="M290" s="91"/>
      <c r="N290" s="91"/>
      <c r="O290" s="90"/>
    </row>
    <row r="291" spans="1:15" ht="15.75" thickBot="1" x14ac:dyDescent="0.3"/>
    <row r="292" spans="1:15" x14ac:dyDescent="0.25">
      <c r="A292" s="141"/>
      <c r="B292" s="140"/>
      <c r="C292" s="140"/>
      <c r="D292" s="140"/>
      <c r="E292" s="140"/>
      <c r="F292" s="140"/>
      <c r="G292" s="140"/>
      <c r="H292" s="140"/>
      <c r="I292" s="140"/>
      <c r="J292" s="272"/>
      <c r="K292" s="140"/>
      <c r="L292" s="140"/>
      <c r="M292" s="140"/>
      <c r="N292" s="140"/>
      <c r="O292" s="139"/>
    </row>
    <row r="293" spans="1:15" x14ac:dyDescent="0.25">
      <c r="A293" s="267" t="s">
        <v>57</v>
      </c>
      <c r="B293" s="133" t="s">
        <v>523</v>
      </c>
      <c r="C293" s="94"/>
      <c r="D293" s="94"/>
      <c r="E293" s="94"/>
      <c r="F293" s="94"/>
      <c r="G293" s="94"/>
      <c r="H293" s="94"/>
      <c r="I293" s="94"/>
      <c r="J293" s="271" t="s">
        <v>51</v>
      </c>
      <c r="K293" s="138">
        <v>81</v>
      </c>
      <c r="L293" s="94"/>
      <c r="M293" s="267" t="s">
        <v>113</v>
      </c>
      <c r="N293" s="100">
        <f>EN_02006_m+EN_02006_p+EN_02006_t</f>
        <v>27.820328750666665</v>
      </c>
      <c r="O293" s="93"/>
    </row>
    <row r="294" spans="1:15" x14ac:dyDescent="0.25">
      <c r="A294" s="267" t="s">
        <v>125</v>
      </c>
      <c r="B294" s="133" t="s">
        <v>21</v>
      </c>
      <c r="C294" s="94"/>
      <c r="D294" s="267" t="s">
        <v>122</v>
      </c>
      <c r="E294" s="94"/>
      <c r="F294" s="94"/>
      <c r="G294" s="94"/>
      <c r="H294" s="94"/>
      <c r="I294" s="94"/>
      <c r="J294" s="94"/>
      <c r="K294" s="94"/>
      <c r="L294" s="94"/>
      <c r="M294" s="267" t="s">
        <v>124</v>
      </c>
      <c r="N294" s="136">
        <v>1</v>
      </c>
      <c r="O294" s="93"/>
    </row>
    <row r="295" spans="1:15" x14ac:dyDescent="0.25">
      <c r="A295" s="267" t="s">
        <v>123</v>
      </c>
      <c r="B295" s="270" t="str">
        <f>'EN Assemblies'!B56</f>
        <v>Exhaust system</v>
      </c>
      <c r="C295" s="94"/>
      <c r="D295" s="267" t="s">
        <v>119</v>
      </c>
      <c r="E295" s="94"/>
      <c r="F295" s="94"/>
      <c r="G295" s="94"/>
      <c r="H295" s="94"/>
      <c r="I295" s="94"/>
      <c r="J295" s="268" t="s">
        <v>122</v>
      </c>
      <c r="K295" s="94"/>
      <c r="L295" s="94"/>
      <c r="M295" s="94"/>
      <c r="N295" s="94"/>
      <c r="O295" s="93"/>
    </row>
    <row r="296" spans="1:15" x14ac:dyDescent="0.25">
      <c r="A296" s="267" t="s">
        <v>114</v>
      </c>
      <c r="B296" s="372" t="s">
        <v>1012</v>
      </c>
      <c r="C296" s="94"/>
      <c r="D296" s="267" t="s">
        <v>116</v>
      </c>
      <c r="E296" s="94"/>
      <c r="F296" s="94"/>
      <c r="G296" s="94"/>
      <c r="H296" s="94"/>
      <c r="I296" s="94"/>
      <c r="J296" s="268" t="s">
        <v>119</v>
      </c>
      <c r="K296" s="94"/>
      <c r="L296" s="94"/>
      <c r="M296" s="267" t="s">
        <v>118</v>
      </c>
      <c r="N296" s="100">
        <f>N294*N293</f>
        <v>27.820328750666665</v>
      </c>
      <c r="O296" s="93"/>
    </row>
    <row r="297" spans="1:15" x14ac:dyDescent="0.25">
      <c r="A297" s="267" t="s">
        <v>121</v>
      </c>
      <c r="B297" s="269" t="s">
        <v>1011</v>
      </c>
      <c r="C297" s="94"/>
      <c r="D297" s="94"/>
      <c r="E297" s="94"/>
      <c r="F297" s="94"/>
      <c r="G297" s="94"/>
      <c r="H297" s="94"/>
      <c r="I297" s="94"/>
      <c r="J297" s="268" t="s">
        <v>116</v>
      </c>
      <c r="K297" s="94"/>
      <c r="L297" s="94"/>
      <c r="M297" s="94"/>
      <c r="N297" s="94"/>
      <c r="O297" s="93"/>
    </row>
    <row r="298" spans="1:15" x14ac:dyDescent="0.25">
      <c r="A298" s="267" t="s">
        <v>117</v>
      </c>
      <c r="B298" s="133" t="s">
        <v>23</v>
      </c>
      <c r="C298" s="94"/>
      <c r="D298" s="94"/>
      <c r="E298" s="94"/>
      <c r="F298" s="94"/>
      <c r="G298" s="94"/>
      <c r="H298" s="94"/>
      <c r="I298" s="94"/>
      <c r="J298" s="94"/>
      <c r="K298" s="94"/>
      <c r="L298" s="94"/>
      <c r="M298" s="94"/>
      <c r="N298" s="94"/>
      <c r="O298" s="93"/>
    </row>
    <row r="299" spans="1:15" x14ac:dyDescent="0.25">
      <c r="A299" s="267" t="s">
        <v>115</v>
      </c>
      <c r="B299" s="133"/>
      <c r="C299" s="94"/>
      <c r="D299" s="94"/>
      <c r="E299" s="94"/>
      <c r="F299" s="94"/>
      <c r="G299" s="94"/>
      <c r="H299" s="94"/>
      <c r="I299" s="94"/>
      <c r="J299" s="94"/>
      <c r="K299" s="94"/>
      <c r="L299" s="94"/>
      <c r="M299" s="94"/>
      <c r="N299" s="94"/>
      <c r="O299" s="93"/>
    </row>
    <row r="300" spans="1:15" x14ac:dyDescent="0.25">
      <c r="A300" s="266"/>
      <c r="B300" s="265"/>
      <c r="C300" s="265"/>
      <c r="D300" s="265"/>
      <c r="E300" s="265"/>
      <c r="F300" s="94"/>
      <c r="G300" s="94"/>
      <c r="H300" s="94"/>
      <c r="I300" s="94"/>
      <c r="J300" s="94"/>
      <c r="K300" s="94"/>
      <c r="L300" s="94"/>
      <c r="M300" s="94"/>
      <c r="N300" s="94"/>
      <c r="O300" s="93"/>
    </row>
    <row r="301" spans="1:15" x14ac:dyDescent="0.25">
      <c r="A301" s="264" t="s">
        <v>67</v>
      </c>
      <c r="B301" s="263" t="s">
        <v>112</v>
      </c>
      <c r="C301" s="263" t="s">
        <v>66</v>
      </c>
      <c r="D301" s="263" t="s">
        <v>65</v>
      </c>
      <c r="E301" s="263" t="s">
        <v>81</v>
      </c>
      <c r="F301" s="274" t="s">
        <v>80</v>
      </c>
      <c r="G301" s="274" t="s">
        <v>79</v>
      </c>
      <c r="H301" s="274" t="s">
        <v>78</v>
      </c>
      <c r="I301" s="274" t="s">
        <v>111</v>
      </c>
      <c r="J301" s="274" t="s">
        <v>110</v>
      </c>
      <c r="K301" s="274" t="s">
        <v>109</v>
      </c>
      <c r="L301" s="274" t="s">
        <v>108</v>
      </c>
      <c r="M301" s="274" t="s">
        <v>40</v>
      </c>
      <c r="N301" s="274" t="s">
        <v>58</v>
      </c>
      <c r="O301" s="93"/>
    </row>
    <row r="302" spans="1:15" s="214" customFormat="1" x14ac:dyDescent="0.25">
      <c r="A302" s="282">
        <v>10</v>
      </c>
      <c r="B302" s="354" t="s">
        <v>778</v>
      </c>
      <c r="C302" s="378" t="s">
        <v>1007</v>
      </c>
      <c r="D302" s="497">
        <v>2.25</v>
      </c>
      <c r="E302" s="282"/>
      <c r="F302" s="282"/>
      <c r="G302" s="282"/>
      <c r="H302" s="278"/>
      <c r="I302" s="281" t="s">
        <v>1010</v>
      </c>
      <c r="J302" s="519">
        <f>0.0424*0.0016</f>
        <v>6.7840000000000001E-5</v>
      </c>
      <c r="K302" s="278">
        <f>2*0.101</f>
        <v>0.20200000000000001</v>
      </c>
      <c r="L302" s="278">
        <v>7800</v>
      </c>
      <c r="M302" s="302">
        <v>1</v>
      </c>
      <c r="N302" s="276">
        <f>IF(J302="",D302*M302,D302*J302*K302*L302*M302)</f>
        <v>0.24049958400000002</v>
      </c>
      <c r="O302" s="498"/>
    </row>
    <row r="303" spans="1:15" x14ac:dyDescent="0.25">
      <c r="A303" s="282">
        <v>20</v>
      </c>
      <c r="B303" s="354" t="s">
        <v>778</v>
      </c>
      <c r="C303" s="378" t="s">
        <v>1007</v>
      </c>
      <c r="D303" s="497">
        <v>2.25</v>
      </c>
      <c r="E303" s="282"/>
      <c r="F303" s="282"/>
      <c r="G303" s="282"/>
      <c r="H303" s="278"/>
      <c r="I303" s="281" t="s">
        <v>1006</v>
      </c>
      <c r="J303" s="519">
        <f>0.05*0.0015</f>
        <v>7.5000000000000007E-5</v>
      </c>
      <c r="K303" s="518">
        <v>0.01</v>
      </c>
      <c r="L303" s="278">
        <v>7800</v>
      </c>
      <c r="M303" s="302">
        <v>1</v>
      </c>
      <c r="N303" s="276">
        <f>IF(J303="",D303*M303,D303*J303*K303*L303*M303)</f>
        <v>1.3162500000000001E-2</v>
      </c>
      <c r="O303" s="143"/>
    </row>
    <row r="304" spans="1:15" x14ac:dyDescent="0.25">
      <c r="A304" s="98"/>
      <c r="B304" s="95"/>
      <c r="C304" s="95"/>
      <c r="D304" s="95"/>
      <c r="E304" s="95"/>
      <c r="F304" s="95"/>
      <c r="G304" s="95"/>
      <c r="H304" s="95"/>
      <c r="I304" s="95"/>
      <c r="J304" s="95"/>
      <c r="K304" s="95"/>
      <c r="L304" s="95"/>
      <c r="M304" s="479" t="s">
        <v>58</v>
      </c>
      <c r="N304" s="255">
        <f>SUM(N302:N303)</f>
        <v>0.25366208400000001</v>
      </c>
      <c r="O304" s="93"/>
    </row>
    <row r="305" spans="1:15" x14ac:dyDescent="0.25">
      <c r="A305" s="107"/>
      <c r="B305" s="94"/>
      <c r="C305" s="94"/>
      <c r="D305" s="94"/>
      <c r="E305" s="94"/>
      <c r="F305" s="94"/>
      <c r="G305" s="94"/>
      <c r="H305" s="94"/>
      <c r="I305" s="94"/>
      <c r="J305" s="94"/>
      <c r="K305" s="94"/>
      <c r="L305" s="94"/>
      <c r="M305" s="94"/>
      <c r="N305" s="94"/>
      <c r="O305" s="93"/>
    </row>
    <row r="306" spans="1:15" x14ac:dyDescent="0.25">
      <c r="A306" s="481" t="s">
        <v>67</v>
      </c>
      <c r="B306" s="274" t="s">
        <v>106</v>
      </c>
      <c r="C306" s="274" t="s">
        <v>66</v>
      </c>
      <c r="D306" s="274" t="s">
        <v>65</v>
      </c>
      <c r="E306" s="274" t="s">
        <v>64</v>
      </c>
      <c r="F306" s="274" t="s">
        <v>40</v>
      </c>
      <c r="G306" s="274" t="s">
        <v>105</v>
      </c>
      <c r="H306" s="274" t="s">
        <v>104</v>
      </c>
      <c r="I306" s="274" t="s">
        <v>58</v>
      </c>
      <c r="J306" s="95"/>
      <c r="K306" s="95"/>
      <c r="L306" s="95"/>
      <c r="M306" s="95"/>
      <c r="N306" s="95"/>
      <c r="O306" s="93"/>
    </row>
    <row r="307" spans="1:15" x14ac:dyDescent="0.25">
      <c r="A307" s="282">
        <v>10</v>
      </c>
      <c r="B307" s="309" t="s">
        <v>463</v>
      </c>
      <c r="C307" s="282"/>
      <c r="D307" s="337">
        <v>0.15</v>
      </c>
      <c r="E307" s="282" t="s">
        <v>999</v>
      </c>
      <c r="F307" s="336">
        <f>5*4.2+2*5</f>
        <v>31</v>
      </c>
      <c r="G307" s="309"/>
      <c r="H307" s="308"/>
      <c r="I307" s="293">
        <f>IF(H307="",D307*F307,D307*F307*H307)</f>
        <v>4.6499999999999995</v>
      </c>
      <c r="J307" s="142"/>
      <c r="K307" s="142"/>
      <c r="L307" s="142"/>
      <c r="M307" s="142"/>
      <c r="N307" s="142"/>
      <c r="O307" s="120"/>
    </row>
    <row r="308" spans="1:15" ht="30" x14ac:dyDescent="0.25">
      <c r="A308" s="308">
        <v>20</v>
      </c>
      <c r="B308" s="309" t="s">
        <v>1004</v>
      </c>
      <c r="C308" s="308"/>
      <c r="D308" s="337">
        <v>0.75</v>
      </c>
      <c r="E308" s="309" t="s">
        <v>908</v>
      </c>
      <c r="F308" s="308">
        <v>9</v>
      </c>
      <c r="G308" s="308"/>
      <c r="H308" s="308"/>
      <c r="I308" s="293">
        <f>IF(H308="",D308*F308,D308*F308*H308)</f>
        <v>6.75</v>
      </c>
      <c r="J308" s="94"/>
      <c r="K308" s="94"/>
      <c r="L308" s="94"/>
      <c r="M308" s="94"/>
      <c r="N308" s="94"/>
      <c r="O308" s="93"/>
    </row>
    <row r="309" spans="1:15" x14ac:dyDescent="0.25">
      <c r="A309" s="308">
        <v>30</v>
      </c>
      <c r="B309" s="309" t="s">
        <v>907</v>
      </c>
      <c r="C309" s="308"/>
      <c r="D309" s="337">
        <v>0.38</v>
      </c>
      <c r="E309" s="309" t="s">
        <v>101</v>
      </c>
      <c r="F309" s="308">
        <v>25</v>
      </c>
      <c r="G309" s="308"/>
      <c r="H309" s="308"/>
      <c r="I309" s="276">
        <f>IF(H309="",D309*F309,D309*F309*H309)</f>
        <v>9.5</v>
      </c>
      <c r="J309" s="99"/>
      <c r="K309" s="99"/>
      <c r="L309" s="99"/>
      <c r="M309" s="99"/>
      <c r="N309" s="99"/>
      <c r="O309" s="130"/>
    </row>
    <row r="310" spans="1:15" x14ac:dyDescent="0.25">
      <c r="A310" s="98"/>
      <c r="B310" s="95"/>
      <c r="C310" s="95"/>
      <c r="D310" s="95"/>
      <c r="E310" s="95"/>
      <c r="F310" s="95"/>
      <c r="G310" s="95"/>
      <c r="H310" s="256" t="s">
        <v>58</v>
      </c>
      <c r="I310" s="255">
        <f>SUM(I307:I309)</f>
        <v>20.9</v>
      </c>
      <c r="J310" s="95"/>
      <c r="K310" s="95"/>
      <c r="L310" s="95"/>
      <c r="M310" s="95"/>
      <c r="N310" s="95"/>
      <c r="O310" s="93"/>
    </row>
    <row r="311" spans="1:15" x14ac:dyDescent="0.25">
      <c r="A311" s="360"/>
      <c r="B311" s="99"/>
      <c r="C311" s="99"/>
      <c r="D311" s="99"/>
      <c r="E311" s="99"/>
      <c r="F311" s="99"/>
      <c r="G311" s="99"/>
      <c r="H311" s="359"/>
      <c r="I311" s="358"/>
      <c r="J311" s="99"/>
      <c r="K311" s="94"/>
      <c r="L311" s="94"/>
      <c r="M311" s="94"/>
      <c r="N311" s="94"/>
      <c r="O311" s="93"/>
    </row>
    <row r="312" spans="1:15" x14ac:dyDescent="0.25">
      <c r="A312" s="481" t="s">
        <v>67</v>
      </c>
      <c r="B312" s="274" t="s">
        <v>13</v>
      </c>
      <c r="C312" s="274" t="s">
        <v>66</v>
      </c>
      <c r="D312" s="274" t="s">
        <v>65</v>
      </c>
      <c r="E312" s="274" t="s">
        <v>64</v>
      </c>
      <c r="F312" s="274" t="s">
        <v>40</v>
      </c>
      <c r="G312" s="274" t="s">
        <v>63</v>
      </c>
      <c r="H312" s="274" t="s">
        <v>741</v>
      </c>
      <c r="I312" s="274" t="s">
        <v>58</v>
      </c>
      <c r="J312" s="95"/>
      <c r="K312" s="94"/>
      <c r="L312" s="94"/>
      <c r="M312" s="94"/>
      <c r="N312" s="94"/>
      <c r="O312" s="93"/>
    </row>
    <row r="313" spans="1:15" x14ac:dyDescent="0.25">
      <c r="A313" s="282">
        <v>10</v>
      </c>
      <c r="B313" s="299" t="s">
        <v>61</v>
      </c>
      <c r="C313" s="282"/>
      <c r="D313" s="517">
        <v>500</v>
      </c>
      <c r="E313" s="282" t="s">
        <v>59</v>
      </c>
      <c r="F313" s="282">
        <v>40</v>
      </c>
      <c r="G313" s="282">
        <v>3000</v>
      </c>
      <c r="H313" s="282">
        <v>1</v>
      </c>
      <c r="I313" s="276">
        <f>D313*F313/G313*H313</f>
        <v>6.666666666666667</v>
      </c>
      <c r="J313" s="99"/>
      <c r="K313" s="99"/>
      <c r="L313" s="99"/>
      <c r="M313" s="99"/>
      <c r="N313" s="99"/>
      <c r="O313" s="130"/>
    </row>
    <row r="314" spans="1:15" x14ac:dyDescent="0.25">
      <c r="A314" s="98"/>
      <c r="B314" s="95"/>
      <c r="C314" s="95"/>
      <c r="D314" s="95"/>
      <c r="E314" s="95"/>
      <c r="F314" s="95"/>
      <c r="G314" s="95"/>
      <c r="H314" s="256" t="s">
        <v>58</v>
      </c>
      <c r="I314" s="255">
        <f>SUM(I313:I313)</f>
        <v>6.666666666666667</v>
      </c>
      <c r="J314" s="95"/>
      <c r="K314" s="94"/>
      <c r="L314" s="94"/>
      <c r="M314" s="94"/>
      <c r="N314" s="94"/>
      <c r="O314" s="93"/>
    </row>
    <row r="315" spans="1:15" ht="15.75" thickBot="1" x14ac:dyDescent="0.3">
      <c r="A315" s="92"/>
      <c r="B315" s="91"/>
      <c r="C315" s="91"/>
      <c r="D315" s="91"/>
      <c r="E315" s="91"/>
      <c r="F315" s="91"/>
      <c r="G315" s="91"/>
      <c r="H315" s="91"/>
      <c r="I315" s="91"/>
      <c r="J315" s="91"/>
      <c r="K315" s="91"/>
      <c r="L315" s="91"/>
      <c r="M315" s="91"/>
      <c r="N315" s="91"/>
      <c r="O315" s="90"/>
    </row>
    <row r="316" spans="1:15" ht="15.75" thickBot="1" x14ac:dyDescent="0.3"/>
    <row r="317" spans="1:15" x14ac:dyDescent="0.25">
      <c r="A317" s="141"/>
      <c r="B317" s="140"/>
      <c r="C317" s="140"/>
      <c r="D317" s="140"/>
      <c r="E317" s="140"/>
      <c r="F317" s="140"/>
      <c r="G317" s="140"/>
      <c r="H317" s="140"/>
      <c r="I317" s="140"/>
      <c r="J317" s="272"/>
      <c r="K317" s="140"/>
      <c r="L317" s="140"/>
      <c r="M317" s="140"/>
      <c r="N317" s="140"/>
      <c r="O317" s="139"/>
    </row>
    <row r="318" spans="1:15" x14ac:dyDescent="0.25">
      <c r="A318" s="267" t="s">
        <v>57</v>
      </c>
      <c r="B318" s="133" t="s">
        <v>523</v>
      </c>
      <c r="C318" s="94"/>
      <c r="D318" s="94"/>
      <c r="E318" s="94"/>
      <c r="F318" s="94"/>
      <c r="G318" s="94"/>
      <c r="H318" s="94"/>
      <c r="I318" s="94"/>
      <c r="J318" s="271" t="s">
        <v>51</v>
      </c>
      <c r="K318" s="138">
        <v>81</v>
      </c>
      <c r="L318" s="94"/>
      <c r="M318" s="267" t="s">
        <v>113</v>
      </c>
      <c r="N318" s="100">
        <f>EN_02007_m+EN_02007_p+EN_02007_t</f>
        <v>32.934789583333334</v>
      </c>
      <c r="O318" s="93"/>
    </row>
    <row r="319" spans="1:15" x14ac:dyDescent="0.25">
      <c r="A319" s="267" t="s">
        <v>125</v>
      </c>
      <c r="B319" s="133" t="s">
        <v>21</v>
      </c>
      <c r="C319" s="94"/>
      <c r="D319" s="267" t="s">
        <v>122</v>
      </c>
      <c r="E319" s="94"/>
      <c r="F319" s="94"/>
      <c r="G319" s="94"/>
      <c r="H319" s="94"/>
      <c r="I319" s="94"/>
      <c r="J319" s="94"/>
      <c r="K319" s="94"/>
      <c r="L319" s="94"/>
      <c r="M319" s="267" t="s">
        <v>124</v>
      </c>
      <c r="N319" s="136">
        <v>1</v>
      </c>
      <c r="O319" s="93"/>
    </row>
    <row r="320" spans="1:15" x14ac:dyDescent="0.25">
      <c r="A320" s="267" t="s">
        <v>123</v>
      </c>
      <c r="B320" s="270" t="str">
        <f>'EN Assemblies'!B56</f>
        <v>Exhaust system</v>
      </c>
      <c r="C320" s="94"/>
      <c r="D320" s="267" t="s">
        <v>119</v>
      </c>
      <c r="E320" s="94"/>
      <c r="F320" s="94"/>
      <c r="G320" s="94"/>
      <c r="H320" s="94"/>
      <c r="I320" s="94"/>
      <c r="J320" s="268" t="s">
        <v>122</v>
      </c>
      <c r="K320" s="94"/>
      <c r="L320" s="94"/>
      <c r="M320" s="94"/>
      <c r="N320" s="94"/>
      <c r="O320" s="93"/>
    </row>
    <row r="321" spans="1:15" x14ac:dyDescent="0.25">
      <c r="A321" s="267" t="s">
        <v>114</v>
      </c>
      <c r="B321" s="372" t="s">
        <v>1009</v>
      </c>
      <c r="C321" s="94"/>
      <c r="D321" s="267" t="s">
        <v>116</v>
      </c>
      <c r="E321" s="94"/>
      <c r="F321" s="94"/>
      <c r="G321" s="94"/>
      <c r="H321" s="94"/>
      <c r="I321" s="94"/>
      <c r="J321" s="268" t="s">
        <v>119</v>
      </c>
      <c r="K321" s="94"/>
      <c r="L321" s="94"/>
      <c r="M321" s="267" t="s">
        <v>118</v>
      </c>
      <c r="N321" s="100">
        <f>N319*N318</f>
        <v>32.934789583333334</v>
      </c>
      <c r="O321" s="93"/>
    </row>
    <row r="322" spans="1:15" x14ac:dyDescent="0.25">
      <c r="A322" s="267" t="s">
        <v>121</v>
      </c>
      <c r="B322" s="269" t="s">
        <v>1008</v>
      </c>
      <c r="C322" s="94"/>
      <c r="D322" s="94"/>
      <c r="E322" s="94"/>
      <c r="F322" s="94"/>
      <c r="G322" s="94"/>
      <c r="H322" s="94"/>
      <c r="I322" s="94"/>
      <c r="J322" s="268" t="s">
        <v>116</v>
      </c>
      <c r="K322" s="94"/>
      <c r="L322" s="94"/>
      <c r="M322" s="94"/>
      <c r="N322" s="94"/>
      <c r="O322" s="93"/>
    </row>
    <row r="323" spans="1:15" x14ac:dyDescent="0.25">
      <c r="A323" s="267" t="s">
        <v>117</v>
      </c>
      <c r="B323" s="133" t="s">
        <v>23</v>
      </c>
      <c r="C323" s="94"/>
      <c r="D323" s="94"/>
      <c r="E323" s="94"/>
      <c r="F323" s="94"/>
      <c r="G323" s="94"/>
      <c r="H323" s="94"/>
      <c r="I323" s="94"/>
      <c r="J323" s="94"/>
      <c r="K323" s="94"/>
      <c r="L323" s="94"/>
      <c r="M323" s="94"/>
      <c r="N323" s="94"/>
      <c r="O323" s="93"/>
    </row>
    <row r="324" spans="1:15" x14ac:dyDescent="0.25">
      <c r="A324" s="267" t="s">
        <v>115</v>
      </c>
      <c r="B324" s="133"/>
      <c r="C324" s="94"/>
      <c r="D324" s="94"/>
      <c r="E324" s="94"/>
      <c r="F324" s="94"/>
      <c r="G324" s="94"/>
      <c r="H324" s="94"/>
      <c r="I324" s="94"/>
      <c r="J324" s="94"/>
      <c r="K324" s="94"/>
      <c r="L324" s="94"/>
      <c r="M324" s="94"/>
      <c r="N324" s="94"/>
      <c r="O324" s="93"/>
    </row>
    <row r="325" spans="1:15" x14ac:dyDescent="0.25">
      <c r="A325" s="266"/>
      <c r="B325" s="265"/>
      <c r="C325" s="265"/>
      <c r="D325" s="265"/>
      <c r="E325" s="265"/>
      <c r="F325" s="94"/>
      <c r="G325" s="94"/>
      <c r="H325" s="94"/>
      <c r="I325" s="94"/>
      <c r="J325" s="94"/>
      <c r="K325" s="94"/>
      <c r="L325" s="94"/>
      <c r="M325" s="94"/>
      <c r="N325" s="94"/>
      <c r="O325" s="93"/>
    </row>
    <row r="326" spans="1:15" x14ac:dyDescent="0.25">
      <c r="A326" s="264" t="s">
        <v>67</v>
      </c>
      <c r="B326" s="263" t="s">
        <v>112</v>
      </c>
      <c r="C326" s="263" t="s">
        <v>66</v>
      </c>
      <c r="D326" s="263" t="s">
        <v>65</v>
      </c>
      <c r="E326" s="263" t="s">
        <v>81</v>
      </c>
      <c r="F326" s="274" t="s">
        <v>80</v>
      </c>
      <c r="G326" s="274" t="s">
        <v>79</v>
      </c>
      <c r="H326" s="274" t="s">
        <v>78</v>
      </c>
      <c r="I326" s="274" t="s">
        <v>111</v>
      </c>
      <c r="J326" s="274" t="s">
        <v>110</v>
      </c>
      <c r="K326" s="274" t="s">
        <v>109</v>
      </c>
      <c r="L326" s="274" t="s">
        <v>108</v>
      </c>
      <c r="M326" s="274" t="s">
        <v>40</v>
      </c>
      <c r="N326" s="274" t="s">
        <v>58</v>
      </c>
      <c r="O326" s="93"/>
    </row>
    <row r="327" spans="1:15" x14ac:dyDescent="0.25">
      <c r="A327" s="515">
        <v>10</v>
      </c>
      <c r="B327" s="298" t="s">
        <v>778</v>
      </c>
      <c r="C327" s="378" t="s">
        <v>1007</v>
      </c>
      <c r="D327" s="516">
        <v>2.25</v>
      </c>
      <c r="E327" s="515"/>
      <c r="F327" s="515"/>
      <c r="G327" s="515"/>
      <c r="H327" s="512"/>
      <c r="I327" s="514" t="s">
        <v>1006</v>
      </c>
      <c r="J327" s="513">
        <f>0.05*0.0015</f>
        <v>7.5000000000000007E-5</v>
      </c>
      <c r="K327" s="512">
        <v>0.30499999999999999</v>
      </c>
      <c r="L327" s="512">
        <v>7800</v>
      </c>
      <c r="M327" s="511">
        <v>1</v>
      </c>
      <c r="N327" s="276">
        <f>IF(J327="",D327*M327,D327*J327*K327*L327*M327)</f>
        <v>0.40145625000000001</v>
      </c>
      <c r="O327" s="143"/>
    </row>
    <row r="328" spans="1:15" x14ac:dyDescent="0.25">
      <c r="A328" s="98"/>
      <c r="B328" s="95"/>
      <c r="C328" s="95"/>
      <c r="D328" s="95"/>
      <c r="E328" s="95"/>
      <c r="F328" s="95"/>
      <c r="G328" s="95"/>
      <c r="H328" s="95"/>
      <c r="I328" s="95"/>
      <c r="J328" s="95"/>
      <c r="K328" s="95"/>
      <c r="L328" s="95"/>
      <c r="M328" s="479" t="s">
        <v>58</v>
      </c>
      <c r="N328" s="255">
        <f>SUM(N327:N327)</f>
        <v>0.40145625000000001</v>
      </c>
      <c r="O328" s="93"/>
    </row>
    <row r="329" spans="1:15" x14ac:dyDescent="0.25">
      <c r="A329" s="107"/>
      <c r="B329" s="94"/>
      <c r="C329" s="94"/>
      <c r="D329" s="94"/>
      <c r="E329" s="94"/>
      <c r="F329" s="94"/>
      <c r="G329" s="94"/>
      <c r="H329" s="94"/>
      <c r="I329" s="94"/>
      <c r="J329" s="94"/>
      <c r="K329" s="94"/>
      <c r="L329" s="94"/>
      <c r="M329" s="94"/>
      <c r="N329" s="94"/>
      <c r="O329" s="93"/>
    </row>
    <row r="330" spans="1:15" x14ac:dyDescent="0.25">
      <c r="A330" s="481" t="s">
        <v>67</v>
      </c>
      <c r="B330" s="274" t="s">
        <v>106</v>
      </c>
      <c r="C330" s="274" t="s">
        <v>66</v>
      </c>
      <c r="D330" s="274" t="s">
        <v>65</v>
      </c>
      <c r="E330" s="274" t="s">
        <v>64</v>
      </c>
      <c r="F330" s="274" t="s">
        <v>40</v>
      </c>
      <c r="G330" s="274" t="s">
        <v>105</v>
      </c>
      <c r="H330" s="274" t="s">
        <v>104</v>
      </c>
      <c r="I330" s="274" t="s">
        <v>58</v>
      </c>
      <c r="J330" s="95"/>
      <c r="K330" s="95"/>
      <c r="L330" s="95"/>
      <c r="M330" s="95"/>
      <c r="N330" s="95"/>
      <c r="O330" s="93"/>
    </row>
    <row r="331" spans="1:15" x14ac:dyDescent="0.25">
      <c r="A331" s="325">
        <v>10</v>
      </c>
      <c r="B331" s="326" t="s">
        <v>1005</v>
      </c>
      <c r="C331" s="325"/>
      <c r="D331" s="329">
        <v>0.75</v>
      </c>
      <c r="E331" s="326" t="s">
        <v>537</v>
      </c>
      <c r="F331" s="325">
        <v>2</v>
      </c>
      <c r="G331" s="325"/>
      <c r="H331" s="325"/>
      <c r="I331" s="293">
        <f>IF(H331="",D331*F331,D331*F331*H331)</f>
        <v>1.5</v>
      </c>
      <c r="J331" s="142"/>
      <c r="K331" s="142"/>
      <c r="L331" s="142"/>
      <c r="M331" s="142"/>
      <c r="N331" s="142"/>
      <c r="O331" s="120"/>
    </row>
    <row r="332" spans="1:15" x14ac:dyDescent="0.25">
      <c r="A332" s="328">
        <v>20</v>
      </c>
      <c r="B332" s="326" t="s">
        <v>463</v>
      </c>
      <c r="C332" s="328"/>
      <c r="D332" s="329">
        <v>0.15</v>
      </c>
      <c r="E332" s="328" t="s">
        <v>999</v>
      </c>
      <c r="F332" s="333">
        <f>5*4</f>
        <v>20</v>
      </c>
      <c r="G332" s="326"/>
      <c r="H332" s="325"/>
      <c r="I332" s="293">
        <f>IF(H332="",D332*F332,D332*F332*H332)</f>
        <v>3</v>
      </c>
      <c r="J332" s="94"/>
      <c r="K332" s="94"/>
      <c r="L332" s="94"/>
      <c r="M332" s="94"/>
      <c r="N332" s="94"/>
      <c r="O332" s="93"/>
    </row>
    <row r="333" spans="1:15" ht="30" x14ac:dyDescent="0.25">
      <c r="A333" s="325">
        <v>30</v>
      </c>
      <c r="B333" s="326" t="s">
        <v>1004</v>
      </c>
      <c r="C333" s="325"/>
      <c r="D333" s="329">
        <v>0.75</v>
      </c>
      <c r="E333" s="326" t="s">
        <v>908</v>
      </c>
      <c r="F333" s="325">
        <v>14</v>
      </c>
      <c r="G333" s="325"/>
      <c r="H333" s="325"/>
      <c r="I333" s="276">
        <f>IF(H333="",D333*F333,D333*F333*H333)</f>
        <v>10.5</v>
      </c>
      <c r="J333" s="99"/>
      <c r="K333" s="99"/>
      <c r="L333" s="99"/>
      <c r="M333" s="99"/>
      <c r="N333" s="99"/>
      <c r="O333" s="130"/>
    </row>
    <row r="334" spans="1:15" x14ac:dyDescent="0.25">
      <c r="A334" s="325">
        <v>40</v>
      </c>
      <c r="B334" s="326" t="s">
        <v>907</v>
      </c>
      <c r="C334" s="325"/>
      <c r="D334" s="329">
        <v>0.38</v>
      </c>
      <c r="E334" s="326" t="s">
        <v>101</v>
      </c>
      <c r="F334" s="325">
        <f>5*8</f>
        <v>40</v>
      </c>
      <c r="G334" s="325"/>
      <c r="H334" s="325"/>
      <c r="I334" s="276">
        <f>IF(H334="",D334*F334,D334*F334*H334)</f>
        <v>15.2</v>
      </c>
      <c r="J334" s="94"/>
      <c r="K334" s="94"/>
      <c r="L334" s="94"/>
      <c r="M334" s="94"/>
      <c r="N334" s="94"/>
      <c r="O334" s="93"/>
    </row>
    <row r="335" spans="1:15" x14ac:dyDescent="0.25">
      <c r="A335" s="98"/>
      <c r="B335" s="95"/>
      <c r="C335" s="95"/>
      <c r="D335" s="95"/>
      <c r="E335" s="95"/>
      <c r="F335" s="95"/>
      <c r="G335" s="95"/>
      <c r="H335" s="256" t="s">
        <v>58</v>
      </c>
      <c r="I335" s="255">
        <f>SUM(I331:I334)</f>
        <v>30.2</v>
      </c>
      <c r="J335" s="95"/>
      <c r="K335" s="95"/>
      <c r="L335" s="95"/>
      <c r="M335" s="95"/>
      <c r="N335" s="95"/>
      <c r="O335" s="93"/>
    </row>
    <row r="336" spans="1:15" x14ac:dyDescent="0.25">
      <c r="A336" s="360"/>
      <c r="B336" s="99"/>
      <c r="C336" s="99"/>
      <c r="D336" s="99"/>
      <c r="E336" s="99"/>
      <c r="F336" s="99"/>
      <c r="G336" s="99"/>
      <c r="H336" s="359"/>
      <c r="I336" s="358"/>
      <c r="J336" s="99"/>
      <c r="K336" s="94"/>
      <c r="L336" s="94"/>
      <c r="M336" s="94"/>
      <c r="N336" s="94"/>
      <c r="O336" s="93"/>
    </row>
    <row r="337" spans="1:15" x14ac:dyDescent="0.25">
      <c r="A337" s="481" t="s">
        <v>67</v>
      </c>
      <c r="B337" s="274" t="s">
        <v>13</v>
      </c>
      <c r="C337" s="274" t="s">
        <v>66</v>
      </c>
      <c r="D337" s="274" t="s">
        <v>65</v>
      </c>
      <c r="E337" s="274" t="s">
        <v>64</v>
      </c>
      <c r="F337" s="274" t="s">
        <v>40</v>
      </c>
      <c r="G337" s="274" t="s">
        <v>63</v>
      </c>
      <c r="H337" s="274" t="s">
        <v>741</v>
      </c>
      <c r="I337" s="274" t="s">
        <v>58</v>
      </c>
      <c r="J337" s="95"/>
      <c r="K337" s="94"/>
      <c r="L337" s="94"/>
      <c r="M337" s="94"/>
      <c r="N337" s="94"/>
      <c r="O337" s="93"/>
    </row>
    <row r="338" spans="1:15" x14ac:dyDescent="0.25">
      <c r="A338" s="509">
        <v>10</v>
      </c>
      <c r="B338" s="510" t="s">
        <v>61</v>
      </c>
      <c r="C338" s="509"/>
      <c r="D338" s="508">
        <v>500</v>
      </c>
      <c r="E338" s="282" t="s">
        <v>59</v>
      </c>
      <c r="F338" s="282">
        <v>14</v>
      </c>
      <c r="G338" s="282">
        <v>3000</v>
      </c>
      <c r="H338" s="282">
        <v>1</v>
      </c>
      <c r="I338" s="276">
        <f>D338*F338/G338*H338</f>
        <v>2.3333333333333335</v>
      </c>
      <c r="J338" s="99"/>
      <c r="K338" s="99"/>
      <c r="L338" s="99"/>
      <c r="M338" s="99"/>
      <c r="N338" s="99"/>
      <c r="O338" s="130"/>
    </row>
    <row r="339" spans="1:15" x14ac:dyDescent="0.25">
      <c r="A339" s="98"/>
      <c r="B339" s="95"/>
      <c r="C339" s="95"/>
      <c r="D339" s="95"/>
      <c r="E339" s="95"/>
      <c r="F339" s="95"/>
      <c r="G339" s="95"/>
      <c r="H339" s="256" t="s">
        <v>58</v>
      </c>
      <c r="I339" s="255">
        <f>SUM(I338:I338)</f>
        <v>2.3333333333333335</v>
      </c>
      <c r="J339" s="95"/>
      <c r="K339" s="94"/>
      <c r="L339" s="94"/>
      <c r="M339" s="94"/>
      <c r="N339" s="94"/>
      <c r="O339" s="93"/>
    </row>
    <row r="340" spans="1:15" ht="15.75" thickBot="1" x14ac:dyDescent="0.3">
      <c r="A340" s="92"/>
      <c r="B340" s="91"/>
      <c r="C340" s="91"/>
      <c r="D340" s="91"/>
      <c r="E340" s="91"/>
      <c r="F340" s="91"/>
      <c r="G340" s="91"/>
      <c r="H340" s="91"/>
      <c r="I340" s="91"/>
      <c r="J340" s="91"/>
      <c r="K340" s="91"/>
      <c r="L340" s="91"/>
      <c r="M340" s="91"/>
      <c r="N340" s="91"/>
      <c r="O340" s="90"/>
    </row>
    <row r="341" spans="1:15" ht="15.75" thickBot="1" x14ac:dyDescent="0.3">
      <c r="B341" s="91"/>
    </row>
    <row r="342" spans="1:15" x14ac:dyDescent="0.25">
      <c r="A342" s="141"/>
      <c r="B342" s="140"/>
      <c r="C342" s="140"/>
      <c r="D342" s="140"/>
      <c r="E342" s="140"/>
      <c r="F342" s="140"/>
      <c r="G342" s="140"/>
      <c r="H342" s="140"/>
      <c r="I342" s="140"/>
      <c r="J342" s="272"/>
      <c r="K342" s="140"/>
      <c r="L342" s="140"/>
      <c r="M342" s="140"/>
      <c r="N342" s="140"/>
      <c r="O342" s="139"/>
    </row>
    <row r="343" spans="1:15" x14ac:dyDescent="0.25">
      <c r="A343" s="267" t="s">
        <v>57</v>
      </c>
      <c r="B343" s="133" t="s">
        <v>523</v>
      </c>
      <c r="C343" s="94"/>
      <c r="D343" s="94"/>
      <c r="E343" s="94"/>
      <c r="F343" s="94"/>
      <c r="G343" s="94"/>
      <c r="H343" s="94"/>
      <c r="I343" s="94"/>
      <c r="J343" s="271" t="s">
        <v>51</v>
      </c>
      <c r="K343" s="138">
        <v>81</v>
      </c>
      <c r="L343" s="94"/>
      <c r="M343" s="267" t="s">
        <v>113</v>
      </c>
      <c r="N343" s="100">
        <f>EN_02008_m+EN_02008_p</f>
        <v>72.09</v>
      </c>
      <c r="O343" s="93"/>
    </row>
    <row r="344" spans="1:15" x14ac:dyDescent="0.25">
      <c r="A344" s="267" t="s">
        <v>125</v>
      </c>
      <c r="B344" s="133" t="s">
        <v>21</v>
      </c>
      <c r="C344" s="94"/>
      <c r="D344" s="267" t="s">
        <v>122</v>
      </c>
      <c r="E344" s="94"/>
      <c r="F344" s="94"/>
      <c r="G344" s="94"/>
      <c r="H344" s="94"/>
      <c r="I344" s="94"/>
      <c r="J344" s="94"/>
      <c r="K344" s="94"/>
      <c r="L344" s="94"/>
      <c r="M344" s="267" t="s">
        <v>124</v>
      </c>
      <c r="N344" s="136">
        <v>1</v>
      </c>
      <c r="O344" s="93"/>
    </row>
    <row r="345" spans="1:15" x14ac:dyDescent="0.25">
      <c r="A345" s="267" t="s">
        <v>123</v>
      </c>
      <c r="B345" s="270" t="str">
        <f>'EN Assemblies'!B56</f>
        <v>Exhaust system</v>
      </c>
      <c r="C345" s="94"/>
      <c r="D345" s="267" t="s">
        <v>119</v>
      </c>
      <c r="E345" s="94"/>
      <c r="F345" s="94"/>
      <c r="G345" s="94"/>
      <c r="H345" s="94"/>
      <c r="I345" s="94"/>
      <c r="J345" s="268" t="s">
        <v>122</v>
      </c>
      <c r="K345" s="94"/>
      <c r="L345" s="94"/>
      <c r="M345" s="94"/>
      <c r="N345" s="94"/>
      <c r="O345" s="93"/>
    </row>
    <row r="346" spans="1:15" x14ac:dyDescent="0.25">
      <c r="A346" s="267" t="s">
        <v>114</v>
      </c>
      <c r="B346" s="372" t="s">
        <v>466</v>
      </c>
      <c r="C346" s="94"/>
      <c r="D346" s="267" t="s">
        <v>116</v>
      </c>
      <c r="E346" s="94"/>
      <c r="F346" s="94"/>
      <c r="G346" s="94"/>
      <c r="H346" s="94"/>
      <c r="I346" s="94"/>
      <c r="J346" s="268" t="s">
        <v>119</v>
      </c>
      <c r="K346" s="94"/>
      <c r="L346" s="94"/>
      <c r="M346" s="267" t="s">
        <v>118</v>
      </c>
      <c r="N346" s="100">
        <f>N344*N343</f>
        <v>72.09</v>
      </c>
      <c r="O346" s="93"/>
    </row>
    <row r="347" spans="1:15" x14ac:dyDescent="0.25">
      <c r="A347" s="267" t="s">
        <v>121</v>
      </c>
      <c r="B347" s="269" t="s">
        <v>1003</v>
      </c>
      <c r="C347" s="94"/>
      <c r="D347" s="94"/>
      <c r="E347" s="94"/>
      <c r="F347" s="94"/>
      <c r="G347" s="94"/>
      <c r="H347" s="94"/>
      <c r="I347" s="94"/>
      <c r="J347" s="268" t="s">
        <v>116</v>
      </c>
      <c r="K347" s="94"/>
      <c r="L347" s="94"/>
      <c r="M347" s="94"/>
      <c r="N347" s="94"/>
      <c r="O347" s="93"/>
    </row>
    <row r="348" spans="1:15" x14ac:dyDescent="0.25">
      <c r="A348" s="267" t="s">
        <v>117</v>
      </c>
      <c r="B348" s="133" t="s">
        <v>23</v>
      </c>
      <c r="C348" s="94"/>
      <c r="D348" s="94"/>
      <c r="E348" s="94"/>
      <c r="F348" s="94"/>
      <c r="G348" s="94"/>
      <c r="H348" s="94"/>
      <c r="I348" s="94"/>
      <c r="J348" s="94"/>
      <c r="K348" s="94"/>
      <c r="L348" s="94"/>
      <c r="M348" s="94"/>
      <c r="N348" s="94"/>
      <c r="O348" s="93"/>
    </row>
    <row r="349" spans="1:15" x14ac:dyDescent="0.25">
      <c r="A349" s="267" t="s">
        <v>115</v>
      </c>
      <c r="B349" s="194" t="s">
        <v>1002</v>
      </c>
      <c r="C349" s="94"/>
      <c r="D349" s="94"/>
      <c r="E349" s="94"/>
      <c r="F349" s="94"/>
      <c r="G349" s="94"/>
      <c r="H349" s="94"/>
      <c r="I349" s="94"/>
      <c r="J349" s="94"/>
      <c r="K349" s="94"/>
      <c r="L349" s="94"/>
      <c r="M349" s="94"/>
      <c r="N349" s="94"/>
      <c r="O349" s="93"/>
    </row>
    <row r="350" spans="1:15" x14ac:dyDescent="0.25">
      <c r="A350" s="266"/>
      <c r="B350" s="265"/>
      <c r="C350" s="265"/>
      <c r="D350" s="265"/>
      <c r="E350" s="265"/>
      <c r="F350" s="94"/>
      <c r="G350" s="94"/>
      <c r="H350" s="94"/>
      <c r="I350" s="94"/>
      <c r="J350" s="94"/>
      <c r="K350" s="94"/>
      <c r="L350" s="94"/>
      <c r="M350" s="94"/>
      <c r="N350" s="94"/>
      <c r="O350" s="93"/>
    </row>
    <row r="351" spans="1:15" x14ac:dyDescent="0.25">
      <c r="A351" s="264" t="s">
        <v>67</v>
      </c>
      <c r="B351" s="263" t="s">
        <v>112</v>
      </c>
      <c r="C351" s="263" t="s">
        <v>66</v>
      </c>
      <c r="D351" s="263" t="s">
        <v>65</v>
      </c>
      <c r="E351" s="263" t="s">
        <v>81</v>
      </c>
      <c r="F351" s="274" t="s">
        <v>80</v>
      </c>
      <c r="G351" s="274" t="s">
        <v>79</v>
      </c>
      <c r="H351" s="274" t="s">
        <v>78</v>
      </c>
      <c r="I351" s="274" t="s">
        <v>111</v>
      </c>
      <c r="J351" s="274" t="s">
        <v>110</v>
      </c>
      <c r="K351" s="274" t="s">
        <v>109</v>
      </c>
      <c r="L351" s="274" t="s">
        <v>108</v>
      </c>
      <c r="M351" s="274" t="s">
        <v>40</v>
      </c>
      <c r="N351" s="274" t="s">
        <v>58</v>
      </c>
      <c r="O351" s="93"/>
    </row>
    <row r="352" spans="1:15" s="214" customFormat="1" x14ac:dyDescent="0.25">
      <c r="A352" s="504">
        <v>10</v>
      </c>
      <c r="B352" s="507" t="s">
        <v>778</v>
      </c>
      <c r="C352" s="506"/>
      <c r="D352" s="505">
        <v>2.25</v>
      </c>
      <c r="E352" s="504">
        <v>0.4</v>
      </c>
      <c r="F352" s="504" t="s">
        <v>345</v>
      </c>
      <c r="G352" s="504">
        <v>0.5</v>
      </c>
      <c r="H352" s="500" t="s">
        <v>345</v>
      </c>
      <c r="I352" s="503" t="s">
        <v>1001</v>
      </c>
      <c r="J352" s="502">
        <f>0.4*0.5</f>
        <v>0.2</v>
      </c>
      <c r="K352" s="501">
        <v>2E-3</v>
      </c>
      <c r="L352" s="500">
        <v>7800</v>
      </c>
      <c r="M352" s="499">
        <v>1</v>
      </c>
      <c r="N352" s="276">
        <f>IF(J352="",D352*M352,D352*J352*K352*L352*M352)</f>
        <v>7.0200000000000005</v>
      </c>
      <c r="O352" s="498"/>
    </row>
    <row r="353" spans="1:15" x14ac:dyDescent="0.25">
      <c r="A353" s="282">
        <v>20</v>
      </c>
      <c r="B353" s="338" t="s">
        <v>1000</v>
      </c>
      <c r="C353" s="378"/>
      <c r="D353" s="497">
        <v>200</v>
      </c>
      <c r="E353" s="282">
        <v>0.1</v>
      </c>
      <c r="F353" s="282" t="s">
        <v>794</v>
      </c>
      <c r="G353" s="282"/>
      <c r="H353" s="278"/>
      <c r="I353" s="281"/>
      <c r="J353" s="496"/>
      <c r="K353" s="278"/>
      <c r="L353" s="278"/>
      <c r="M353" s="302">
        <v>0.1</v>
      </c>
      <c r="N353" s="276">
        <f>IF(J353="",D353*M353,D353*J353*K353*L353*M353)</f>
        <v>20</v>
      </c>
      <c r="O353" s="143"/>
    </row>
    <row r="354" spans="1:15" x14ac:dyDescent="0.25">
      <c r="A354" s="98"/>
      <c r="B354" s="95"/>
      <c r="C354" s="95"/>
      <c r="D354" s="95"/>
      <c r="E354" s="95"/>
      <c r="F354" s="95"/>
      <c r="G354" s="95"/>
      <c r="H354" s="95"/>
      <c r="I354" s="95"/>
      <c r="J354" s="95"/>
      <c r="K354" s="95"/>
      <c r="L354" s="95"/>
      <c r="M354" s="479" t="s">
        <v>58</v>
      </c>
      <c r="N354" s="255">
        <f>SUM(N352:N353)</f>
        <v>27.02</v>
      </c>
      <c r="O354" s="93"/>
    </row>
    <row r="355" spans="1:15" x14ac:dyDescent="0.25">
      <c r="A355" s="107"/>
      <c r="B355" s="94"/>
      <c r="C355" s="94"/>
      <c r="D355" s="94"/>
      <c r="E355" s="94"/>
      <c r="F355" s="94"/>
      <c r="G355" s="94"/>
      <c r="H355" s="94"/>
      <c r="I355" s="94"/>
      <c r="J355" s="94"/>
      <c r="K355" s="94"/>
      <c r="L355" s="94"/>
      <c r="M355" s="94"/>
      <c r="N355" s="94"/>
      <c r="O355" s="93"/>
    </row>
    <row r="356" spans="1:15" x14ac:dyDescent="0.25">
      <c r="A356" s="481" t="s">
        <v>67</v>
      </c>
      <c r="B356" s="274" t="s">
        <v>106</v>
      </c>
      <c r="C356" s="274" t="s">
        <v>66</v>
      </c>
      <c r="D356" s="274" t="s">
        <v>65</v>
      </c>
      <c r="E356" s="274" t="s">
        <v>64</v>
      </c>
      <c r="F356" s="274" t="s">
        <v>40</v>
      </c>
      <c r="G356" s="274" t="s">
        <v>105</v>
      </c>
      <c r="H356" s="274" t="s">
        <v>104</v>
      </c>
      <c r="I356" s="274" t="s">
        <v>58</v>
      </c>
      <c r="J356" s="95"/>
      <c r="K356" s="95"/>
      <c r="L356" s="95"/>
      <c r="M356" s="95"/>
      <c r="N356" s="95"/>
      <c r="O356" s="93"/>
    </row>
    <row r="357" spans="1:15" x14ac:dyDescent="0.25">
      <c r="A357" s="325">
        <v>10</v>
      </c>
      <c r="B357" s="326" t="s">
        <v>539</v>
      </c>
      <c r="C357" s="325"/>
      <c r="D357" s="329">
        <v>0.25</v>
      </c>
      <c r="E357" s="326" t="s">
        <v>537</v>
      </c>
      <c r="F357" s="325">
        <v>2</v>
      </c>
      <c r="G357" s="325"/>
      <c r="H357" s="325"/>
      <c r="I357" s="495">
        <f t="shared" ref="I357:I365" si="1">IF(H357="",D357*F357,D357*F357*H357)</f>
        <v>0.5</v>
      </c>
      <c r="J357" s="142"/>
      <c r="K357" s="142"/>
      <c r="L357" s="142"/>
      <c r="M357" s="142"/>
      <c r="N357" s="142"/>
      <c r="O357" s="120"/>
    </row>
    <row r="358" spans="1:15" x14ac:dyDescent="0.25">
      <c r="A358" s="328">
        <v>20</v>
      </c>
      <c r="B358" s="326" t="s">
        <v>539</v>
      </c>
      <c r="C358" s="328"/>
      <c r="D358" s="329">
        <v>0.25</v>
      </c>
      <c r="E358" s="328" t="s">
        <v>999</v>
      </c>
      <c r="F358" s="333">
        <v>2</v>
      </c>
      <c r="G358" s="326"/>
      <c r="H358" s="325"/>
      <c r="I358" s="495">
        <f t="shared" si="1"/>
        <v>0.5</v>
      </c>
      <c r="J358" s="94"/>
      <c r="K358" s="94"/>
      <c r="L358" s="94"/>
      <c r="M358" s="94"/>
      <c r="N358" s="94"/>
      <c r="O358" s="93"/>
    </row>
    <row r="359" spans="1:15" x14ac:dyDescent="0.25">
      <c r="A359" s="325">
        <v>30</v>
      </c>
      <c r="B359" s="326" t="s">
        <v>998</v>
      </c>
      <c r="C359" s="325"/>
      <c r="D359" s="329">
        <v>0.03</v>
      </c>
      <c r="E359" s="326" t="s">
        <v>908</v>
      </c>
      <c r="F359" s="325">
        <v>700</v>
      </c>
      <c r="G359" s="325"/>
      <c r="H359" s="325"/>
      <c r="I359" s="495">
        <f t="shared" si="1"/>
        <v>21</v>
      </c>
      <c r="J359" s="94"/>
      <c r="K359" s="94"/>
      <c r="L359" s="94"/>
      <c r="M359" s="94"/>
      <c r="N359" s="94"/>
      <c r="O359" s="93"/>
    </row>
    <row r="360" spans="1:15" x14ac:dyDescent="0.25">
      <c r="A360" s="325">
        <v>40</v>
      </c>
      <c r="B360" s="326" t="s">
        <v>714</v>
      </c>
      <c r="C360" s="325"/>
      <c r="D360" s="329">
        <v>0.03</v>
      </c>
      <c r="E360" s="326" t="s">
        <v>101</v>
      </c>
      <c r="F360" s="325">
        <v>200</v>
      </c>
      <c r="G360" s="325"/>
      <c r="H360" s="325"/>
      <c r="I360" s="495">
        <f t="shared" si="1"/>
        <v>6</v>
      </c>
      <c r="J360" s="94"/>
      <c r="K360" s="94"/>
      <c r="L360" s="94"/>
      <c r="M360" s="94"/>
      <c r="N360" s="94"/>
      <c r="O360" s="93"/>
    </row>
    <row r="361" spans="1:15" x14ac:dyDescent="0.25">
      <c r="A361" s="328">
        <v>50</v>
      </c>
      <c r="B361" s="326" t="s">
        <v>997</v>
      </c>
      <c r="C361" s="325"/>
      <c r="D361" s="329">
        <v>0.13</v>
      </c>
      <c r="E361" s="326" t="s">
        <v>64</v>
      </c>
      <c r="F361" s="328">
        <v>4</v>
      </c>
      <c r="G361" s="325"/>
      <c r="H361" s="325"/>
      <c r="I361" s="495">
        <f t="shared" si="1"/>
        <v>0.52</v>
      </c>
      <c r="J361" s="99"/>
      <c r="K361" s="99"/>
      <c r="L361" s="99"/>
      <c r="M361" s="99"/>
      <c r="N361" s="99"/>
      <c r="O361" s="130"/>
    </row>
    <row r="362" spans="1:15" x14ac:dyDescent="0.25">
      <c r="A362" s="328">
        <v>60</v>
      </c>
      <c r="B362" s="326" t="s">
        <v>792</v>
      </c>
      <c r="C362" s="331" t="s">
        <v>996</v>
      </c>
      <c r="D362" s="329">
        <v>0.06</v>
      </c>
      <c r="E362" s="326" t="s">
        <v>101</v>
      </c>
      <c r="F362" s="328">
        <v>180</v>
      </c>
      <c r="G362" s="325"/>
      <c r="H362" s="325"/>
      <c r="I362" s="495">
        <f t="shared" si="1"/>
        <v>10.799999999999999</v>
      </c>
      <c r="J362" s="99"/>
      <c r="K362" s="99"/>
      <c r="L362" s="99"/>
      <c r="M362" s="99"/>
      <c r="N362" s="99"/>
      <c r="O362" s="130"/>
    </row>
    <row r="363" spans="1:15" x14ac:dyDescent="0.25">
      <c r="A363" s="328">
        <v>70</v>
      </c>
      <c r="B363" s="326" t="s">
        <v>790</v>
      </c>
      <c r="C363" s="325"/>
      <c r="D363" s="329">
        <v>35</v>
      </c>
      <c r="E363" s="326" t="s">
        <v>299</v>
      </c>
      <c r="F363" s="325">
        <f>0.4*0.3</f>
        <v>0.12</v>
      </c>
      <c r="G363" s="325"/>
      <c r="H363" s="325"/>
      <c r="I363" s="495">
        <f t="shared" si="1"/>
        <v>4.2</v>
      </c>
      <c r="J363" s="94"/>
      <c r="K363" s="94"/>
      <c r="L363" s="94"/>
      <c r="M363" s="94"/>
      <c r="N363" s="94"/>
      <c r="O363" s="93"/>
    </row>
    <row r="364" spans="1:15" x14ac:dyDescent="0.25">
      <c r="A364" s="328">
        <v>80</v>
      </c>
      <c r="B364" s="326" t="s">
        <v>785</v>
      </c>
      <c r="C364" s="325"/>
      <c r="D364" s="329">
        <v>10</v>
      </c>
      <c r="E364" s="326" t="s">
        <v>299</v>
      </c>
      <c r="F364" s="328">
        <v>0.12</v>
      </c>
      <c r="G364" s="325"/>
      <c r="H364" s="325"/>
      <c r="I364" s="495">
        <f t="shared" si="1"/>
        <v>1.2</v>
      </c>
      <c r="J364" s="94"/>
      <c r="K364" s="94"/>
      <c r="L364" s="94"/>
      <c r="M364" s="94"/>
      <c r="N364" s="94"/>
      <c r="O364" s="93"/>
    </row>
    <row r="365" spans="1:15" x14ac:dyDescent="0.25">
      <c r="A365" s="328">
        <v>90</v>
      </c>
      <c r="B365" s="309" t="s">
        <v>296</v>
      </c>
      <c r="C365" s="331" t="s">
        <v>995</v>
      </c>
      <c r="D365" s="329">
        <v>0.35</v>
      </c>
      <c r="E365" s="326" t="s">
        <v>294</v>
      </c>
      <c r="F365" s="328">
        <v>1</v>
      </c>
      <c r="G365" s="325"/>
      <c r="H365" s="325"/>
      <c r="I365" s="495">
        <f t="shared" si="1"/>
        <v>0.35</v>
      </c>
      <c r="J365" s="94"/>
      <c r="K365" s="94"/>
      <c r="L365" s="94"/>
      <c r="M365" s="94"/>
      <c r="N365" s="94"/>
      <c r="O365" s="93"/>
    </row>
    <row r="366" spans="1:15" x14ac:dyDescent="0.25">
      <c r="A366" s="98"/>
      <c r="B366" s="95"/>
      <c r="C366" s="95"/>
      <c r="D366" s="95"/>
      <c r="E366" s="95"/>
      <c r="F366" s="95"/>
      <c r="G366" s="95"/>
      <c r="H366" s="256" t="s">
        <v>58</v>
      </c>
      <c r="I366" s="255">
        <f>SUM(I357:I365)</f>
        <v>45.070000000000007</v>
      </c>
      <c r="J366" s="95"/>
      <c r="K366" s="95"/>
      <c r="L366" s="95"/>
      <c r="M366" s="95"/>
      <c r="N366" s="95"/>
      <c r="O366" s="93"/>
    </row>
    <row r="367" spans="1:15" x14ac:dyDescent="0.25">
      <c r="A367" s="107"/>
      <c r="B367" s="94"/>
      <c r="C367" s="94"/>
      <c r="D367" s="94"/>
      <c r="E367" s="94"/>
      <c r="F367" s="94"/>
      <c r="G367" s="94"/>
      <c r="H367" s="94"/>
      <c r="I367" s="99"/>
      <c r="J367" s="94"/>
      <c r="K367" s="94"/>
      <c r="L367" s="94"/>
      <c r="M367" s="94"/>
      <c r="N367" s="94"/>
      <c r="O367" s="93"/>
    </row>
    <row r="368" spans="1:15" ht="15.75" thickBot="1" x14ac:dyDescent="0.3">
      <c r="A368" s="92"/>
      <c r="B368" s="91"/>
      <c r="C368" s="91"/>
      <c r="D368" s="91"/>
      <c r="E368" s="91"/>
      <c r="F368" s="91"/>
      <c r="G368" s="91"/>
      <c r="H368" s="91"/>
      <c r="I368" s="91"/>
      <c r="J368" s="91"/>
      <c r="K368" s="91"/>
      <c r="L368" s="91"/>
      <c r="M368" s="91"/>
      <c r="N368" s="91"/>
      <c r="O368" s="90"/>
    </row>
    <row r="369" spans="1:15" ht="15.75" thickBot="1" x14ac:dyDescent="0.3"/>
    <row r="370" spans="1:15" x14ac:dyDescent="0.25">
      <c r="A370" s="141"/>
      <c r="B370" s="140"/>
      <c r="C370" s="140"/>
      <c r="D370" s="140"/>
      <c r="E370" s="140"/>
      <c r="F370" s="140"/>
      <c r="G370" s="140"/>
      <c r="H370" s="140"/>
      <c r="I370" s="140"/>
      <c r="J370" s="272"/>
      <c r="K370" s="140"/>
      <c r="L370" s="140"/>
      <c r="M370" s="140"/>
      <c r="N370" s="140"/>
      <c r="O370" s="139"/>
    </row>
    <row r="371" spans="1:15" x14ac:dyDescent="0.25">
      <c r="A371" s="267" t="s">
        <v>57</v>
      </c>
      <c r="B371" s="133" t="s">
        <v>523</v>
      </c>
      <c r="C371" s="94"/>
      <c r="D371" s="94"/>
      <c r="E371" s="94"/>
      <c r="F371" s="94"/>
      <c r="G371" s="94"/>
      <c r="H371" s="94"/>
      <c r="I371" s="94"/>
      <c r="J371" s="271" t="s">
        <v>51</v>
      </c>
      <c r="K371" s="138">
        <v>81</v>
      </c>
      <c r="L371" s="94"/>
      <c r="M371" s="267" t="s">
        <v>113</v>
      </c>
      <c r="N371" s="100">
        <f>EN_03001_m+EN_03001_p+EN_03001_t</f>
        <v>79.966659396000011</v>
      </c>
      <c r="O371" s="93"/>
    </row>
    <row r="372" spans="1:15" x14ac:dyDescent="0.25">
      <c r="A372" s="267" t="s">
        <v>125</v>
      </c>
      <c r="B372" s="133" t="s">
        <v>21</v>
      </c>
      <c r="C372" s="94"/>
      <c r="D372" s="267" t="s">
        <v>122</v>
      </c>
      <c r="E372" s="270" t="s">
        <v>994</v>
      </c>
      <c r="F372" s="94"/>
      <c r="G372" s="94"/>
      <c r="H372" s="94"/>
      <c r="I372" s="94"/>
      <c r="J372" s="94"/>
      <c r="K372" s="94"/>
      <c r="L372" s="94"/>
      <c r="M372" s="267" t="s">
        <v>124</v>
      </c>
      <c r="N372" s="136">
        <v>1</v>
      </c>
      <c r="O372" s="93"/>
    </row>
    <row r="373" spans="1:15" x14ac:dyDescent="0.25">
      <c r="A373" s="267" t="s">
        <v>123</v>
      </c>
      <c r="B373" s="270" t="str">
        <f>'EN Assemblies'!B112</f>
        <v>Fuel Tank assembly</v>
      </c>
      <c r="C373" s="94"/>
      <c r="D373" s="267" t="s">
        <v>119</v>
      </c>
      <c r="E373" s="270" t="s">
        <v>993</v>
      </c>
      <c r="F373" s="94"/>
      <c r="G373" s="94"/>
      <c r="H373" s="94"/>
      <c r="I373" s="94"/>
      <c r="J373" s="268" t="s">
        <v>122</v>
      </c>
      <c r="K373" s="94"/>
      <c r="L373" s="94"/>
      <c r="M373" s="94"/>
      <c r="N373" s="94"/>
      <c r="O373" s="93"/>
    </row>
    <row r="374" spans="1:15" x14ac:dyDescent="0.25">
      <c r="A374" s="267" t="s">
        <v>114</v>
      </c>
      <c r="B374" s="135" t="s">
        <v>992</v>
      </c>
      <c r="C374" s="94"/>
      <c r="D374" s="267" t="s">
        <v>116</v>
      </c>
      <c r="E374" s="270" t="s">
        <v>991</v>
      </c>
      <c r="F374" s="94"/>
      <c r="G374" s="94"/>
      <c r="H374" s="94"/>
      <c r="I374" s="94"/>
      <c r="J374" s="268" t="s">
        <v>119</v>
      </c>
      <c r="K374" s="94"/>
      <c r="L374" s="94"/>
      <c r="M374" s="267" t="s">
        <v>118</v>
      </c>
      <c r="N374" s="100">
        <f>N372*N371</f>
        <v>79.966659396000011</v>
      </c>
      <c r="O374" s="93"/>
    </row>
    <row r="375" spans="1:15" x14ac:dyDescent="0.25">
      <c r="A375" s="267" t="s">
        <v>121</v>
      </c>
      <c r="B375" s="269" t="s">
        <v>990</v>
      </c>
      <c r="C375" s="94"/>
      <c r="D375" s="267" t="s">
        <v>989</v>
      </c>
      <c r="E375" s="270" t="s">
        <v>988</v>
      </c>
      <c r="F375" s="94"/>
      <c r="G375" s="94"/>
      <c r="H375" s="94"/>
      <c r="I375" s="94"/>
      <c r="J375" s="268" t="s">
        <v>116</v>
      </c>
      <c r="K375" s="94"/>
      <c r="L375" s="94"/>
      <c r="M375" s="94"/>
      <c r="N375" s="94"/>
      <c r="O375" s="93"/>
    </row>
    <row r="376" spans="1:15" x14ac:dyDescent="0.25">
      <c r="A376" s="267" t="s">
        <v>117</v>
      </c>
      <c r="B376" s="133" t="s">
        <v>23</v>
      </c>
      <c r="C376" s="94"/>
      <c r="D376" s="94"/>
      <c r="E376" s="94"/>
      <c r="F376" s="94"/>
      <c r="G376" s="94"/>
      <c r="H376" s="94"/>
      <c r="I376" s="94"/>
      <c r="J376" s="94"/>
      <c r="K376" s="94"/>
      <c r="L376" s="94"/>
      <c r="M376" s="94"/>
      <c r="N376" s="94"/>
      <c r="O376" s="93"/>
    </row>
    <row r="377" spans="1:15" x14ac:dyDescent="0.25">
      <c r="A377" s="267" t="s">
        <v>115</v>
      </c>
      <c r="B377" s="133" t="s">
        <v>987</v>
      </c>
      <c r="C377" s="94"/>
      <c r="D377" s="94"/>
      <c r="E377" s="94"/>
      <c r="F377" s="94"/>
      <c r="G377" s="94"/>
      <c r="H377" s="94"/>
      <c r="I377" s="94"/>
      <c r="J377" s="94"/>
      <c r="K377" s="94"/>
      <c r="L377" s="94"/>
      <c r="M377" s="94"/>
      <c r="N377" s="94"/>
      <c r="O377" s="93"/>
    </row>
    <row r="378" spans="1:15" x14ac:dyDescent="0.25">
      <c r="A378" s="266"/>
      <c r="B378" s="265"/>
      <c r="C378" s="265"/>
      <c r="D378" s="265"/>
      <c r="E378" s="265"/>
      <c r="F378" s="94"/>
      <c r="G378" s="94"/>
      <c r="H378" s="94"/>
      <c r="I378" s="94"/>
      <c r="J378" s="94"/>
      <c r="K378" s="94"/>
      <c r="L378" s="94"/>
      <c r="M378" s="94"/>
      <c r="N378" s="94"/>
      <c r="O378" s="93"/>
    </row>
    <row r="379" spans="1:15" x14ac:dyDescent="0.25">
      <c r="A379" s="264" t="s">
        <v>67</v>
      </c>
      <c r="B379" s="263" t="s">
        <v>112</v>
      </c>
      <c r="C379" s="263" t="s">
        <v>66</v>
      </c>
      <c r="D379" s="263" t="s">
        <v>65</v>
      </c>
      <c r="E379" s="263" t="s">
        <v>81</v>
      </c>
      <c r="F379" s="274" t="s">
        <v>80</v>
      </c>
      <c r="G379" s="274" t="s">
        <v>79</v>
      </c>
      <c r="H379" s="274" t="s">
        <v>78</v>
      </c>
      <c r="I379" s="274" t="s">
        <v>111</v>
      </c>
      <c r="J379" s="274" t="s">
        <v>110</v>
      </c>
      <c r="K379" s="274" t="s">
        <v>109</v>
      </c>
      <c r="L379" s="274" t="s">
        <v>108</v>
      </c>
      <c r="M379" s="274" t="s">
        <v>40</v>
      </c>
      <c r="N379" s="274" t="s">
        <v>58</v>
      </c>
      <c r="O379" s="93"/>
    </row>
    <row r="380" spans="1:15" ht="30" x14ac:dyDescent="0.25">
      <c r="A380" s="315">
        <v>10</v>
      </c>
      <c r="B380" s="370" t="s">
        <v>852</v>
      </c>
      <c r="C380" s="315" t="s">
        <v>986</v>
      </c>
      <c r="D380" s="324">
        <v>4.2</v>
      </c>
      <c r="E380" s="315">
        <v>460</v>
      </c>
      <c r="F380" s="315" t="s">
        <v>68</v>
      </c>
      <c r="G380" s="315">
        <v>2.5</v>
      </c>
      <c r="H380" s="314" t="s">
        <v>68</v>
      </c>
      <c r="I380" s="281" t="s">
        <v>985</v>
      </c>
      <c r="J380" s="379">
        <v>1.15E-3</v>
      </c>
      <c r="K380" s="320">
        <v>1.1000000000000001</v>
      </c>
      <c r="L380" s="319">
        <v>2710</v>
      </c>
      <c r="M380" s="369">
        <v>1</v>
      </c>
      <c r="N380" s="276">
        <f t="shared" ref="N380:N386" si="2">IF(J380="",D380*M380,D380*J380*K380*L380*M380)</f>
        <v>14.398230000000002</v>
      </c>
      <c r="O380" s="143"/>
    </row>
    <row r="381" spans="1:15" ht="30" x14ac:dyDescent="0.25">
      <c r="A381" s="315">
        <v>20</v>
      </c>
      <c r="B381" s="370" t="s">
        <v>852</v>
      </c>
      <c r="C381" s="315" t="s">
        <v>984</v>
      </c>
      <c r="D381" s="324">
        <v>4.2</v>
      </c>
      <c r="E381" s="315">
        <v>45</v>
      </c>
      <c r="F381" s="315" t="s">
        <v>68</v>
      </c>
      <c r="G381" s="315">
        <v>2</v>
      </c>
      <c r="H381" s="314" t="s">
        <v>68</v>
      </c>
      <c r="I381" s="281" t="s">
        <v>983</v>
      </c>
      <c r="J381" s="379">
        <v>2.7020000000000001E-4</v>
      </c>
      <c r="K381" s="320">
        <v>0.14000000000000001</v>
      </c>
      <c r="L381" s="319">
        <v>2710</v>
      </c>
      <c r="M381" s="369">
        <v>1</v>
      </c>
      <c r="N381" s="276">
        <f t="shared" si="2"/>
        <v>0.43055829600000006</v>
      </c>
      <c r="O381" s="143"/>
    </row>
    <row r="382" spans="1:15" ht="30" x14ac:dyDescent="0.25">
      <c r="A382" s="315">
        <v>30</v>
      </c>
      <c r="B382" s="370" t="s">
        <v>852</v>
      </c>
      <c r="C382" s="315" t="s">
        <v>982</v>
      </c>
      <c r="D382" s="324">
        <v>4.2</v>
      </c>
      <c r="E382" s="315">
        <v>165</v>
      </c>
      <c r="F382" s="315" t="s">
        <v>68</v>
      </c>
      <c r="G382" s="315">
        <v>2</v>
      </c>
      <c r="H382" s="314" t="s">
        <v>68</v>
      </c>
      <c r="I382" s="281" t="s">
        <v>981</v>
      </c>
      <c r="J382" s="379">
        <v>3.3E-4</v>
      </c>
      <c r="K382" s="320">
        <v>0.185</v>
      </c>
      <c r="L382" s="319">
        <v>2710</v>
      </c>
      <c r="M382" s="369">
        <v>1</v>
      </c>
      <c r="N382" s="276">
        <f t="shared" si="2"/>
        <v>0.69487109999999996</v>
      </c>
      <c r="O382" s="143"/>
    </row>
    <row r="383" spans="1:15" ht="30" x14ac:dyDescent="0.25">
      <c r="A383" s="315">
        <v>40</v>
      </c>
      <c r="B383" s="354" t="s">
        <v>980</v>
      </c>
      <c r="C383" s="315" t="s">
        <v>979</v>
      </c>
      <c r="D383" s="324">
        <v>1.85</v>
      </c>
      <c r="E383" s="315">
        <v>8</v>
      </c>
      <c r="F383" s="315" t="s">
        <v>68</v>
      </c>
      <c r="G383" s="315"/>
      <c r="H383" s="314"/>
      <c r="I383" s="281"/>
      <c r="J383" s="356"/>
      <c r="K383" s="320"/>
      <c r="L383" s="319"/>
      <c r="M383" s="369">
        <v>3</v>
      </c>
      <c r="N383" s="276">
        <f t="shared" si="2"/>
        <v>5.5500000000000007</v>
      </c>
      <c r="O383" s="143"/>
    </row>
    <row r="384" spans="1:15" x14ac:dyDescent="0.25">
      <c r="A384" s="315">
        <v>50</v>
      </c>
      <c r="B384" s="370" t="s">
        <v>383</v>
      </c>
      <c r="C384" s="315" t="s">
        <v>978</v>
      </c>
      <c r="D384" s="324">
        <v>0</v>
      </c>
      <c r="E384" s="315"/>
      <c r="F384" s="315"/>
      <c r="G384" s="315"/>
      <c r="H384" s="314"/>
      <c r="I384" s="281"/>
      <c r="J384" s="356"/>
      <c r="K384" s="320"/>
      <c r="L384" s="319"/>
      <c r="M384" s="369">
        <v>1</v>
      </c>
      <c r="N384" s="276">
        <f t="shared" si="2"/>
        <v>0</v>
      </c>
      <c r="O384" s="143"/>
    </row>
    <row r="385" spans="1:15" x14ac:dyDescent="0.25">
      <c r="A385" s="315">
        <v>60</v>
      </c>
      <c r="B385" s="370" t="s">
        <v>383</v>
      </c>
      <c r="C385" s="296" t="s">
        <v>977</v>
      </c>
      <c r="D385" s="324">
        <v>0</v>
      </c>
      <c r="E385" s="296"/>
      <c r="F385" s="296"/>
      <c r="G385" s="296"/>
      <c r="H385" s="401"/>
      <c r="I385" s="400"/>
      <c r="J385" s="399"/>
      <c r="K385" s="398"/>
      <c r="L385" s="319"/>
      <c r="M385" s="494">
        <v>1</v>
      </c>
      <c r="N385" s="276">
        <f t="shared" si="2"/>
        <v>0</v>
      </c>
      <c r="O385" s="143"/>
    </row>
    <row r="386" spans="1:15" ht="30" x14ac:dyDescent="0.25">
      <c r="A386" s="315">
        <v>70</v>
      </c>
      <c r="B386" s="354" t="s">
        <v>959</v>
      </c>
      <c r="C386" s="331" t="s">
        <v>976</v>
      </c>
      <c r="D386" s="324">
        <v>50</v>
      </c>
      <c r="E386" s="296">
        <v>0.06</v>
      </c>
      <c r="F386" s="296" t="s">
        <v>299</v>
      </c>
      <c r="G386" s="296"/>
      <c r="H386" s="401"/>
      <c r="I386" s="400"/>
      <c r="J386" s="399"/>
      <c r="K386" s="398"/>
      <c r="L386" s="319"/>
      <c r="M386" s="397">
        <v>0.06</v>
      </c>
      <c r="N386" s="276">
        <f t="shared" si="2"/>
        <v>3</v>
      </c>
      <c r="O386" s="143"/>
    </row>
    <row r="387" spans="1:15" x14ac:dyDescent="0.25">
      <c r="A387" s="98"/>
      <c r="B387" s="95"/>
      <c r="C387" s="95"/>
      <c r="D387" s="95"/>
      <c r="E387" s="95"/>
      <c r="F387" s="95"/>
      <c r="G387" s="95"/>
      <c r="H387" s="95"/>
      <c r="I387" s="95"/>
      <c r="J387" s="95"/>
      <c r="K387" s="95"/>
      <c r="L387" s="95"/>
      <c r="M387" s="256" t="s">
        <v>58</v>
      </c>
      <c r="N387" s="255">
        <f>SUM(N380:N386)</f>
        <v>24.073659396000004</v>
      </c>
      <c r="O387" s="93"/>
    </row>
    <row r="388" spans="1:15" x14ac:dyDescent="0.25">
      <c r="A388" s="107"/>
      <c r="B388" s="94"/>
      <c r="C388" s="94"/>
      <c r="D388" s="94"/>
      <c r="E388" s="94"/>
      <c r="F388" s="94"/>
      <c r="G388" s="94"/>
      <c r="H388" s="94"/>
      <c r="I388" s="94"/>
      <c r="J388" s="94"/>
      <c r="K388" s="94"/>
      <c r="L388" s="94"/>
      <c r="M388" s="94"/>
      <c r="N388" s="94"/>
      <c r="O388" s="93"/>
    </row>
    <row r="389" spans="1:15" x14ac:dyDescent="0.25">
      <c r="A389" s="481" t="s">
        <v>67</v>
      </c>
      <c r="B389" s="274" t="s">
        <v>106</v>
      </c>
      <c r="C389" s="274" t="s">
        <v>66</v>
      </c>
      <c r="D389" s="274" t="s">
        <v>65</v>
      </c>
      <c r="E389" s="274" t="s">
        <v>64</v>
      </c>
      <c r="F389" s="274" t="s">
        <v>40</v>
      </c>
      <c r="G389" s="274" t="s">
        <v>105</v>
      </c>
      <c r="H389" s="274" t="s">
        <v>104</v>
      </c>
      <c r="I389" s="274" t="s">
        <v>58</v>
      </c>
      <c r="J389" s="95"/>
      <c r="K389" s="95"/>
      <c r="L389" s="95"/>
      <c r="M389" s="95"/>
      <c r="N389" s="95"/>
      <c r="O389" s="93"/>
    </row>
    <row r="390" spans="1:15" ht="30" x14ac:dyDescent="0.25">
      <c r="A390" s="331">
        <v>10</v>
      </c>
      <c r="B390" s="326" t="s">
        <v>905</v>
      </c>
      <c r="C390" s="331" t="s">
        <v>975</v>
      </c>
      <c r="D390" s="334">
        <v>1.3</v>
      </c>
      <c r="E390" s="326" t="s">
        <v>64</v>
      </c>
      <c r="F390" s="331">
        <v>1</v>
      </c>
      <c r="G390" s="331" t="s">
        <v>870</v>
      </c>
      <c r="H390" s="331">
        <v>1</v>
      </c>
      <c r="I390" s="293">
        <f t="shared" ref="I390:I405" si="3">IF(H390="",D390*F390,D390*F390*H390)</f>
        <v>1.3</v>
      </c>
      <c r="J390" s="142"/>
      <c r="K390" s="142"/>
      <c r="L390" s="142"/>
      <c r="M390" s="142"/>
      <c r="N390" s="142"/>
      <c r="O390" s="120"/>
    </row>
    <row r="391" spans="1:15" x14ac:dyDescent="0.25">
      <c r="A391" s="328">
        <v>20</v>
      </c>
      <c r="B391" s="326" t="s">
        <v>527</v>
      </c>
      <c r="C391" s="328" t="s">
        <v>974</v>
      </c>
      <c r="D391" s="329">
        <v>0.01</v>
      </c>
      <c r="E391" s="328" t="s">
        <v>101</v>
      </c>
      <c r="F391" s="333">
        <v>261</v>
      </c>
      <c r="G391" s="326" t="s">
        <v>870</v>
      </c>
      <c r="H391" s="325">
        <v>1</v>
      </c>
      <c r="I391" s="293">
        <f t="shared" si="3"/>
        <v>2.61</v>
      </c>
      <c r="J391" s="94"/>
      <c r="K391" s="94"/>
      <c r="L391" s="94"/>
      <c r="M391" s="94"/>
      <c r="N391" s="94"/>
      <c r="O391" s="93"/>
    </row>
    <row r="392" spans="1:15" x14ac:dyDescent="0.25">
      <c r="A392" s="331">
        <v>30</v>
      </c>
      <c r="B392" s="326" t="s">
        <v>527</v>
      </c>
      <c r="C392" s="328" t="s">
        <v>973</v>
      </c>
      <c r="D392" s="329">
        <v>0.01</v>
      </c>
      <c r="E392" s="328" t="s">
        <v>101</v>
      </c>
      <c r="F392" s="333">
        <v>133</v>
      </c>
      <c r="G392" s="326" t="s">
        <v>870</v>
      </c>
      <c r="H392" s="325">
        <v>1</v>
      </c>
      <c r="I392" s="293">
        <f t="shared" si="3"/>
        <v>1.33</v>
      </c>
      <c r="J392" s="94"/>
      <c r="K392" s="94"/>
      <c r="L392" s="94"/>
      <c r="M392" s="94"/>
      <c r="N392" s="94"/>
      <c r="O392" s="93"/>
    </row>
    <row r="393" spans="1:15" x14ac:dyDescent="0.25">
      <c r="A393" s="328">
        <v>40</v>
      </c>
      <c r="B393" s="326" t="s">
        <v>527</v>
      </c>
      <c r="C393" s="328" t="s">
        <v>972</v>
      </c>
      <c r="D393" s="329">
        <v>0.01</v>
      </c>
      <c r="E393" s="328" t="s">
        <v>101</v>
      </c>
      <c r="F393" s="333">
        <v>30</v>
      </c>
      <c r="G393" s="326" t="s">
        <v>870</v>
      </c>
      <c r="H393" s="325">
        <v>1</v>
      </c>
      <c r="I393" s="293">
        <f t="shared" si="3"/>
        <v>0.3</v>
      </c>
      <c r="J393" s="94"/>
      <c r="K393" s="94"/>
      <c r="L393" s="94"/>
      <c r="M393" s="94"/>
      <c r="N393" s="94"/>
      <c r="O393" s="93"/>
    </row>
    <row r="394" spans="1:15" ht="30" x14ac:dyDescent="0.25">
      <c r="A394" s="331">
        <v>50</v>
      </c>
      <c r="B394" s="326" t="s">
        <v>905</v>
      </c>
      <c r="C394" s="331" t="s">
        <v>971</v>
      </c>
      <c r="D394" s="334">
        <v>1.3</v>
      </c>
      <c r="E394" s="326" t="s">
        <v>64</v>
      </c>
      <c r="F394" s="331">
        <v>1</v>
      </c>
      <c r="G394" s="331" t="s">
        <v>870</v>
      </c>
      <c r="H394" s="331">
        <v>1</v>
      </c>
      <c r="I394" s="293">
        <f t="shared" si="3"/>
        <v>1.3</v>
      </c>
      <c r="J394" s="94"/>
      <c r="K394" s="94"/>
      <c r="L394" s="94"/>
      <c r="M394" s="94"/>
      <c r="N394" s="94"/>
      <c r="O394" s="93"/>
    </row>
    <row r="395" spans="1:15" x14ac:dyDescent="0.25">
      <c r="A395" s="328">
        <v>60</v>
      </c>
      <c r="B395" s="326" t="s">
        <v>527</v>
      </c>
      <c r="C395" s="328" t="s">
        <v>970</v>
      </c>
      <c r="D395" s="329">
        <v>0.01</v>
      </c>
      <c r="E395" s="328" t="s">
        <v>101</v>
      </c>
      <c r="F395" s="333">
        <v>100</v>
      </c>
      <c r="G395" s="326" t="s">
        <v>870</v>
      </c>
      <c r="H395" s="325">
        <v>1</v>
      </c>
      <c r="I395" s="293">
        <f t="shared" si="3"/>
        <v>1</v>
      </c>
      <c r="J395" s="94"/>
      <c r="K395" s="94"/>
      <c r="L395" s="94"/>
      <c r="M395" s="94"/>
      <c r="N395" s="94"/>
      <c r="O395" s="93"/>
    </row>
    <row r="396" spans="1:15" x14ac:dyDescent="0.25">
      <c r="A396" s="331">
        <v>70</v>
      </c>
      <c r="B396" s="309" t="s">
        <v>539</v>
      </c>
      <c r="C396" s="282" t="s">
        <v>969</v>
      </c>
      <c r="D396" s="337">
        <v>0.25</v>
      </c>
      <c r="E396" s="282" t="s">
        <v>722</v>
      </c>
      <c r="F396" s="336">
        <v>3</v>
      </c>
      <c r="G396" s="326"/>
      <c r="H396" s="325"/>
      <c r="I396" s="293">
        <f t="shared" si="3"/>
        <v>0.75</v>
      </c>
      <c r="J396" s="94"/>
      <c r="K396" s="94"/>
      <c r="L396" s="94"/>
      <c r="M396" s="94"/>
      <c r="N396" s="94"/>
      <c r="O396" s="93"/>
    </row>
    <row r="397" spans="1:15" x14ac:dyDescent="0.25">
      <c r="A397" s="328">
        <v>80</v>
      </c>
      <c r="B397" s="309" t="s">
        <v>539</v>
      </c>
      <c r="C397" s="282" t="s">
        <v>968</v>
      </c>
      <c r="D397" s="337">
        <v>0.25</v>
      </c>
      <c r="E397" s="282" t="s">
        <v>722</v>
      </c>
      <c r="F397" s="336">
        <v>1</v>
      </c>
      <c r="G397" s="326"/>
      <c r="H397" s="325"/>
      <c r="I397" s="293">
        <f t="shared" si="3"/>
        <v>0.25</v>
      </c>
      <c r="J397" s="94"/>
      <c r="K397" s="94"/>
      <c r="L397" s="94"/>
      <c r="M397" s="94"/>
      <c r="N397" s="94"/>
      <c r="O397" s="93"/>
    </row>
    <row r="398" spans="1:15" x14ac:dyDescent="0.25">
      <c r="A398" s="331">
        <v>90</v>
      </c>
      <c r="B398" s="309" t="s">
        <v>539</v>
      </c>
      <c r="C398" s="282" t="s">
        <v>967</v>
      </c>
      <c r="D398" s="337">
        <v>0.25</v>
      </c>
      <c r="E398" s="282" t="s">
        <v>722</v>
      </c>
      <c r="F398" s="336">
        <v>8</v>
      </c>
      <c r="G398" s="326"/>
      <c r="H398" s="325"/>
      <c r="I398" s="293">
        <f t="shared" si="3"/>
        <v>2</v>
      </c>
      <c r="J398" s="94"/>
      <c r="K398" s="94"/>
      <c r="L398" s="94"/>
      <c r="M398" s="94"/>
      <c r="N398" s="94"/>
      <c r="O398" s="93"/>
    </row>
    <row r="399" spans="1:15" x14ac:dyDescent="0.25">
      <c r="A399" s="328">
        <v>100</v>
      </c>
      <c r="B399" s="309" t="s">
        <v>539</v>
      </c>
      <c r="C399" s="282" t="s">
        <v>966</v>
      </c>
      <c r="D399" s="337">
        <v>0.25</v>
      </c>
      <c r="E399" s="282" t="s">
        <v>722</v>
      </c>
      <c r="F399" s="336">
        <v>1</v>
      </c>
      <c r="G399" s="326"/>
      <c r="H399" s="325"/>
      <c r="I399" s="293">
        <f t="shared" si="3"/>
        <v>0.25</v>
      </c>
      <c r="J399" s="94"/>
      <c r="K399" s="94"/>
      <c r="L399" s="94"/>
      <c r="M399" s="94"/>
      <c r="N399" s="94"/>
      <c r="O399" s="93"/>
    </row>
    <row r="400" spans="1:15" x14ac:dyDescent="0.25">
      <c r="A400" s="331">
        <v>110</v>
      </c>
      <c r="B400" s="282" t="s">
        <v>463</v>
      </c>
      <c r="C400" s="308" t="s">
        <v>965</v>
      </c>
      <c r="D400" s="337">
        <v>0.15</v>
      </c>
      <c r="E400" s="309" t="s">
        <v>101</v>
      </c>
      <c r="F400" s="308">
        <v>4.5</v>
      </c>
      <c r="G400" s="326"/>
      <c r="H400" s="325"/>
      <c r="I400" s="293">
        <f t="shared" si="3"/>
        <v>0.67499999999999993</v>
      </c>
      <c r="J400" s="94"/>
      <c r="K400" s="94"/>
      <c r="L400" s="94"/>
      <c r="M400" s="94"/>
      <c r="N400" s="94"/>
      <c r="O400" s="93"/>
    </row>
    <row r="401" spans="1:15" x14ac:dyDescent="0.25">
      <c r="A401" s="328">
        <v>120</v>
      </c>
      <c r="B401" s="282" t="s">
        <v>103</v>
      </c>
      <c r="C401" s="308" t="s">
        <v>964</v>
      </c>
      <c r="D401" s="337">
        <v>0.15</v>
      </c>
      <c r="E401" s="309" t="s">
        <v>101</v>
      </c>
      <c r="F401" s="308">
        <v>227</v>
      </c>
      <c r="G401" s="326"/>
      <c r="H401" s="325"/>
      <c r="I401" s="293">
        <f t="shared" si="3"/>
        <v>34.049999999999997</v>
      </c>
      <c r="J401" s="94"/>
      <c r="K401" s="94"/>
      <c r="L401" s="94"/>
      <c r="M401" s="94"/>
      <c r="N401" s="94"/>
      <c r="O401" s="93"/>
    </row>
    <row r="402" spans="1:15" x14ac:dyDescent="0.25">
      <c r="A402" s="331">
        <v>130</v>
      </c>
      <c r="B402" s="282" t="s">
        <v>907</v>
      </c>
      <c r="C402" s="308" t="s">
        <v>963</v>
      </c>
      <c r="D402" s="337">
        <v>0.38</v>
      </c>
      <c r="E402" s="309" t="s">
        <v>101</v>
      </c>
      <c r="F402" s="308">
        <v>4.5</v>
      </c>
      <c r="G402" s="326"/>
      <c r="H402" s="325"/>
      <c r="I402" s="293">
        <f t="shared" si="3"/>
        <v>1.71</v>
      </c>
      <c r="J402" s="94"/>
      <c r="K402" s="94"/>
      <c r="L402" s="94"/>
      <c r="M402" s="94"/>
      <c r="N402" s="94"/>
      <c r="O402" s="93"/>
    </row>
    <row r="403" spans="1:15" x14ac:dyDescent="0.25">
      <c r="A403" s="328">
        <v>140</v>
      </c>
      <c r="B403" s="282" t="s">
        <v>491</v>
      </c>
      <c r="C403" s="299" t="s">
        <v>962</v>
      </c>
      <c r="D403" s="337">
        <v>0.02</v>
      </c>
      <c r="E403" s="309" t="s">
        <v>101</v>
      </c>
      <c r="F403" s="299">
        <v>78</v>
      </c>
      <c r="G403" s="367"/>
      <c r="H403" s="299"/>
      <c r="I403" s="293">
        <f t="shared" si="3"/>
        <v>1.56</v>
      </c>
      <c r="J403" s="94"/>
      <c r="K403" s="94"/>
      <c r="L403" s="94"/>
      <c r="M403" s="94"/>
      <c r="N403" s="94"/>
      <c r="O403" s="93"/>
    </row>
    <row r="404" spans="1:15" x14ac:dyDescent="0.25">
      <c r="A404" s="331">
        <v>150</v>
      </c>
      <c r="B404" s="326" t="s">
        <v>961</v>
      </c>
      <c r="C404" s="434" t="s">
        <v>960</v>
      </c>
      <c r="D404" s="329">
        <v>0.8</v>
      </c>
      <c r="E404" s="328" t="s">
        <v>345</v>
      </c>
      <c r="F404" s="333">
        <v>2.2599999999999998</v>
      </c>
      <c r="G404" s="326"/>
      <c r="H404" s="325"/>
      <c r="I404" s="293">
        <f t="shared" si="3"/>
        <v>1.8079999999999998</v>
      </c>
      <c r="J404" s="94"/>
      <c r="K404" s="94"/>
      <c r="L404" s="94"/>
      <c r="M404" s="94"/>
      <c r="N404" s="94"/>
      <c r="O404" s="93"/>
    </row>
    <row r="405" spans="1:15" x14ac:dyDescent="0.25">
      <c r="A405" s="328">
        <v>160</v>
      </c>
      <c r="B405" s="326" t="s">
        <v>959</v>
      </c>
      <c r="C405" s="434" t="s">
        <v>958</v>
      </c>
      <c r="D405" s="329">
        <v>0</v>
      </c>
      <c r="E405" s="328" t="s">
        <v>64</v>
      </c>
      <c r="F405" s="333">
        <v>1</v>
      </c>
      <c r="G405" s="326"/>
      <c r="H405" s="325"/>
      <c r="I405" s="293">
        <f t="shared" si="3"/>
        <v>0</v>
      </c>
      <c r="J405" s="94"/>
      <c r="K405" s="94"/>
      <c r="L405" s="94"/>
      <c r="M405" s="94"/>
      <c r="N405" s="94"/>
      <c r="O405" s="93"/>
    </row>
    <row r="406" spans="1:15" x14ac:dyDescent="0.25">
      <c r="A406" s="98"/>
      <c r="B406" s="95"/>
      <c r="C406" s="95"/>
      <c r="D406" s="95"/>
      <c r="E406" s="95"/>
      <c r="F406" s="95"/>
      <c r="G406" s="95"/>
      <c r="H406" s="256" t="s">
        <v>58</v>
      </c>
      <c r="I406" s="255">
        <f>SUM(I390:I405)</f>
        <v>50.893000000000001</v>
      </c>
      <c r="J406" s="95"/>
      <c r="K406" s="95"/>
      <c r="L406" s="95"/>
      <c r="M406" s="95"/>
      <c r="N406" s="95"/>
      <c r="O406" s="93"/>
    </row>
    <row r="407" spans="1:15" x14ac:dyDescent="0.25">
      <c r="A407" s="107"/>
      <c r="B407" s="94"/>
      <c r="C407" s="94"/>
      <c r="D407" s="94"/>
      <c r="E407" s="94"/>
      <c r="F407" s="94"/>
      <c r="G407" s="94"/>
      <c r="H407" s="94"/>
      <c r="I407" s="99"/>
      <c r="J407" s="94"/>
      <c r="K407" s="94"/>
      <c r="L407" s="94"/>
      <c r="M407" s="94"/>
      <c r="N407" s="94"/>
      <c r="O407" s="93"/>
    </row>
    <row r="408" spans="1:15" x14ac:dyDescent="0.25">
      <c r="A408" s="360"/>
      <c r="B408" s="99"/>
      <c r="C408" s="99"/>
      <c r="D408" s="99"/>
      <c r="E408" s="99"/>
      <c r="F408" s="99"/>
      <c r="G408" s="99"/>
      <c r="H408" s="359"/>
      <c r="I408" s="358"/>
      <c r="J408" s="99"/>
      <c r="K408" s="94"/>
      <c r="L408" s="94"/>
      <c r="M408" s="94"/>
      <c r="N408" s="94"/>
      <c r="O408" s="93"/>
    </row>
    <row r="409" spans="1:15" x14ac:dyDescent="0.25">
      <c r="A409" s="481" t="s">
        <v>67</v>
      </c>
      <c r="B409" s="274" t="s">
        <v>13</v>
      </c>
      <c r="C409" s="274" t="s">
        <v>66</v>
      </c>
      <c r="D409" s="274" t="s">
        <v>65</v>
      </c>
      <c r="E409" s="274" t="s">
        <v>64</v>
      </c>
      <c r="F409" s="274" t="s">
        <v>40</v>
      </c>
      <c r="G409" s="274" t="s">
        <v>63</v>
      </c>
      <c r="H409" s="274" t="s">
        <v>741</v>
      </c>
      <c r="I409" s="274" t="s">
        <v>58</v>
      </c>
      <c r="J409" s="95"/>
      <c r="K409" s="94"/>
      <c r="L409" s="94"/>
      <c r="M409" s="94"/>
      <c r="N409" s="94"/>
      <c r="O409" s="93"/>
    </row>
    <row r="410" spans="1:15" x14ac:dyDescent="0.25">
      <c r="A410" s="282">
        <v>10</v>
      </c>
      <c r="B410" s="282" t="s">
        <v>61</v>
      </c>
      <c r="C410" s="282"/>
      <c r="D410" s="283">
        <v>500</v>
      </c>
      <c r="E410" s="282" t="s">
        <v>945</v>
      </c>
      <c r="F410" s="282">
        <v>30</v>
      </c>
      <c r="G410" s="282">
        <v>3000</v>
      </c>
      <c r="H410" s="282">
        <v>1</v>
      </c>
      <c r="I410" s="276">
        <f>D410*F410/G410*H410</f>
        <v>5</v>
      </c>
      <c r="J410" s="99"/>
      <c r="K410" s="99"/>
      <c r="L410" s="99"/>
      <c r="M410" s="99"/>
      <c r="N410" s="99"/>
      <c r="O410" s="130"/>
    </row>
    <row r="411" spans="1:15" x14ac:dyDescent="0.25">
      <c r="A411" s="98"/>
      <c r="B411" s="95"/>
      <c r="C411" s="95"/>
      <c r="D411" s="95"/>
      <c r="E411" s="95"/>
      <c r="F411" s="95"/>
      <c r="G411" s="95"/>
      <c r="H411" s="256" t="s">
        <v>58</v>
      </c>
      <c r="I411" s="255">
        <f>SUM(I410:I410)</f>
        <v>5</v>
      </c>
      <c r="J411" s="95"/>
      <c r="K411" s="94"/>
      <c r="L411" s="94"/>
      <c r="M411" s="94"/>
      <c r="N411" s="94"/>
      <c r="O411" s="93"/>
    </row>
    <row r="412" spans="1:15" ht="15.75" thickBot="1" x14ac:dyDescent="0.3">
      <c r="A412" s="92"/>
      <c r="B412" s="91"/>
      <c r="C412" s="91"/>
      <c r="D412" s="91"/>
      <c r="E412" s="91"/>
      <c r="F412" s="91"/>
      <c r="G412" s="91"/>
      <c r="H412" s="91"/>
      <c r="I412" s="91"/>
      <c r="J412" s="91"/>
      <c r="K412" s="91"/>
      <c r="L412" s="91"/>
      <c r="M412" s="91"/>
      <c r="N412" s="91"/>
      <c r="O412" s="90"/>
    </row>
    <row r="413" spans="1:15" ht="15.75" thickBot="1" x14ac:dyDescent="0.3"/>
    <row r="414" spans="1:15" x14ac:dyDescent="0.25">
      <c r="A414" s="141"/>
      <c r="B414" s="140"/>
      <c r="C414" s="140"/>
      <c r="D414" s="140"/>
      <c r="E414" s="140"/>
      <c r="F414" s="140"/>
      <c r="G414" s="140"/>
      <c r="H414" s="140"/>
      <c r="I414" s="140"/>
      <c r="J414" s="272"/>
      <c r="K414" s="140"/>
      <c r="L414" s="140"/>
      <c r="M414" s="140"/>
      <c r="N414" s="140"/>
      <c r="O414" s="139"/>
    </row>
    <row r="415" spans="1:15" x14ac:dyDescent="0.25">
      <c r="A415" s="267" t="s">
        <v>57</v>
      </c>
      <c r="B415" s="133" t="s">
        <v>523</v>
      </c>
      <c r="C415" s="94"/>
      <c r="D415" s="94"/>
      <c r="E415" s="94"/>
      <c r="F415" s="94"/>
      <c r="G415" s="94"/>
      <c r="H415" s="94"/>
      <c r="I415" s="94"/>
      <c r="J415" s="271" t="s">
        <v>51</v>
      </c>
      <c r="K415" s="138">
        <v>81</v>
      </c>
      <c r="L415" s="94"/>
      <c r="M415" s="267" t="s">
        <v>113</v>
      </c>
      <c r="N415" s="100">
        <f>EN_03002_f+EN_03002_m+EN_03002_p+EN_03002_t</f>
        <v>15.010881192666666</v>
      </c>
      <c r="O415" s="93"/>
    </row>
    <row r="416" spans="1:15" x14ac:dyDescent="0.25">
      <c r="A416" s="267" t="s">
        <v>125</v>
      </c>
      <c r="B416" s="133" t="s">
        <v>21</v>
      </c>
      <c r="C416" s="94"/>
      <c r="D416" s="267" t="s">
        <v>122</v>
      </c>
      <c r="E416" s="270" t="s">
        <v>522</v>
      </c>
      <c r="F416" s="94"/>
      <c r="G416" s="94"/>
      <c r="H416" s="94"/>
      <c r="I416" s="94"/>
      <c r="J416" s="94"/>
      <c r="K416" s="94"/>
      <c r="L416" s="94"/>
      <c r="M416" s="267" t="s">
        <v>124</v>
      </c>
      <c r="N416" s="136">
        <v>1</v>
      </c>
      <c r="O416" s="93"/>
    </row>
    <row r="417" spans="1:15" x14ac:dyDescent="0.25">
      <c r="A417" s="267" t="s">
        <v>123</v>
      </c>
      <c r="B417" s="270" t="str">
        <f>'EN Assemblies'!B112</f>
        <v>Fuel Tank assembly</v>
      </c>
      <c r="C417" s="94"/>
      <c r="D417" s="267" t="s">
        <v>119</v>
      </c>
      <c r="E417" s="94"/>
      <c r="F417" s="94"/>
      <c r="G417" s="94"/>
      <c r="H417" s="94"/>
      <c r="I417" s="94"/>
      <c r="J417" s="268" t="s">
        <v>122</v>
      </c>
      <c r="K417" s="94"/>
      <c r="L417" s="94"/>
      <c r="M417" s="94"/>
      <c r="N417" s="94"/>
      <c r="O417" s="93"/>
    </row>
    <row r="418" spans="1:15" x14ac:dyDescent="0.25">
      <c r="A418" s="267" t="s">
        <v>114</v>
      </c>
      <c r="B418" s="135" t="s">
        <v>957</v>
      </c>
      <c r="C418" s="94"/>
      <c r="D418" s="267" t="s">
        <v>116</v>
      </c>
      <c r="E418" s="94"/>
      <c r="F418" s="94"/>
      <c r="G418" s="94"/>
      <c r="H418" s="94"/>
      <c r="I418" s="94"/>
      <c r="J418" s="268" t="s">
        <v>119</v>
      </c>
      <c r="K418" s="94"/>
      <c r="L418" s="94"/>
      <c r="M418" s="267" t="s">
        <v>118</v>
      </c>
      <c r="N418" s="100">
        <f>N416*N415</f>
        <v>15.010881192666666</v>
      </c>
      <c r="O418" s="93"/>
    </row>
    <row r="419" spans="1:15" x14ac:dyDescent="0.25">
      <c r="A419" s="267" t="s">
        <v>121</v>
      </c>
      <c r="B419" s="269" t="s">
        <v>956</v>
      </c>
      <c r="C419" s="94"/>
      <c r="D419" s="94"/>
      <c r="E419" s="94"/>
      <c r="F419" s="94"/>
      <c r="G419" s="94"/>
      <c r="H419" s="94"/>
      <c r="I419" s="94"/>
      <c r="J419" s="268" t="s">
        <v>116</v>
      </c>
      <c r="K419" s="94"/>
      <c r="L419" s="94"/>
      <c r="M419" s="94"/>
      <c r="N419" s="94"/>
      <c r="O419" s="93"/>
    </row>
    <row r="420" spans="1:15" x14ac:dyDescent="0.25">
      <c r="A420" s="267" t="s">
        <v>117</v>
      </c>
      <c r="B420" s="133" t="s">
        <v>23</v>
      </c>
      <c r="C420" s="94"/>
      <c r="D420" s="94"/>
      <c r="E420" s="94"/>
      <c r="F420" s="94"/>
      <c r="G420" s="94"/>
      <c r="H420" s="94"/>
      <c r="I420" s="94"/>
      <c r="J420" s="94"/>
      <c r="K420" s="94"/>
      <c r="L420" s="94"/>
      <c r="M420" s="94"/>
      <c r="N420" s="94"/>
      <c r="O420" s="93"/>
    </row>
    <row r="421" spans="1:15" x14ac:dyDescent="0.25">
      <c r="A421" s="267" t="s">
        <v>115</v>
      </c>
      <c r="B421" s="133"/>
      <c r="C421" s="94"/>
      <c r="D421" s="94"/>
      <c r="E421" s="94"/>
      <c r="F421" s="94"/>
      <c r="G421" s="94"/>
      <c r="H421" s="94"/>
      <c r="I421" s="94"/>
      <c r="J421" s="94"/>
      <c r="K421" s="94"/>
      <c r="L421" s="94"/>
      <c r="M421" s="94"/>
      <c r="N421" s="94"/>
      <c r="O421" s="93"/>
    </row>
    <row r="422" spans="1:15" x14ac:dyDescent="0.25">
      <c r="A422" s="266"/>
      <c r="B422" s="265"/>
      <c r="C422" s="265"/>
      <c r="D422" s="265"/>
      <c r="E422" s="265"/>
      <c r="F422" s="94"/>
      <c r="G422" s="94"/>
      <c r="H422" s="94"/>
      <c r="I422" s="94"/>
      <c r="J422" s="94"/>
      <c r="K422" s="94"/>
      <c r="L422" s="94"/>
      <c r="M422" s="94"/>
      <c r="N422" s="94"/>
      <c r="O422" s="93"/>
    </row>
    <row r="423" spans="1:15" x14ac:dyDescent="0.25">
      <c r="A423" s="264" t="s">
        <v>67</v>
      </c>
      <c r="B423" s="263" t="s">
        <v>112</v>
      </c>
      <c r="C423" s="263" t="s">
        <v>66</v>
      </c>
      <c r="D423" s="263" t="s">
        <v>65</v>
      </c>
      <c r="E423" s="263" t="s">
        <v>81</v>
      </c>
      <c r="F423" s="274" t="s">
        <v>80</v>
      </c>
      <c r="G423" s="274" t="s">
        <v>79</v>
      </c>
      <c r="H423" s="274" t="s">
        <v>78</v>
      </c>
      <c r="I423" s="274" t="s">
        <v>111</v>
      </c>
      <c r="J423" s="274" t="s">
        <v>110</v>
      </c>
      <c r="K423" s="274" t="s">
        <v>109</v>
      </c>
      <c r="L423" s="274" t="s">
        <v>108</v>
      </c>
      <c r="M423" s="274" t="s">
        <v>40</v>
      </c>
      <c r="N423" s="274" t="s">
        <v>58</v>
      </c>
      <c r="O423" s="93"/>
    </row>
    <row r="424" spans="1:15" ht="30" x14ac:dyDescent="0.25">
      <c r="A424" s="315">
        <v>10</v>
      </c>
      <c r="B424" s="354" t="s">
        <v>852</v>
      </c>
      <c r="C424" s="292" t="s">
        <v>952</v>
      </c>
      <c r="D424" s="324">
        <v>4.2</v>
      </c>
      <c r="E424" s="315">
        <v>45</v>
      </c>
      <c r="F424" s="315" t="s">
        <v>68</v>
      </c>
      <c r="G424" s="315">
        <v>2</v>
      </c>
      <c r="H424" s="314" t="s">
        <v>68</v>
      </c>
      <c r="I424" s="281" t="s">
        <v>955</v>
      </c>
      <c r="J424" s="356">
        <v>2.7020000000000001E-4</v>
      </c>
      <c r="K424" s="320">
        <v>0.215</v>
      </c>
      <c r="L424" s="355">
        <v>2710</v>
      </c>
      <c r="M424" s="299">
        <v>1</v>
      </c>
      <c r="N424" s="431">
        <f>IF(J424="",D424*M424,D424*J424*K424*L424*M424)</f>
        <v>0.66121452600000008</v>
      </c>
      <c r="O424" s="143"/>
    </row>
    <row r="425" spans="1:15" ht="45" x14ac:dyDescent="0.25">
      <c r="A425" s="315">
        <v>20</v>
      </c>
      <c r="B425" s="354" t="s">
        <v>954</v>
      </c>
      <c r="C425" s="292"/>
      <c r="D425" s="324">
        <v>3.72</v>
      </c>
      <c r="E425" s="315">
        <v>6</v>
      </c>
      <c r="F425" s="315" t="s">
        <v>68</v>
      </c>
      <c r="G425" s="315">
        <v>6</v>
      </c>
      <c r="H425" s="314" t="s">
        <v>68</v>
      </c>
      <c r="I425" s="281"/>
      <c r="J425" s="356"/>
      <c r="K425" s="320"/>
      <c r="L425" s="355"/>
      <c r="M425" s="299">
        <v>2</v>
      </c>
      <c r="N425" s="431">
        <f>IF(J425="",D425*M425,D425*J425*K425*L425*M425)</f>
        <v>7.44</v>
      </c>
      <c r="O425" s="143"/>
    </row>
    <row r="426" spans="1:15" x14ac:dyDescent="0.25">
      <c r="A426" s="315">
        <v>30</v>
      </c>
      <c r="B426" s="354" t="s">
        <v>302</v>
      </c>
      <c r="C426" s="292" t="s">
        <v>953</v>
      </c>
      <c r="D426" s="324">
        <v>2.82</v>
      </c>
      <c r="E426" s="315">
        <v>6</v>
      </c>
      <c r="F426" s="315" t="s">
        <v>68</v>
      </c>
      <c r="G426" s="315">
        <v>0.15</v>
      </c>
      <c r="H426" s="314" t="s">
        <v>345</v>
      </c>
      <c r="I426" s="357"/>
      <c r="J426" s="356"/>
      <c r="K426" s="320"/>
      <c r="L426" s="355"/>
      <c r="M426" s="299">
        <v>0.15</v>
      </c>
      <c r="N426" s="431">
        <f>IF(J426="",D426*M426,D426*J426*K426*L426*M426)</f>
        <v>0.42299999999999999</v>
      </c>
      <c r="O426" s="143"/>
    </row>
    <row r="427" spans="1:15" x14ac:dyDescent="0.25">
      <c r="A427" s="98"/>
      <c r="B427" s="95"/>
      <c r="C427" s="95"/>
      <c r="D427" s="95"/>
      <c r="E427" s="95"/>
      <c r="F427" s="95"/>
      <c r="G427" s="95"/>
      <c r="H427" s="95"/>
      <c r="I427" s="95"/>
      <c r="J427" s="95"/>
      <c r="K427" s="95"/>
      <c r="L427" s="95"/>
      <c r="M427" s="479" t="s">
        <v>58</v>
      </c>
      <c r="N427" s="255">
        <f>SUM(N424:N426)</f>
        <v>8.5242145259999997</v>
      </c>
      <c r="O427" s="93"/>
    </row>
    <row r="428" spans="1:15" x14ac:dyDescent="0.25">
      <c r="A428" s="107"/>
      <c r="B428" s="94"/>
      <c r="C428" s="94"/>
      <c r="D428" s="94"/>
      <c r="E428" s="94"/>
      <c r="F428" s="94"/>
      <c r="G428" s="94"/>
      <c r="H428" s="94"/>
      <c r="I428" s="94"/>
      <c r="J428" s="94"/>
      <c r="K428" s="94"/>
      <c r="L428" s="94"/>
      <c r="M428" s="94"/>
      <c r="N428" s="94"/>
      <c r="O428" s="93"/>
    </row>
    <row r="429" spans="1:15" x14ac:dyDescent="0.25">
      <c r="A429" s="481" t="s">
        <v>67</v>
      </c>
      <c r="B429" s="274" t="s">
        <v>106</v>
      </c>
      <c r="C429" s="274" t="s">
        <v>66</v>
      </c>
      <c r="D429" s="274" t="s">
        <v>65</v>
      </c>
      <c r="E429" s="274" t="s">
        <v>64</v>
      </c>
      <c r="F429" s="274" t="s">
        <v>40</v>
      </c>
      <c r="G429" s="274" t="s">
        <v>105</v>
      </c>
      <c r="H429" s="274" t="s">
        <v>104</v>
      </c>
      <c r="I429" s="274" t="s">
        <v>58</v>
      </c>
      <c r="J429" s="95"/>
      <c r="K429" s="95"/>
      <c r="L429" s="95"/>
      <c r="M429" s="95"/>
      <c r="N429" s="95"/>
      <c r="O429" s="93"/>
    </row>
    <row r="430" spans="1:15" x14ac:dyDescent="0.25">
      <c r="A430" s="325">
        <v>10</v>
      </c>
      <c r="B430" s="326" t="s">
        <v>463</v>
      </c>
      <c r="C430" s="325" t="s">
        <v>952</v>
      </c>
      <c r="D430" s="329">
        <v>0.15</v>
      </c>
      <c r="E430" s="326" t="s">
        <v>101</v>
      </c>
      <c r="F430" s="325">
        <v>4</v>
      </c>
      <c r="G430" s="325"/>
      <c r="H430" s="325"/>
      <c r="I430" s="293">
        <f t="shared" ref="I430:I437" si="4">IF(H430="",D430*F430,D430*F430*H430)</f>
        <v>0.6</v>
      </c>
      <c r="J430" s="142"/>
      <c r="K430" s="142"/>
      <c r="L430" s="142"/>
      <c r="M430" s="142"/>
      <c r="N430" s="142"/>
      <c r="O430" s="120"/>
    </row>
    <row r="431" spans="1:15" ht="30" x14ac:dyDescent="0.25">
      <c r="A431" s="328">
        <v>20</v>
      </c>
      <c r="B431" s="326" t="s">
        <v>905</v>
      </c>
      <c r="C431" s="328"/>
      <c r="D431" s="329">
        <v>1.3</v>
      </c>
      <c r="E431" s="328" t="s">
        <v>64</v>
      </c>
      <c r="F431" s="328">
        <v>1</v>
      </c>
      <c r="G431" s="326"/>
      <c r="H431" s="325"/>
      <c r="I431" s="293">
        <f t="shared" si="4"/>
        <v>1.3</v>
      </c>
      <c r="J431" s="142"/>
      <c r="K431" s="142"/>
      <c r="L431" s="142"/>
      <c r="M431" s="142"/>
      <c r="N431" s="142"/>
      <c r="O431" s="120"/>
    </row>
    <row r="432" spans="1:15" x14ac:dyDescent="0.25">
      <c r="A432" s="325">
        <v>30</v>
      </c>
      <c r="B432" s="326" t="s">
        <v>296</v>
      </c>
      <c r="C432" s="325"/>
      <c r="D432" s="329">
        <v>0.35</v>
      </c>
      <c r="E432" s="326" t="s">
        <v>951</v>
      </c>
      <c r="F432" s="325">
        <v>2</v>
      </c>
      <c r="G432" s="325"/>
      <c r="H432" s="325"/>
      <c r="I432" s="293">
        <f t="shared" si="4"/>
        <v>0.7</v>
      </c>
      <c r="J432" s="142"/>
      <c r="K432" s="142"/>
      <c r="L432" s="142"/>
      <c r="M432" s="142"/>
      <c r="N432" s="142"/>
      <c r="O432" s="120"/>
    </row>
    <row r="433" spans="1:15" ht="30" x14ac:dyDescent="0.25">
      <c r="A433" s="325">
        <v>40</v>
      </c>
      <c r="B433" s="326" t="s">
        <v>589</v>
      </c>
      <c r="C433" s="325" t="s">
        <v>950</v>
      </c>
      <c r="D433" s="329">
        <v>0.1</v>
      </c>
      <c r="E433" s="326" t="s">
        <v>101</v>
      </c>
      <c r="F433" s="325">
        <v>1</v>
      </c>
      <c r="G433" s="325" t="s">
        <v>870</v>
      </c>
      <c r="H433" s="325">
        <v>1</v>
      </c>
      <c r="I433" s="293">
        <f t="shared" si="4"/>
        <v>0.1</v>
      </c>
      <c r="J433" s="142"/>
      <c r="K433" s="142"/>
      <c r="L433" s="142"/>
      <c r="M433" s="142"/>
      <c r="N433" s="142"/>
      <c r="O433" s="120"/>
    </row>
    <row r="434" spans="1:15" x14ac:dyDescent="0.25">
      <c r="A434" s="325">
        <v>50</v>
      </c>
      <c r="B434" s="326" t="s">
        <v>103</v>
      </c>
      <c r="C434" s="331" t="s">
        <v>949</v>
      </c>
      <c r="D434" s="329">
        <v>0.15</v>
      </c>
      <c r="E434" s="326" t="s">
        <v>101</v>
      </c>
      <c r="F434" s="325">
        <v>4</v>
      </c>
      <c r="G434" s="325"/>
      <c r="H434" s="325"/>
      <c r="I434" s="293">
        <f t="shared" si="4"/>
        <v>0.6</v>
      </c>
      <c r="J434" s="142"/>
      <c r="K434" s="142"/>
      <c r="L434" s="142"/>
      <c r="M434" s="142"/>
      <c r="N434" s="142"/>
      <c r="O434" s="120"/>
    </row>
    <row r="435" spans="1:15" x14ac:dyDescent="0.25">
      <c r="A435" s="325">
        <v>60</v>
      </c>
      <c r="B435" s="326" t="s">
        <v>290</v>
      </c>
      <c r="C435" s="331" t="s">
        <v>948</v>
      </c>
      <c r="D435" s="329">
        <v>0.06</v>
      </c>
      <c r="E435" s="326" t="s">
        <v>101</v>
      </c>
      <c r="F435" s="325">
        <v>1</v>
      </c>
      <c r="G435" s="325"/>
      <c r="H435" s="325"/>
      <c r="I435" s="293">
        <f t="shared" si="4"/>
        <v>0.06</v>
      </c>
      <c r="J435" s="142"/>
      <c r="K435" s="142"/>
      <c r="L435" s="142"/>
      <c r="M435" s="142"/>
      <c r="N435" s="142"/>
      <c r="O435" s="120"/>
    </row>
    <row r="436" spans="1:15" x14ac:dyDescent="0.25">
      <c r="A436" s="325">
        <v>70</v>
      </c>
      <c r="B436" s="326" t="s">
        <v>95</v>
      </c>
      <c r="C436" s="331" t="s">
        <v>947</v>
      </c>
      <c r="D436" s="329">
        <v>0.19</v>
      </c>
      <c r="E436" s="326" t="s">
        <v>64</v>
      </c>
      <c r="F436" s="325">
        <v>2</v>
      </c>
      <c r="G436" s="325"/>
      <c r="H436" s="325"/>
      <c r="I436" s="293">
        <f t="shared" si="4"/>
        <v>0.38</v>
      </c>
      <c r="J436" s="142"/>
      <c r="K436" s="142"/>
      <c r="L436" s="142"/>
      <c r="M436" s="142"/>
      <c r="N436" s="142"/>
      <c r="O436" s="120"/>
    </row>
    <row r="437" spans="1:15" x14ac:dyDescent="0.25">
      <c r="A437" s="328">
        <v>80</v>
      </c>
      <c r="B437" s="326" t="s">
        <v>287</v>
      </c>
      <c r="C437" s="328" t="s">
        <v>946</v>
      </c>
      <c r="D437" s="329">
        <v>0.5</v>
      </c>
      <c r="E437" s="328" t="s">
        <v>64</v>
      </c>
      <c r="F437" s="328">
        <v>2</v>
      </c>
      <c r="G437" s="326"/>
      <c r="H437" s="325"/>
      <c r="I437" s="293">
        <f t="shared" si="4"/>
        <v>1</v>
      </c>
      <c r="J437" s="94"/>
      <c r="K437" s="94"/>
      <c r="L437" s="94"/>
      <c r="M437" s="94"/>
      <c r="N437" s="94"/>
      <c r="O437" s="93"/>
    </row>
    <row r="438" spans="1:15" x14ac:dyDescent="0.25">
      <c r="A438" s="98"/>
      <c r="B438" s="95"/>
      <c r="C438" s="95"/>
      <c r="D438" s="95"/>
      <c r="E438" s="95"/>
      <c r="F438" s="95"/>
      <c r="G438" s="95"/>
      <c r="H438" s="256" t="s">
        <v>58</v>
      </c>
      <c r="I438" s="255">
        <f>SUM(I430:I437)</f>
        <v>4.74</v>
      </c>
      <c r="J438" s="95"/>
      <c r="K438" s="95"/>
      <c r="L438" s="95"/>
      <c r="M438" s="95"/>
      <c r="N438" s="95"/>
      <c r="O438" s="93"/>
    </row>
    <row r="439" spans="1:15" x14ac:dyDescent="0.25">
      <c r="A439" s="107"/>
      <c r="B439" s="94"/>
      <c r="C439" s="94"/>
      <c r="D439" s="94"/>
      <c r="E439" s="94"/>
      <c r="F439" s="94"/>
      <c r="G439" s="94"/>
      <c r="H439" s="94"/>
      <c r="I439" s="99"/>
      <c r="J439" s="94"/>
      <c r="K439" s="94"/>
      <c r="L439" s="94"/>
      <c r="M439" s="94"/>
      <c r="N439" s="94"/>
      <c r="O439" s="93"/>
    </row>
    <row r="440" spans="1:15" x14ac:dyDescent="0.25">
      <c r="A440" s="481" t="s">
        <v>67</v>
      </c>
      <c r="B440" s="274" t="s">
        <v>82</v>
      </c>
      <c r="C440" s="274" t="s">
        <v>66</v>
      </c>
      <c r="D440" s="274" t="s">
        <v>65</v>
      </c>
      <c r="E440" s="274" t="s">
        <v>81</v>
      </c>
      <c r="F440" s="274" t="s">
        <v>80</v>
      </c>
      <c r="G440" s="274" t="s">
        <v>79</v>
      </c>
      <c r="H440" s="274" t="s">
        <v>78</v>
      </c>
      <c r="I440" s="274" t="s">
        <v>40</v>
      </c>
      <c r="J440" s="274" t="s">
        <v>58</v>
      </c>
      <c r="K440" s="94"/>
      <c r="L440" s="94"/>
      <c r="M440" s="94"/>
      <c r="N440" s="94"/>
      <c r="O440" s="93"/>
    </row>
    <row r="441" spans="1:15" x14ac:dyDescent="0.25">
      <c r="A441" s="282">
        <v>10</v>
      </c>
      <c r="B441" s="282" t="s">
        <v>280</v>
      </c>
      <c r="C441" s="282"/>
      <c r="D441" s="337">
        <v>0.54</v>
      </c>
      <c r="E441" s="282">
        <v>10</v>
      </c>
      <c r="F441" s="374" t="s">
        <v>68</v>
      </c>
      <c r="G441" s="282"/>
      <c r="H441" s="285"/>
      <c r="I441" s="373">
        <v>2</v>
      </c>
      <c r="J441" s="276">
        <f>I441*D441</f>
        <v>1.08</v>
      </c>
      <c r="K441" s="94"/>
      <c r="L441" s="94"/>
      <c r="M441" s="94"/>
      <c r="N441" s="94"/>
      <c r="O441" s="93"/>
    </row>
    <row r="442" spans="1:15" x14ac:dyDescent="0.25">
      <c r="A442" s="98"/>
      <c r="B442" s="95"/>
      <c r="C442" s="95"/>
      <c r="D442" s="95"/>
      <c r="E442" s="95"/>
      <c r="F442" s="95"/>
      <c r="G442" s="95"/>
      <c r="H442" s="95"/>
      <c r="I442" s="256" t="s">
        <v>58</v>
      </c>
      <c r="J442" s="255">
        <f>SUM(J441:J441)</f>
        <v>1.08</v>
      </c>
      <c r="K442" s="94"/>
      <c r="L442" s="94"/>
      <c r="M442" s="94"/>
      <c r="N442" s="94"/>
      <c r="O442" s="93"/>
    </row>
    <row r="443" spans="1:15" x14ac:dyDescent="0.25">
      <c r="A443" s="360"/>
      <c r="B443" s="99"/>
      <c r="C443" s="99"/>
      <c r="D443" s="99"/>
      <c r="E443" s="99"/>
      <c r="F443" s="99"/>
      <c r="G443" s="99"/>
      <c r="H443" s="359"/>
      <c r="I443" s="358"/>
      <c r="J443" s="99"/>
      <c r="K443" s="94"/>
      <c r="L443" s="94"/>
      <c r="M443" s="94"/>
      <c r="N443" s="94"/>
      <c r="O443" s="93"/>
    </row>
    <row r="444" spans="1:15" x14ac:dyDescent="0.25">
      <c r="A444" s="481" t="s">
        <v>67</v>
      </c>
      <c r="B444" s="274" t="s">
        <v>13</v>
      </c>
      <c r="C444" s="274" t="s">
        <v>66</v>
      </c>
      <c r="D444" s="274" t="s">
        <v>65</v>
      </c>
      <c r="E444" s="274" t="s">
        <v>64</v>
      </c>
      <c r="F444" s="274" t="s">
        <v>40</v>
      </c>
      <c r="G444" s="274" t="s">
        <v>63</v>
      </c>
      <c r="H444" s="274" t="s">
        <v>741</v>
      </c>
      <c r="I444" s="274" t="s">
        <v>58</v>
      </c>
      <c r="J444" s="95"/>
      <c r="K444" s="94"/>
      <c r="L444" s="94"/>
      <c r="M444" s="94"/>
      <c r="N444" s="94"/>
      <c r="O444" s="93"/>
    </row>
    <row r="445" spans="1:15" x14ac:dyDescent="0.25">
      <c r="A445" s="282">
        <v>10</v>
      </c>
      <c r="B445" s="282" t="s">
        <v>61</v>
      </c>
      <c r="C445" s="282"/>
      <c r="D445" s="283">
        <v>500</v>
      </c>
      <c r="E445" s="282" t="s">
        <v>945</v>
      </c>
      <c r="F445" s="282">
        <v>4</v>
      </c>
      <c r="G445" s="282">
        <v>3000</v>
      </c>
      <c r="H445" s="282">
        <v>1</v>
      </c>
      <c r="I445" s="276">
        <f>D445*F445/G445*H445</f>
        <v>0.66666666666666663</v>
      </c>
      <c r="J445" s="99"/>
      <c r="K445" s="99"/>
      <c r="L445" s="99"/>
      <c r="M445" s="99"/>
      <c r="N445" s="99"/>
      <c r="O445" s="130"/>
    </row>
    <row r="446" spans="1:15" x14ac:dyDescent="0.25">
      <c r="A446" s="98"/>
      <c r="B446" s="95"/>
      <c r="C446" s="95"/>
      <c r="D446" s="95"/>
      <c r="E446" s="95"/>
      <c r="F446" s="95"/>
      <c r="G446" s="95"/>
      <c r="H446" s="256" t="s">
        <v>58</v>
      </c>
      <c r="I446" s="255">
        <f>SUM(I445:I445)</f>
        <v>0.66666666666666663</v>
      </c>
      <c r="J446" s="95"/>
      <c r="K446" s="94"/>
      <c r="L446" s="94"/>
      <c r="M446" s="94"/>
      <c r="N446" s="94"/>
      <c r="O446" s="93"/>
    </row>
    <row r="447" spans="1:15" ht="15.75" thickBot="1" x14ac:dyDescent="0.3">
      <c r="A447" s="92"/>
      <c r="B447" s="91"/>
      <c r="C447" s="91"/>
      <c r="D447" s="91"/>
      <c r="E447" s="91"/>
      <c r="F447" s="91"/>
      <c r="G447" s="91"/>
      <c r="H447" s="91"/>
      <c r="I447" s="91"/>
      <c r="J447" s="91"/>
      <c r="K447" s="91"/>
      <c r="L447" s="91"/>
      <c r="M447" s="91"/>
      <c r="N447" s="91"/>
      <c r="O447" s="90"/>
    </row>
    <row r="448" spans="1:15" ht="15.75" thickBot="1" x14ac:dyDescent="0.3"/>
    <row r="449" spans="1:15" x14ac:dyDescent="0.25">
      <c r="A449" s="141"/>
      <c r="B449" s="140"/>
      <c r="C449" s="140"/>
      <c r="D449" s="140"/>
      <c r="E449" s="140"/>
      <c r="F449" s="140"/>
      <c r="G449" s="140"/>
      <c r="H449" s="140"/>
      <c r="I449" s="140"/>
      <c r="J449" s="272"/>
      <c r="K449" s="140"/>
      <c r="L449" s="140"/>
      <c r="M449" s="140"/>
      <c r="N449" s="140"/>
      <c r="O449" s="139"/>
    </row>
    <row r="450" spans="1:15" x14ac:dyDescent="0.25">
      <c r="A450" s="267" t="s">
        <v>57</v>
      </c>
      <c r="B450" s="133" t="s">
        <v>523</v>
      </c>
      <c r="C450" s="94"/>
      <c r="D450" s="94"/>
      <c r="E450" s="94"/>
      <c r="F450" s="94"/>
      <c r="G450" s="94"/>
      <c r="H450" s="94"/>
      <c r="I450" s="94"/>
      <c r="J450" s="271" t="s">
        <v>51</v>
      </c>
      <c r="K450" s="138">
        <v>81</v>
      </c>
      <c r="L450" s="94"/>
      <c r="M450" s="267" t="s">
        <v>113</v>
      </c>
      <c r="N450" s="100">
        <f>EN_03003_m+EN_03003_p</f>
        <v>24.094630799999997</v>
      </c>
      <c r="O450" s="93"/>
    </row>
    <row r="451" spans="1:15" x14ac:dyDescent="0.25">
      <c r="A451" s="267" t="s">
        <v>125</v>
      </c>
      <c r="B451" s="133" t="s">
        <v>21</v>
      </c>
      <c r="C451" s="94"/>
      <c r="D451" s="267" t="s">
        <v>122</v>
      </c>
      <c r="E451" s="94"/>
      <c r="F451" s="94"/>
      <c r="G451" s="94"/>
      <c r="H451" s="94"/>
      <c r="I451" s="94"/>
      <c r="J451" s="94"/>
      <c r="K451" s="94"/>
      <c r="L451" s="94"/>
      <c r="M451" s="267" t="s">
        <v>124</v>
      </c>
      <c r="N451" s="136">
        <v>1</v>
      </c>
      <c r="O451" s="93"/>
    </row>
    <row r="452" spans="1:15" x14ac:dyDescent="0.25">
      <c r="A452" s="267" t="s">
        <v>123</v>
      </c>
      <c r="B452" s="270" t="str">
        <f>'EN Assemblies'!B112</f>
        <v>Fuel Tank assembly</v>
      </c>
      <c r="C452" s="94"/>
      <c r="D452" s="267" t="s">
        <v>119</v>
      </c>
      <c r="E452" s="94"/>
      <c r="F452" s="94"/>
      <c r="G452" s="94"/>
      <c r="H452" s="94"/>
      <c r="I452" s="94"/>
      <c r="J452" s="268" t="s">
        <v>122</v>
      </c>
      <c r="K452" s="94"/>
      <c r="L452" s="94"/>
      <c r="M452" s="94"/>
      <c r="N452" s="94"/>
      <c r="O452" s="93"/>
    </row>
    <row r="453" spans="1:15" x14ac:dyDescent="0.25">
      <c r="A453" s="267" t="s">
        <v>114</v>
      </c>
      <c r="B453" s="135" t="s">
        <v>944</v>
      </c>
      <c r="C453" s="94"/>
      <c r="D453" s="267" t="s">
        <v>116</v>
      </c>
      <c r="E453" s="94"/>
      <c r="F453" s="94"/>
      <c r="G453" s="94"/>
      <c r="H453" s="94"/>
      <c r="I453" s="94"/>
      <c r="J453" s="268" t="s">
        <v>119</v>
      </c>
      <c r="K453" s="94"/>
      <c r="L453" s="94"/>
      <c r="M453" s="267" t="s">
        <v>118</v>
      </c>
      <c r="N453" s="100">
        <f>N451*N450</f>
        <v>24.094630799999997</v>
      </c>
      <c r="O453" s="93"/>
    </row>
    <row r="454" spans="1:15" x14ac:dyDescent="0.25">
      <c r="A454" s="267" t="s">
        <v>121</v>
      </c>
      <c r="B454" s="269" t="s">
        <v>943</v>
      </c>
      <c r="C454" s="94"/>
      <c r="D454" s="94"/>
      <c r="E454" s="94"/>
      <c r="F454" s="94"/>
      <c r="G454" s="94"/>
      <c r="H454" s="94"/>
      <c r="I454" s="94"/>
      <c r="J454" s="268" t="s">
        <v>116</v>
      </c>
      <c r="K454" s="94"/>
      <c r="L454" s="94"/>
      <c r="M454" s="94"/>
      <c r="N454" s="94"/>
      <c r="O454" s="93"/>
    </row>
    <row r="455" spans="1:15" x14ac:dyDescent="0.25">
      <c r="A455" s="267" t="s">
        <v>117</v>
      </c>
      <c r="B455" s="133" t="s">
        <v>23</v>
      </c>
      <c r="C455" s="94"/>
      <c r="D455" s="94"/>
      <c r="E455" s="94"/>
      <c r="F455" s="94"/>
      <c r="G455" s="94"/>
      <c r="H455" s="94"/>
      <c r="I455" s="94"/>
      <c r="J455" s="94"/>
      <c r="K455" s="94"/>
      <c r="L455" s="94"/>
      <c r="M455" s="94"/>
      <c r="N455" s="94"/>
      <c r="O455" s="93"/>
    </row>
    <row r="456" spans="1:15" x14ac:dyDescent="0.25">
      <c r="A456" s="267" t="s">
        <v>115</v>
      </c>
      <c r="B456" s="133"/>
      <c r="C456" s="94"/>
      <c r="D456" s="94"/>
      <c r="E456" s="94"/>
      <c r="F456" s="94"/>
      <c r="G456" s="94"/>
      <c r="H456" s="94"/>
      <c r="I456" s="94"/>
      <c r="J456" s="94"/>
      <c r="K456" s="94"/>
      <c r="L456" s="94"/>
      <c r="M456" s="94"/>
      <c r="N456" s="94"/>
      <c r="O456" s="93"/>
    </row>
    <row r="457" spans="1:15" x14ac:dyDescent="0.25">
      <c r="A457" s="266"/>
      <c r="B457" s="265"/>
      <c r="C457" s="265"/>
      <c r="D457" s="265"/>
      <c r="E457" s="265"/>
      <c r="F457" s="94"/>
      <c r="G457" s="94"/>
      <c r="H457" s="94"/>
      <c r="I457" s="94"/>
      <c r="J457" s="94"/>
      <c r="K457" s="94"/>
      <c r="L457" s="94"/>
      <c r="M457" s="94"/>
      <c r="N457" s="94"/>
      <c r="O457" s="93"/>
    </row>
    <row r="458" spans="1:15" x14ac:dyDescent="0.25">
      <c r="A458" s="264" t="s">
        <v>67</v>
      </c>
      <c r="B458" s="263" t="s">
        <v>112</v>
      </c>
      <c r="C458" s="263" t="s">
        <v>66</v>
      </c>
      <c r="D458" s="263" t="s">
        <v>65</v>
      </c>
      <c r="E458" s="263" t="s">
        <v>81</v>
      </c>
      <c r="F458" s="274" t="s">
        <v>80</v>
      </c>
      <c r="G458" s="274" t="s">
        <v>79</v>
      </c>
      <c r="H458" s="274" t="s">
        <v>78</v>
      </c>
      <c r="I458" s="274" t="s">
        <v>111</v>
      </c>
      <c r="J458" s="274" t="s">
        <v>110</v>
      </c>
      <c r="K458" s="274" t="s">
        <v>109</v>
      </c>
      <c r="L458" s="274" t="s">
        <v>108</v>
      </c>
      <c r="M458" s="274" t="s">
        <v>40</v>
      </c>
      <c r="N458" s="274" t="s">
        <v>58</v>
      </c>
      <c r="O458" s="93"/>
    </row>
    <row r="459" spans="1:15" ht="30" x14ac:dyDescent="0.25">
      <c r="A459" s="282">
        <v>10</v>
      </c>
      <c r="B459" s="354" t="s">
        <v>942</v>
      </c>
      <c r="C459" s="378" t="s">
        <v>941</v>
      </c>
      <c r="D459" s="337">
        <v>4.2</v>
      </c>
      <c r="E459" s="282">
        <v>50</v>
      </c>
      <c r="F459" s="282" t="s">
        <v>68</v>
      </c>
      <c r="G459" s="282"/>
      <c r="H459" s="278"/>
      <c r="I459" s="281" t="s">
        <v>940</v>
      </c>
      <c r="J459" s="280">
        <v>1.9599999999999999E-3</v>
      </c>
      <c r="K459" s="279">
        <v>1.4999999999999999E-2</v>
      </c>
      <c r="L459" s="278">
        <v>2710</v>
      </c>
      <c r="M459" s="302">
        <v>1</v>
      </c>
      <c r="N459" s="276">
        <f>IF(J459="",D459*M459,D459*J459*K459*L459*M459)</f>
        <v>0.33463080000000001</v>
      </c>
      <c r="O459" s="143"/>
    </row>
    <row r="460" spans="1:15" ht="30" x14ac:dyDescent="0.25">
      <c r="A460" s="282">
        <v>20</v>
      </c>
      <c r="B460" s="354" t="s">
        <v>939</v>
      </c>
      <c r="C460" s="378"/>
      <c r="D460" s="337">
        <v>15</v>
      </c>
      <c r="E460" s="282"/>
      <c r="F460" s="282"/>
      <c r="G460" s="282"/>
      <c r="H460" s="278"/>
      <c r="I460" s="303"/>
      <c r="J460" s="381"/>
      <c r="K460" s="278"/>
      <c r="L460" s="278"/>
      <c r="M460" s="302">
        <v>1</v>
      </c>
      <c r="N460" s="276">
        <f>IF(J460="",D460*M460,D460*J460*K460*L460*M460)</f>
        <v>15</v>
      </c>
      <c r="O460" s="143"/>
    </row>
    <row r="461" spans="1:15" x14ac:dyDescent="0.25">
      <c r="A461" s="98"/>
      <c r="B461" s="95"/>
      <c r="C461" s="95"/>
      <c r="D461" s="95"/>
      <c r="E461" s="95"/>
      <c r="F461" s="95"/>
      <c r="G461" s="95"/>
      <c r="H461" s="95"/>
      <c r="I461" s="95"/>
      <c r="J461" s="95"/>
      <c r="K461" s="95"/>
      <c r="L461" s="95"/>
      <c r="M461" s="479" t="s">
        <v>58</v>
      </c>
      <c r="N461" s="255">
        <f>SUM(N459:N460)</f>
        <v>15.334630799999999</v>
      </c>
      <c r="O461" s="93"/>
    </row>
    <row r="462" spans="1:15" x14ac:dyDescent="0.25">
      <c r="A462" s="107"/>
      <c r="B462" s="94"/>
      <c r="C462" s="94"/>
      <c r="D462" s="94"/>
      <c r="E462" s="94"/>
      <c r="F462" s="94"/>
      <c r="G462" s="94"/>
      <c r="H462" s="94"/>
      <c r="I462" s="94"/>
      <c r="J462" s="94"/>
      <c r="K462" s="94"/>
      <c r="L462" s="94"/>
      <c r="M462" s="94"/>
      <c r="N462" s="94"/>
      <c r="O462" s="93"/>
    </row>
    <row r="463" spans="1:15" x14ac:dyDescent="0.25">
      <c r="A463" s="481" t="s">
        <v>67</v>
      </c>
      <c r="B463" s="274" t="s">
        <v>106</v>
      </c>
      <c r="C463" s="274" t="s">
        <v>66</v>
      </c>
      <c r="D463" s="274" t="s">
        <v>65</v>
      </c>
      <c r="E463" s="274" t="s">
        <v>64</v>
      </c>
      <c r="F463" s="274" t="s">
        <v>40</v>
      </c>
      <c r="G463" s="274" t="s">
        <v>105</v>
      </c>
      <c r="H463" s="274" t="s">
        <v>104</v>
      </c>
      <c r="I463" s="274" t="s">
        <v>58</v>
      </c>
      <c r="J463" s="95"/>
      <c r="K463" s="95"/>
      <c r="L463" s="95"/>
      <c r="M463" s="95"/>
      <c r="N463" s="95"/>
      <c r="O463" s="93"/>
    </row>
    <row r="464" spans="1:15" ht="30" x14ac:dyDescent="0.25">
      <c r="A464" s="325">
        <v>10</v>
      </c>
      <c r="B464" s="326" t="s">
        <v>938</v>
      </c>
      <c r="C464" s="325"/>
      <c r="D464" s="329">
        <v>1.3</v>
      </c>
      <c r="E464" s="326" t="s">
        <v>64</v>
      </c>
      <c r="F464" s="325">
        <v>1</v>
      </c>
      <c r="G464" s="325" t="s">
        <v>629</v>
      </c>
      <c r="H464" s="325">
        <v>1</v>
      </c>
      <c r="I464" s="293">
        <f t="shared" ref="I464:I469" si="5">IF(H464="",D464*F464,D464*F464*H464)</f>
        <v>1.3</v>
      </c>
      <c r="J464" s="142"/>
      <c r="K464" s="142"/>
      <c r="L464" s="142"/>
      <c r="M464" s="142"/>
      <c r="N464" s="142"/>
      <c r="O464" s="120"/>
    </row>
    <row r="465" spans="1:15" x14ac:dyDescent="0.25">
      <c r="A465" s="328">
        <v>20</v>
      </c>
      <c r="B465" s="328" t="s">
        <v>514</v>
      </c>
      <c r="C465" s="328"/>
      <c r="D465" s="329">
        <v>0.04</v>
      </c>
      <c r="E465" s="328" t="s">
        <v>512</v>
      </c>
      <c r="F465" s="333">
        <v>12</v>
      </c>
      <c r="G465" s="326" t="s">
        <v>629</v>
      </c>
      <c r="H465" s="325">
        <v>1</v>
      </c>
      <c r="I465" s="293">
        <f t="shared" si="5"/>
        <v>0.48</v>
      </c>
      <c r="J465" s="142"/>
      <c r="K465" s="142"/>
      <c r="L465" s="142"/>
      <c r="M465" s="142"/>
      <c r="N465" s="142"/>
      <c r="O465" s="120"/>
    </row>
    <row r="466" spans="1:15" x14ac:dyDescent="0.25">
      <c r="A466" s="328">
        <v>30</v>
      </c>
      <c r="B466" s="328" t="s">
        <v>631</v>
      </c>
      <c r="C466" s="328"/>
      <c r="D466" s="329">
        <v>0.1</v>
      </c>
      <c r="E466" s="328" t="s">
        <v>101</v>
      </c>
      <c r="F466" s="333">
        <v>50</v>
      </c>
      <c r="G466" s="326" t="s">
        <v>629</v>
      </c>
      <c r="H466" s="325">
        <v>1</v>
      </c>
      <c r="I466" s="293">
        <f t="shared" si="5"/>
        <v>5</v>
      </c>
      <c r="J466" s="142"/>
      <c r="K466" s="142"/>
      <c r="L466" s="142"/>
      <c r="M466" s="142"/>
      <c r="N466" s="142"/>
      <c r="O466" s="120"/>
    </row>
    <row r="467" spans="1:15" x14ac:dyDescent="0.25">
      <c r="A467" s="328">
        <v>40</v>
      </c>
      <c r="B467" s="328" t="s">
        <v>296</v>
      </c>
      <c r="C467" s="434" t="s">
        <v>937</v>
      </c>
      <c r="D467" s="329">
        <v>0.35</v>
      </c>
      <c r="E467" s="328" t="s">
        <v>294</v>
      </c>
      <c r="F467" s="333">
        <v>1</v>
      </c>
      <c r="G467" s="326"/>
      <c r="H467" s="325"/>
      <c r="I467" s="293">
        <f t="shared" si="5"/>
        <v>0.35</v>
      </c>
      <c r="J467" s="142"/>
      <c r="K467" s="142"/>
      <c r="L467" s="142"/>
      <c r="M467" s="142"/>
      <c r="N467" s="142"/>
      <c r="O467" s="120"/>
    </row>
    <row r="468" spans="1:15" x14ac:dyDescent="0.25">
      <c r="A468" s="328">
        <v>50</v>
      </c>
      <c r="B468" s="328" t="s">
        <v>145</v>
      </c>
      <c r="C468" s="434" t="s">
        <v>936</v>
      </c>
      <c r="D468" s="329">
        <v>0.13</v>
      </c>
      <c r="E468" s="328" t="s">
        <v>64</v>
      </c>
      <c r="F468" s="333">
        <v>1</v>
      </c>
      <c r="G468" s="326"/>
      <c r="H468" s="325"/>
      <c r="I468" s="293">
        <f t="shared" si="5"/>
        <v>0.13</v>
      </c>
      <c r="J468" s="142"/>
      <c r="K468" s="142"/>
      <c r="L468" s="142"/>
      <c r="M468" s="142"/>
      <c r="N468" s="142"/>
      <c r="O468" s="120"/>
    </row>
    <row r="469" spans="1:15" x14ac:dyDescent="0.25">
      <c r="A469" s="325">
        <v>60</v>
      </c>
      <c r="B469" s="326" t="s">
        <v>136</v>
      </c>
      <c r="C469" s="325" t="s">
        <v>935</v>
      </c>
      <c r="D469" s="329">
        <v>1.5</v>
      </c>
      <c r="E469" s="326" t="s">
        <v>64</v>
      </c>
      <c r="F469" s="325">
        <v>1</v>
      </c>
      <c r="G469" s="325"/>
      <c r="H469" s="325"/>
      <c r="I469" s="293">
        <f t="shared" si="5"/>
        <v>1.5</v>
      </c>
      <c r="J469" s="142"/>
      <c r="K469" s="142"/>
      <c r="L469" s="142"/>
      <c r="M469" s="142"/>
      <c r="N469" s="142"/>
      <c r="O469" s="120"/>
    </row>
    <row r="470" spans="1:15" x14ac:dyDescent="0.25">
      <c r="A470" s="98"/>
      <c r="B470" s="95"/>
      <c r="C470" s="95"/>
      <c r="D470" s="95"/>
      <c r="E470" s="95"/>
      <c r="F470" s="95"/>
      <c r="G470" s="95"/>
      <c r="H470" s="256" t="s">
        <v>58</v>
      </c>
      <c r="I470" s="255">
        <f>SUM(I464:I469)</f>
        <v>8.76</v>
      </c>
      <c r="J470" s="95"/>
      <c r="K470" s="95"/>
      <c r="L470" s="95"/>
      <c r="M470" s="95"/>
      <c r="N470" s="95"/>
      <c r="O470" s="93"/>
    </row>
    <row r="471" spans="1:15" x14ac:dyDescent="0.25">
      <c r="A471" s="107"/>
      <c r="B471" s="94"/>
      <c r="C471" s="94"/>
      <c r="D471" s="94"/>
      <c r="E471" s="94"/>
      <c r="F471" s="94"/>
      <c r="G471" s="94"/>
      <c r="H471" s="94"/>
      <c r="I471" s="99"/>
      <c r="J471" s="94"/>
      <c r="K471" s="94"/>
      <c r="L471" s="94"/>
      <c r="M471" s="94"/>
      <c r="N471" s="94"/>
      <c r="O471" s="93"/>
    </row>
    <row r="472" spans="1:15" ht="15.75" thickBot="1" x14ac:dyDescent="0.3">
      <c r="A472" s="92"/>
      <c r="B472" s="91"/>
      <c r="C472" s="91"/>
      <c r="D472" s="91"/>
      <c r="E472" s="91"/>
      <c r="F472" s="91"/>
      <c r="G472" s="91"/>
      <c r="H472" s="91"/>
      <c r="I472" s="91"/>
      <c r="J472" s="91"/>
      <c r="K472" s="91"/>
      <c r="L472" s="91"/>
      <c r="M472" s="91"/>
      <c r="N472" s="91"/>
      <c r="O472" s="90"/>
    </row>
    <row r="473" spans="1:15" ht="15.75" thickBot="1" x14ac:dyDescent="0.3"/>
    <row r="474" spans="1:15" x14ac:dyDescent="0.25">
      <c r="A474" s="141"/>
      <c r="B474" s="140"/>
      <c r="C474" s="140"/>
      <c r="D474" s="140"/>
      <c r="E474" s="140"/>
      <c r="F474" s="140"/>
      <c r="G474" s="140"/>
      <c r="H474" s="140"/>
      <c r="I474" s="140"/>
      <c r="J474" s="272"/>
      <c r="K474" s="140"/>
      <c r="L474" s="140"/>
      <c r="M474" s="140"/>
      <c r="N474" s="140"/>
      <c r="O474" s="139"/>
    </row>
    <row r="475" spans="1:15" x14ac:dyDescent="0.25">
      <c r="A475" s="267" t="s">
        <v>57</v>
      </c>
      <c r="B475" s="133" t="s">
        <v>523</v>
      </c>
      <c r="C475" s="94"/>
      <c r="D475" s="94"/>
      <c r="E475" s="94"/>
      <c r="F475" s="94"/>
      <c r="G475" s="94"/>
      <c r="H475" s="94"/>
      <c r="I475" s="94"/>
      <c r="J475" s="271" t="s">
        <v>51</v>
      </c>
      <c r="K475" s="138">
        <v>81</v>
      </c>
      <c r="L475" s="94"/>
      <c r="M475" s="267" t="s">
        <v>113</v>
      </c>
      <c r="N475" s="100">
        <f>EN_03004_m+EN_03004_p</f>
        <v>2.1969457200000004</v>
      </c>
      <c r="O475" s="93"/>
    </row>
    <row r="476" spans="1:15" x14ac:dyDescent="0.25">
      <c r="A476" s="267" t="s">
        <v>125</v>
      </c>
      <c r="B476" s="133" t="s">
        <v>21</v>
      </c>
      <c r="C476" s="94"/>
      <c r="D476" s="267" t="s">
        <v>122</v>
      </c>
      <c r="E476" s="94"/>
      <c r="F476" s="94"/>
      <c r="G476" s="94"/>
      <c r="H476" s="94"/>
      <c r="I476" s="94"/>
      <c r="J476" s="94"/>
      <c r="K476" s="94"/>
      <c r="L476" s="94"/>
      <c r="M476" s="267" t="s">
        <v>124</v>
      </c>
      <c r="N476" s="136">
        <v>1</v>
      </c>
      <c r="O476" s="93"/>
    </row>
    <row r="477" spans="1:15" x14ac:dyDescent="0.25">
      <c r="A477" s="267" t="s">
        <v>123</v>
      </c>
      <c r="B477" s="270" t="str">
        <f>'EN Assemblies'!B112</f>
        <v>Fuel Tank assembly</v>
      </c>
      <c r="C477" s="94"/>
      <c r="D477" s="267" t="s">
        <v>119</v>
      </c>
      <c r="E477" s="94"/>
      <c r="F477" s="94"/>
      <c r="G477" s="94"/>
      <c r="H477" s="94"/>
      <c r="I477" s="94"/>
      <c r="J477" s="268" t="s">
        <v>122</v>
      </c>
      <c r="K477" s="94"/>
      <c r="L477" s="94"/>
      <c r="M477" s="94"/>
      <c r="N477" s="94"/>
      <c r="O477" s="93"/>
    </row>
    <row r="478" spans="1:15" x14ac:dyDescent="0.25">
      <c r="A478" s="267" t="s">
        <v>114</v>
      </c>
      <c r="B478" s="135" t="s">
        <v>934</v>
      </c>
      <c r="C478" s="94"/>
      <c r="D478" s="267" t="s">
        <v>116</v>
      </c>
      <c r="E478" s="94"/>
      <c r="F478" s="94"/>
      <c r="G478" s="94"/>
      <c r="H478" s="94"/>
      <c r="I478" s="94"/>
      <c r="J478" s="268" t="s">
        <v>119</v>
      </c>
      <c r="K478" s="94"/>
      <c r="L478" s="94"/>
      <c r="M478" s="267" t="s">
        <v>118</v>
      </c>
      <c r="N478" s="100">
        <f>N476*N475</f>
        <v>2.1969457200000004</v>
      </c>
      <c r="O478" s="93"/>
    </row>
    <row r="479" spans="1:15" x14ac:dyDescent="0.25">
      <c r="A479" s="267" t="s">
        <v>121</v>
      </c>
      <c r="B479" s="269" t="s">
        <v>933</v>
      </c>
      <c r="C479" s="94"/>
      <c r="D479" s="94"/>
      <c r="E479" s="94"/>
      <c r="F479" s="94"/>
      <c r="G479" s="94"/>
      <c r="H479" s="94"/>
      <c r="I479" s="94"/>
      <c r="J479" s="268" t="s">
        <v>116</v>
      </c>
      <c r="K479" s="94"/>
      <c r="L479" s="94"/>
      <c r="M479" s="94"/>
      <c r="N479" s="94"/>
      <c r="O479" s="93"/>
    </row>
    <row r="480" spans="1:15" x14ac:dyDescent="0.25">
      <c r="A480" s="267" t="s">
        <v>117</v>
      </c>
      <c r="B480" s="133" t="s">
        <v>23</v>
      </c>
      <c r="C480" s="94"/>
      <c r="D480" s="94"/>
      <c r="E480" s="94"/>
      <c r="F480" s="94"/>
      <c r="G480" s="94"/>
      <c r="H480" s="94"/>
      <c r="I480" s="94"/>
      <c r="J480" s="94"/>
      <c r="K480" s="94"/>
      <c r="L480" s="94"/>
      <c r="M480" s="94"/>
      <c r="N480" s="94"/>
      <c r="O480" s="93"/>
    </row>
    <row r="481" spans="1:15" x14ac:dyDescent="0.25">
      <c r="A481" s="267" t="s">
        <v>115</v>
      </c>
      <c r="B481" s="133" t="s">
        <v>932</v>
      </c>
      <c r="C481" s="94"/>
      <c r="D481" s="94"/>
      <c r="E481" s="94"/>
      <c r="F481" s="94"/>
      <c r="G481" s="94"/>
      <c r="H481" s="94"/>
      <c r="I481" s="94"/>
      <c r="J481" s="94"/>
      <c r="K481" s="94"/>
      <c r="L481" s="94"/>
      <c r="M481" s="94"/>
      <c r="N481" s="94"/>
      <c r="O481" s="93"/>
    </row>
    <row r="482" spans="1:15" x14ac:dyDescent="0.25">
      <c r="A482" s="266"/>
      <c r="B482" s="265"/>
      <c r="C482" s="265"/>
      <c r="D482" s="265"/>
      <c r="E482" s="265"/>
      <c r="F482" s="94"/>
      <c r="G482" s="94"/>
      <c r="H482" s="94"/>
      <c r="I482" s="94"/>
      <c r="J482" s="94"/>
      <c r="K482" s="94"/>
      <c r="L482" s="94"/>
      <c r="M482" s="94"/>
      <c r="N482" s="94"/>
      <c r="O482" s="93"/>
    </row>
    <row r="483" spans="1:15" x14ac:dyDescent="0.25">
      <c r="A483" s="264" t="s">
        <v>67</v>
      </c>
      <c r="B483" s="263" t="s">
        <v>112</v>
      </c>
      <c r="C483" s="263" t="s">
        <v>66</v>
      </c>
      <c r="D483" s="263" t="s">
        <v>65</v>
      </c>
      <c r="E483" s="263" t="s">
        <v>81</v>
      </c>
      <c r="F483" s="274" t="s">
        <v>80</v>
      </c>
      <c r="G483" s="274" t="s">
        <v>79</v>
      </c>
      <c r="H483" s="274" t="s">
        <v>78</v>
      </c>
      <c r="I483" s="274" t="s">
        <v>111</v>
      </c>
      <c r="J483" s="274" t="s">
        <v>110</v>
      </c>
      <c r="K483" s="274" t="s">
        <v>109</v>
      </c>
      <c r="L483" s="274" t="s">
        <v>108</v>
      </c>
      <c r="M483" s="274" t="s">
        <v>40</v>
      </c>
      <c r="N483" s="274" t="s">
        <v>58</v>
      </c>
      <c r="O483" s="93"/>
    </row>
    <row r="484" spans="1:15" ht="30" x14ac:dyDescent="0.25">
      <c r="A484" s="282">
        <v>10</v>
      </c>
      <c r="B484" s="282" t="s">
        <v>880</v>
      </c>
      <c r="C484" s="282" t="s">
        <v>889</v>
      </c>
      <c r="D484" s="283">
        <v>4.2</v>
      </c>
      <c r="E484" s="282">
        <v>15</v>
      </c>
      <c r="F484" s="282" t="s">
        <v>68</v>
      </c>
      <c r="G484" s="282">
        <v>2</v>
      </c>
      <c r="H484" s="278" t="s">
        <v>68</v>
      </c>
      <c r="I484" s="281" t="s">
        <v>931</v>
      </c>
      <c r="J484" s="280">
        <v>3.0000000000000001E-5</v>
      </c>
      <c r="K484" s="279">
        <v>0.182</v>
      </c>
      <c r="L484" s="278">
        <v>2710</v>
      </c>
      <c r="M484" s="284">
        <v>1</v>
      </c>
      <c r="N484" s="276">
        <f>IF(J484="",D484*M484,D484*J484*K484*L484*M484)</f>
        <v>6.2145720000000002E-2</v>
      </c>
      <c r="O484" s="143"/>
    </row>
    <row r="485" spans="1:15" x14ac:dyDescent="0.25">
      <c r="A485" s="98"/>
      <c r="B485" s="95"/>
      <c r="C485" s="95"/>
      <c r="D485" s="95"/>
      <c r="E485" s="95"/>
      <c r="F485" s="95"/>
      <c r="G485" s="95"/>
      <c r="H485" s="95"/>
      <c r="I485" s="95"/>
      <c r="J485" s="95"/>
      <c r="K485" s="95"/>
      <c r="L485" s="95"/>
      <c r="M485" s="479" t="s">
        <v>58</v>
      </c>
      <c r="N485" s="255">
        <f>SUM(N484:N484)</f>
        <v>6.2145720000000002E-2</v>
      </c>
      <c r="O485" s="93"/>
    </row>
    <row r="486" spans="1:15" x14ac:dyDescent="0.25">
      <c r="A486" s="107"/>
      <c r="B486" s="94"/>
      <c r="C486" s="94"/>
      <c r="D486" s="94"/>
      <c r="E486" s="94"/>
      <c r="F486" s="94"/>
      <c r="G486" s="94"/>
      <c r="H486" s="94"/>
      <c r="I486" s="94"/>
      <c r="J486" s="94"/>
      <c r="K486" s="94"/>
      <c r="L486" s="94"/>
      <c r="M486" s="94"/>
      <c r="N486" s="94"/>
      <c r="O486" s="93"/>
    </row>
    <row r="487" spans="1:15" x14ac:dyDescent="0.25">
      <c r="A487" s="446" t="s">
        <v>67</v>
      </c>
      <c r="B487" s="274" t="s">
        <v>106</v>
      </c>
      <c r="C487" s="274" t="s">
        <v>66</v>
      </c>
      <c r="D487" s="274" t="s">
        <v>65</v>
      </c>
      <c r="E487" s="274" t="s">
        <v>64</v>
      </c>
      <c r="F487" s="274" t="s">
        <v>40</v>
      </c>
      <c r="G487" s="274" t="s">
        <v>105</v>
      </c>
      <c r="H487" s="274" t="s">
        <v>104</v>
      </c>
      <c r="I487" s="274" t="s">
        <v>58</v>
      </c>
      <c r="J487" s="95"/>
      <c r="K487" s="95"/>
      <c r="L487" s="95"/>
      <c r="M487" s="95"/>
      <c r="N487" s="95"/>
      <c r="O487" s="93"/>
    </row>
    <row r="488" spans="1:15" ht="30" x14ac:dyDescent="0.25">
      <c r="A488" s="282">
        <v>10</v>
      </c>
      <c r="B488" s="477" t="s">
        <v>516</v>
      </c>
      <c r="C488" s="493" t="s">
        <v>528</v>
      </c>
      <c r="D488" s="489">
        <v>1.3</v>
      </c>
      <c r="E488" s="478" t="s">
        <v>64</v>
      </c>
      <c r="F488" s="478">
        <v>1</v>
      </c>
      <c r="G488" s="478"/>
      <c r="H488" s="478"/>
      <c r="I488" s="492">
        <f>IF(H488="",D488*F488,D488*F488*H488)</f>
        <v>1.3</v>
      </c>
      <c r="J488" s="142"/>
      <c r="K488" s="142"/>
      <c r="L488" s="142"/>
      <c r="M488" s="142"/>
      <c r="N488" s="142"/>
      <c r="O488" s="120"/>
    </row>
    <row r="489" spans="1:15" x14ac:dyDescent="0.25">
      <c r="A489" s="478">
        <v>20</v>
      </c>
      <c r="B489" s="493" t="s">
        <v>527</v>
      </c>
      <c r="C489" s="493"/>
      <c r="D489" s="489">
        <v>0.01</v>
      </c>
      <c r="E489" s="478" t="s">
        <v>101</v>
      </c>
      <c r="F489" s="478">
        <v>8.48</v>
      </c>
      <c r="G489" s="478" t="s">
        <v>870</v>
      </c>
      <c r="H489" s="478">
        <v>1</v>
      </c>
      <c r="I489" s="492">
        <f>IF(H489="",D489*F489,D489*F489*H489)</f>
        <v>8.48E-2</v>
      </c>
      <c r="J489" s="94"/>
      <c r="K489" s="94"/>
      <c r="L489" s="94"/>
      <c r="M489" s="94"/>
      <c r="N489" s="94"/>
      <c r="O489" s="93"/>
    </row>
    <row r="490" spans="1:15" x14ac:dyDescent="0.25">
      <c r="A490" s="478">
        <v>30</v>
      </c>
      <c r="B490" s="491" t="s">
        <v>539</v>
      </c>
      <c r="C490" s="490"/>
      <c r="D490" s="489">
        <v>0.25</v>
      </c>
      <c r="E490" s="478" t="s">
        <v>537</v>
      </c>
      <c r="F490" s="478">
        <v>3</v>
      </c>
      <c r="G490" s="478"/>
      <c r="H490" s="478"/>
      <c r="I490" s="483">
        <f>IF(H490="",D490*F490,D490*F490*H490)</f>
        <v>0.75</v>
      </c>
      <c r="J490" s="99"/>
      <c r="K490" s="99"/>
      <c r="L490" s="99"/>
      <c r="M490" s="99"/>
      <c r="N490" s="99"/>
      <c r="O490" s="130"/>
    </row>
    <row r="491" spans="1:15" x14ac:dyDescent="0.25">
      <c r="A491" s="98"/>
      <c r="B491" s="95"/>
      <c r="C491" s="95"/>
      <c r="D491" s="95"/>
      <c r="E491" s="95"/>
      <c r="F491" s="95"/>
      <c r="G491" s="95"/>
      <c r="H491" s="256" t="s">
        <v>58</v>
      </c>
      <c r="I491" s="255">
        <f>SUM(I488:I490)</f>
        <v>2.1348000000000003</v>
      </c>
      <c r="J491" s="95"/>
      <c r="K491" s="95"/>
      <c r="L491" s="95"/>
      <c r="M491" s="95"/>
      <c r="N491" s="95"/>
      <c r="O491" s="93"/>
    </row>
    <row r="492" spans="1:15" x14ac:dyDescent="0.25">
      <c r="A492" s="107"/>
      <c r="B492" s="94"/>
      <c r="C492" s="94"/>
      <c r="D492" s="94"/>
      <c r="E492" s="94"/>
      <c r="F492" s="94"/>
      <c r="G492" s="94"/>
      <c r="H492" s="94"/>
      <c r="I492" s="99"/>
      <c r="J492" s="94"/>
      <c r="K492" s="94"/>
      <c r="L492" s="94"/>
      <c r="M492" s="94"/>
      <c r="N492" s="94"/>
      <c r="O492" s="93"/>
    </row>
    <row r="493" spans="1:15" ht="15.75" thickBot="1" x14ac:dyDescent="0.3">
      <c r="A493" s="92"/>
      <c r="B493" s="91"/>
      <c r="C493" s="91"/>
      <c r="D493" s="91"/>
      <c r="E493" s="91"/>
      <c r="F493" s="91"/>
      <c r="G493" s="91"/>
      <c r="H493" s="91"/>
      <c r="I493" s="91"/>
      <c r="J493" s="91"/>
      <c r="K493" s="91"/>
      <c r="L493" s="91"/>
      <c r="M493" s="91"/>
      <c r="N493" s="91"/>
      <c r="O493" s="90"/>
    </row>
    <row r="494" spans="1:15" ht="15.75" thickBot="1" x14ac:dyDescent="0.3"/>
    <row r="495" spans="1:15" x14ac:dyDescent="0.25">
      <c r="A495" s="141"/>
      <c r="B495" s="140"/>
      <c r="C495" s="140"/>
      <c r="D495" s="140"/>
      <c r="E495" s="140"/>
      <c r="F495" s="140"/>
      <c r="G495" s="140"/>
      <c r="H495" s="140"/>
      <c r="I495" s="140"/>
      <c r="J495" s="272"/>
      <c r="K495" s="140"/>
      <c r="L495" s="140"/>
      <c r="M495" s="140"/>
      <c r="N495" s="140"/>
      <c r="O495" s="139"/>
    </row>
    <row r="496" spans="1:15" x14ac:dyDescent="0.25">
      <c r="A496" s="267" t="s">
        <v>57</v>
      </c>
      <c r="B496" s="133" t="s">
        <v>523</v>
      </c>
      <c r="C496" s="94"/>
      <c r="D496" s="94"/>
      <c r="E496" s="94"/>
      <c r="F496" s="94"/>
      <c r="G496" s="94"/>
      <c r="H496" s="94"/>
      <c r="I496" s="94"/>
      <c r="J496" s="271" t="s">
        <v>51</v>
      </c>
      <c r="K496" s="138">
        <v>81</v>
      </c>
      <c r="L496" s="94"/>
      <c r="M496" s="267" t="s">
        <v>113</v>
      </c>
      <c r="N496" s="100">
        <f>EN_03005_m+EN_03005_p</f>
        <v>2.2582912500000001</v>
      </c>
      <c r="O496" s="93"/>
    </row>
    <row r="497" spans="1:15" x14ac:dyDescent="0.25">
      <c r="A497" s="267" t="s">
        <v>125</v>
      </c>
      <c r="B497" s="133" t="s">
        <v>21</v>
      </c>
      <c r="C497" s="94"/>
      <c r="D497" s="267" t="s">
        <v>122</v>
      </c>
      <c r="E497" s="270" t="s">
        <v>522</v>
      </c>
      <c r="F497" s="94"/>
      <c r="G497" s="94"/>
      <c r="H497" s="94"/>
      <c r="I497" s="94"/>
      <c r="J497" s="94"/>
      <c r="K497" s="94"/>
      <c r="L497" s="94"/>
      <c r="M497" s="267" t="s">
        <v>124</v>
      </c>
      <c r="N497" s="136">
        <v>1</v>
      </c>
      <c r="O497" s="93"/>
    </row>
    <row r="498" spans="1:15" x14ac:dyDescent="0.25">
      <c r="A498" s="267" t="s">
        <v>123</v>
      </c>
      <c r="B498" s="270" t="str">
        <f>'EN Assemblies'!B112</f>
        <v>Fuel Tank assembly</v>
      </c>
      <c r="C498" s="94"/>
      <c r="D498" s="267" t="s">
        <v>119</v>
      </c>
      <c r="E498" s="94"/>
      <c r="F498" s="94"/>
      <c r="G498" s="94"/>
      <c r="H498" s="94"/>
      <c r="I498" s="94"/>
      <c r="J498" s="268" t="s">
        <v>122</v>
      </c>
      <c r="K498" s="94"/>
      <c r="L498" s="94"/>
      <c r="M498" s="94"/>
      <c r="N498" s="94"/>
      <c r="O498" s="93"/>
    </row>
    <row r="499" spans="1:15" x14ac:dyDescent="0.25">
      <c r="A499" s="267" t="s">
        <v>114</v>
      </c>
      <c r="B499" s="135" t="s">
        <v>930</v>
      </c>
      <c r="C499" s="94"/>
      <c r="D499" s="267" t="s">
        <v>116</v>
      </c>
      <c r="E499" s="94"/>
      <c r="F499" s="94"/>
      <c r="G499" s="94"/>
      <c r="H499" s="94"/>
      <c r="I499" s="94"/>
      <c r="J499" s="268" t="s">
        <v>119</v>
      </c>
      <c r="K499" s="94"/>
      <c r="L499" s="94"/>
      <c r="M499" s="267" t="s">
        <v>118</v>
      </c>
      <c r="N499" s="100">
        <f>N497*N496</f>
        <v>2.2582912500000001</v>
      </c>
      <c r="O499" s="93"/>
    </row>
    <row r="500" spans="1:15" x14ac:dyDescent="0.25">
      <c r="A500" s="267" t="s">
        <v>121</v>
      </c>
      <c r="B500" s="269" t="s">
        <v>929</v>
      </c>
      <c r="C500" s="94"/>
      <c r="D500" s="94"/>
      <c r="E500" s="94"/>
      <c r="F500" s="94"/>
      <c r="G500" s="94"/>
      <c r="H500" s="94"/>
      <c r="I500" s="94"/>
      <c r="J500" s="268" t="s">
        <v>116</v>
      </c>
      <c r="K500" s="94"/>
      <c r="L500" s="94"/>
      <c r="M500" s="94"/>
      <c r="N500" s="94"/>
      <c r="O500" s="93"/>
    </row>
    <row r="501" spans="1:15" x14ac:dyDescent="0.25">
      <c r="A501" s="267" t="s">
        <v>117</v>
      </c>
      <c r="B501" s="133" t="s">
        <v>23</v>
      </c>
      <c r="C501" s="94"/>
      <c r="D501" s="94"/>
      <c r="E501" s="94"/>
      <c r="F501" s="94"/>
      <c r="G501" s="94"/>
      <c r="H501" s="94"/>
      <c r="I501" s="94"/>
      <c r="J501" s="94"/>
      <c r="K501" s="94"/>
      <c r="L501" s="94"/>
      <c r="M501" s="94"/>
      <c r="N501" s="94"/>
      <c r="O501" s="93"/>
    </row>
    <row r="502" spans="1:15" x14ac:dyDescent="0.25">
      <c r="A502" s="267" t="s">
        <v>115</v>
      </c>
      <c r="B502" s="133" t="s">
        <v>928</v>
      </c>
      <c r="C502" s="94"/>
      <c r="D502" s="94"/>
      <c r="E502" s="94"/>
      <c r="F502" s="94"/>
      <c r="G502" s="94"/>
      <c r="H502" s="94"/>
      <c r="I502" s="94"/>
      <c r="J502" s="94"/>
      <c r="K502" s="94"/>
      <c r="L502" s="94"/>
      <c r="M502" s="94"/>
      <c r="N502" s="94"/>
      <c r="O502" s="93"/>
    </row>
    <row r="503" spans="1:15" x14ac:dyDescent="0.25">
      <c r="A503" s="266"/>
      <c r="B503" s="265"/>
      <c r="C503" s="265"/>
      <c r="D503" s="265"/>
      <c r="E503" s="265"/>
      <c r="F503" s="94"/>
      <c r="G503" s="94"/>
      <c r="H503" s="94"/>
      <c r="I503" s="94"/>
      <c r="J503" s="94"/>
      <c r="K503" s="94"/>
      <c r="L503" s="94"/>
      <c r="M503" s="94"/>
      <c r="N503" s="94"/>
      <c r="O503" s="93"/>
    </row>
    <row r="504" spans="1:15" x14ac:dyDescent="0.25">
      <c r="A504" s="264" t="s">
        <v>67</v>
      </c>
      <c r="B504" s="263" t="s">
        <v>112</v>
      </c>
      <c r="C504" s="263" t="s">
        <v>66</v>
      </c>
      <c r="D504" s="263" t="s">
        <v>65</v>
      </c>
      <c r="E504" s="263" t="s">
        <v>81</v>
      </c>
      <c r="F504" s="480" t="s">
        <v>80</v>
      </c>
      <c r="G504" s="480" t="s">
        <v>79</v>
      </c>
      <c r="H504" s="480" t="s">
        <v>78</v>
      </c>
      <c r="I504" s="480" t="s">
        <v>111</v>
      </c>
      <c r="J504" s="480" t="s">
        <v>110</v>
      </c>
      <c r="K504" s="480" t="s">
        <v>109</v>
      </c>
      <c r="L504" s="480" t="s">
        <v>108</v>
      </c>
      <c r="M504" s="480" t="s">
        <v>40</v>
      </c>
      <c r="N504" s="480" t="s">
        <v>58</v>
      </c>
      <c r="O504" s="93"/>
    </row>
    <row r="505" spans="1:15" ht="33.75" customHeight="1" x14ac:dyDescent="0.25">
      <c r="A505" s="478">
        <v>10</v>
      </c>
      <c r="B505" s="478" t="s">
        <v>519</v>
      </c>
      <c r="C505" s="478" t="s">
        <v>927</v>
      </c>
      <c r="D505" s="489">
        <v>2.25</v>
      </c>
      <c r="E505" s="478">
        <v>25</v>
      </c>
      <c r="F505" s="478" t="s">
        <v>68</v>
      </c>
      <c r="G505" s="478">
        <v>2</v>
      </c>
      <c r="H505" s="485" t="s">
        <v>68</v>
      </c>
      <c r="I505" s="488" t="s">
        <v>926</v>
      </c>
      <c r="J505" s="487">
        <v>5.0000000000000002E-5</v>
      </c>
      <c r="K505" s="486">
        <v>4.4999999999999998E-2</v>
      </c>
      <c r="L505" s="485">
        <v>7860</v>
      </c>
      <c r="M505" s="484">
        <v>1</v>
      </c>
      <c r="N505" s="483">
        <f>IF(J505="",D505*M505,D505*J505*K505*L505*M505)</f>
        <v>3.979125E-2</v>
      </c>
      <c r="O505" s="143"/>
    </row>
    <row r="506" spans="1:15" x14ac:dyDescent="0.25">
      <c r="A506" s="478">
        <v>20</v>
      </c>
      <c r="B506" s="478" t="s">
        <v>250</v>
      </c>
      <c r="C506" s="478" t="s">
        <v>619</v>
      </c>
      <c r="D506" s="489">
        <v>10</v>
      </c>
      <c r="E506" s="478">
        <v>2E-3</v>
      </c>
      <c r="F506" s="478" t="s">
        <v>299</v>
      </c>
      <c r="G506" s="478"/>
      <c r="H506" s="485"/>
      <c r="I506" s="488"/>
      <c r="J506" s="487">
        <v>2E-3</v>
      </c>
      <c r="K506" s="486">
        <v>1</v>
      </c>
      <c r="L506" s="485">
        <v>1</v>
      </c>
      <c r="M506" s="484">
        <v>1</v>
      </c>
      <c r="N506" s="483">
        <f>IF(J506="",D506*M506,D506*J506*K506*L506*M506)</f>
        <v>0.02</v>
      </c>
      <c r="O506" s="143"/>
    </row>
    <row r="507" spans="1:15" x14ac:dyDescent="0.25">
      <c r="A507" s="98"/>
      <c r="B507" s="95"/>
      <c r="C507" s="95"/>
      <c r="D507" s="95"/>
      <c r="E507" s="95"/>
      <c r="F507" s="95"/>
      <c r="G507" s="95"/>
      <c r="H507" s="95"/>
      <c r="I507" s="95"/>
      <c r="J507" s="95"/>
      <c r="K507" s="95"/>
      <c r="L507" s="95"/>
      <c r="M507" s="482" t="s">
        <v>58</v>
      </c>
      <c r="N507" s="255">
        <f>SUM(N505:N506)</f>
        <v>5.9791250000000004E-2</v>
      </c>
      <c r="O507" s="93"/>
    </row>
    <row r="508" spans="1:15" x14ac:dyDescent="0.25">
      <c r="A508" s="107"/>
      <c r="B508" s="94"/>
      <c r="C508" s="94"/>
      <c r="D508" s="94"/>
      <c r="E508" s="94"/>
      <c r="F508" s="94"/>
      <c r="G508" s="94"/>
      <c r="H508" s="94"/>
      <c r="I508" s="94"/>
      <c r="J508" s="94"/>
      <c r="K508" s="94"/>
      <c r="L508" s="94"/>
      <c r="M508" s="94"/>
      <c r="N508" s="94"/>
      <c r="O508" s="93"/>
    </row>
    <row r="509" spans="1:15" x14ac:dyDescent="0.25">
      <c r="A509" s="481" t="s">
        <v>67</v>
      </c>
      <c r="B509" s="480" t="s">
        <v>106</v>
      </c>
      <c r="C509" s="480" t="s">
        <v>66</v>
      </c>
      <c r="D509" s="480" t="s">
        <v>65</v>
      </c>
      <c r="E509" s="480" t="s">
        <v>64</v>
      </c>
      <c r="F509" s="480" t="s">
        <v>40</v>
      </c>
      <c r="G509" s="480" t="s">
        <v>105</v>
      </c>
      <c r="H509" s="480" t="s">
        <v>104</v>
      </c>
      <c r="I509" s="480" t="s">
        <v>58</v>
      </c>
      <c r="J509" s="95"/>
      <c r="K509" s="95"/>
      <c r="L509" s="95"/>
      <c r="M509" s="95"/>
      <c r="N509" s="95"/>
      <c r="O509" s="93"/>
    </row>
    <row r="510" spans="1:15" ht="30" x14ac:dyDescent="0.25">
      <c r="A510" s="478">
        <v>10</v>
      </c>
      <c r="B510" s="477" t="s">
        <v>516</v>
      </c>
      <c r="C510" s="285" t="s">
        <v>528</v>
      </c>
      <c r="D510" s="283">
        <v>1.3</v>
      </c>
      <c r="E510" s="282" t="s">
        <v>64</v>
      </c>
      <c r="F510" s="282">
        <v>1</v>
      </c>
      <c r="G510" s="282"/>
      <c r="H510" s="282"/>
      <c r="I510" s="293">
        <f>IF(H510="",D510*F510,D510*F510*H510)</f>
        <v>1.3</v>
      </c>
      <c r="J510" s="142"/>
      <c r="K510" s="142"/>
      <c r="L510" s="142"/>
      <c r="M510" s="142"/>
      <c r="N510" s="142"/>
      <c r="O510" s="120"/>
    </row>
    <row r="511" spans="1:15" x14ac:dyDescent="0.25">
      <c r="A511" s="282">
        <v>20</v>
      </c>
      <c r="B511" s="285" t="s">
        <v>541</v>
      </c>
      <c r="C511" s="285" t="s">
        <v>925</v>
      </c>
      <c r="D511" s="283">
        <v>0.01</v>
      </c>
      <c r="E511" s="282" t="s">
        <v>101</v>
      </c>
      <c r="F511" s="282">
        <v>29.6</v>
      </c>
      <c r="G511" s="282" t="s">
        <v>525</v>
      </c>
      <c r="H511" s="282">
        <v>3</v>
      </c>
      <c r="I511" s="293">
        <f>IF(H511="",D511*F511,D511*F511*H511)</f>
        <v>0.88800000000000012</v>
      </c>
      <c r="J511" s="94"/>
      <c r="K511" s="94"/>
      <c r="L511" s="94"/>
      <c r="M511" s="94"/>
      <c r="N511" s="94"/>
      <c r="O511" s="93"/>
    </row>
    <row r="512" spans="1:15" x14ac:dyDescent="0.25">
      <c r="A512" s="282">
        <v>30</v>
      </c>
      <c r="B512" s="309" t="s">
        <v>243</v>
      </c>
      <c r="C512" s="376" t="s">
        <v>619</v>
      </c>
      <c r="D512" s="283">
        <v>5.25</v>
      </c>
      <c r="E512" s="282" t="s">
        <v>299</v>
      </c>
      <c r="F512" s="282">
        <v>2E-3</v>
      </c>
      <c r="G512" s="282"/>
      <c r="H512" s="282"/>
      <c r="I512" s="276">
        <f>IF(H512="",D512*F512,D512*F512*H512)</f>
        <v>1.0500000000000001E-2</v>
      </c>
      <c r="J512" s="99"/>
      <c r="K512" s="99"/>
      <c r="L512" s="99"/>
      <c r="M512" s="99"/>
      <c r="N512" s="99"/>
      <c r="O512" s="130"/>
    </row>
    <row r="513" spans="1:15" x14ac:dyDescent="0.25">
      <c r="A513" s="98"/>
      <c r="B513" s="95"/>
      <c r="C513" s="95"/>
      <c r="D513" s="95"/>
      <c r="E513" s="95"/>
      <c r="F513" s="95"/>
      <c r="G513" s="95"/>
      <c r="H513" s="256" t="s">
        <v>58</v>
      </c>
      <c r="I513" s="255">
        <f>SUM(I510:I512)</f>
        <v>2.1985000000000001</v>
      </c>
      <c r="J513" s="95"/>
      <c r="K513" s="95"/>
      <c r="L513" s="95"/>
      <c r="M513" s="95"/>
      <c r="N513" s="95"/>
      <c r="O513" s="93"/>
    </row>
    <row r="514" spans="1:15" x14ac:dyDescent="0.25">
      <c r="A514" s="107"/>
      <c r="B514" s="94"/>
      <c r="C514" s="94"/>
      <c r="D514" s="94"/>
      <c r="E514" s="94"/>
      <c r="F514" s="94"/>
      <c r="G514" s="94"/>
      <c r="H514" s="94"/>
      <c r="I514" s="99"/>
      <c r="J514" s="94"/>
      <c r="K514" s="94"/>
      <c r="L514" s="94"/>
      <c r="M514" s="94"/>
      <c r="N514" s="94"/>
      <c r="O514" s="93"/>
    </row>
    <row r="515" spans="1:15" ht="15.75" thickBot="1" x14ac:dyDescent="0.3">
      <c r="A515" s="92"/>
      <c r="B515" s="91"/>
      <c r="C515" s="91"/>
      <c r="D515" s="91"/>
      <c r="E515" s="91"/>
      <c r="F515" s="91"/>
      <c r="G515" s="91"/>
      <c r="H515" s="91"/>
      <c r="I515" s="91"/>
      <c r="J515" s="91"/>
      <c r="K515" s="91"/>
      <c r="L515" s="91"/>
      <c r="M515" s="91"/>
      <c r="N515" s="91"/>
      <c r="O515" s="90"/>
    </row>
    <row r="516" spans="1:15" ht="15.75" thickBot="1" x14ac:dyDescent="0.3"/>
    <row r="517" spans="1:15" x14ac:dyDescent="0.25">
      <c r="A517" s="141"/>
      <c r="B517" s="140"/>
      <c r="C517" s="140"/>
      <c r="D517" s="140"/>
      <c r="E517" s="140"/>
      <c r="F517" s="140"/>
      <c r="G517" s="140"/>
      <c r="H517" s="140"/>
      <c r="I517" s="140"/>
      <c r="J517" s="272"/>
      <c r="K517" s="140"/>
      <c r="L517" s="140"/>
      <c r="M517" s="140"/>
      <c r="N517" s="140"/>
      <c r="O517" s="139"/>
    </row>
    <row r="518" spans="1:15" x14ac:dyDescent="0.25">
      <c r="A518" s="267" t="s">
        <v>57</v>
      </c>
      <c r="B518" s="133" t="s">
        <v>523</v>
      </c>
      <c r="C518" s="94"/>
      <c r="D518" s="94"/>
      <c r="E518" s="94"/>
      <c r="F518" s="94"/>
      <c r="G518" s="94"/>
      <c r="H518" s="94"/>
      <c r="I518" s="94"/>
      <c r="J518" s="271" t="s">
        <v>51</v>
      </c>
      <c r="K518" s="138">
        <v>81</v>
      </c>
      <c r="L518" s="94"/>
      <c r="M518" s="267" t="s">
        <v>113</v>
      </c>
      <c r="N518" s="100">
        <f>EN_03006_m+EN_03006_p</f>
        <v>2.0871096700000002</v>
      </c>
      <c r="O518" s="93"/>
    </row>
    <row r="519" spans="1:15" x14ac:dyDescent="0.25">
      <c r="A519" s="267" t="s">
        <v>125</v>
      </c>
      <c r="B519" s="133" t="s">
        <v>21</v>
      </c>
      <c r="C519" s="94"/>
      <c r="D519" s="267" t="s">
        <v>122</v>
      </c>
      <c r="E519" s="270" t="s">
        <v>522</v>
      </c>
      <c r="F519" s="94"/>
      <c r="G519" s="94"/>
      <c r="H519" s="94"/>
      <c r="I519" s="94"/>
      <c r="J519" s="94"/>
      <c r="K519" s="94"/>
      <c r="L519" s="94"/>
      <c r="M519" s="267" t="s">
        <v>124</v>
      </c>
      <c r="N519" s="136">
        <v>1</v>
      </c>
      <c r="O519" s="93"/>
    </row>
    <row r="520" spans="1:15" x14ac:dyDescent="0.25">
      <c r="A520" s="267" t="s">
        <v>123</v>
      </c>
      <c r="B520" s="270" t="str">
        <f>'EN Assemblies'!B112</f>
        <v>Fuel Tank assembly</v>
      </c>
      <c r="C520" s="94"/>
      <c r="D520" s="267" t="s">
        <v>119</v>
      </c>
      <c r="E520" s="94"/>
      <c r="F520" s="94"/>
      <c r="G520" s="94"/>
      <c r="H520" s="94"/>
      <c r="I520" s="94"/>
      <c r="J520" s="268" t="s">
        <v>122</v>
      </c>
      <c r="K520" s="94"/>
      <c r="L520" s="94"/>
      <c r="M520" s="94"/>
      <c r="N520" s="94"/>
      <c r="O520" s="93"/>
    </row>
    <row r="521" spans="1:15" x14ac:dyDescent="0.25">
      <c r="A521" s="267" t="s">
        <v>114</v>
      </c>
      <c r="B521" s="135" t="s">
        <v>924</v>
      </c>
      <c r="C521" s="94"/>
      <c r="D521" s="267" t="s">
        <v>116</v>
      </c>
      <c r="E521" s="94"/>
      <c r="F521" s="94"/>
      <c r="G521" s="94"/>
      <c r="H521" s="94"/>
      <c r="I521" s="94"/>
      <c r="J521" s="268" t="s">
        <v>119</v>
      </c>
      <c r="K521" s="94"/>
      <c r="L521" s="94"/>
      <c r="M521" s="267" t="s">
        <v>118</v>
      </c>
      <c r="N521" s="100">
        <f>N519*N518</f>
        <v>2.0871096700000002</v>
      </c>
      <c r="O521" s="93"/>
    </row>
    <row r="522" spans="1:15" x14ac:dyDescent="0.25">
      <c r="A522" s="267" t="s">
        <v>121</v>
      </c>
      <c r="B522" s="269" t="s">
        <v>923</v>
      </c>
      <c r="C522" s="94"/>
      <c r="D522" s="94"/>
      <c r="E522" s="94"/>
      <c r="F522" s="94"/>
      <c r="G522" s="94"/>
      <c r="H522" s="94"/>
      <c r="I522" s="94"/>
      <c r="J522" s="268" t="s">
        <v>116</v>
      </c>
      <c r="K522" s="94"/>
      <c r="L522" s="94"/>
      <c r="M522" s="94"/>
      <c r="N522" s="94"/>
      <c r="O522" s="93"/>
    </row>
    <row r="523" spans="1:15" x14ac:dyDescent="0.25">
      <c r="A523" s="267" t="s">
        <v>117</v>
      </c>
      <c r="B523" s="133" t="s">
        <v>23</v>
      </c>
      <c r="C523" s="94"/>
      <c r="D523" s="94"/>
      <c r="E523" s="94"/>
      <c r="F523" s="94"/>
      <c r="G523" s="94"/>
      <c r="H523" s="94"/>
      <c r="I523" s="94"/>
      <c r="J523" s="94"/>
      <c r="K523" s="94"/>
      <c r="L523" s="94"/>
      <c r="M523" s="94"/>
      <c r="N523" s="94"/>
      <c r="O523" s="93"/>
    </row>
    <row r="524" spans="1:15" x14ac:dyDescent="0.25">
      <c r="A524" s="267" t="s">
        <v>115</v>
      </c>
      <c r="B524" s="133" t="s">
        <v>922</v>
      </c>
      <c r="C524" s="94"/>
      <c r="D524" s="94"/>
      <c r="E524" s="94"/>
      <c r="F524" s="94"/>
      <c r="G524" s="94"/>
      <c r="H524" s="94"/>
      <c r="I524" s="94"/>
      <c r="J524" s="94"/>
      <c r="K524" s="94"/>
      <c r="L524" s="94"/>
      <c r="M524" s="94"/>
      <c r="N524" s="94"/>
      <c r="O524" s="93"/>
    </row>
    <row r="525" spans="1:15" x14ac:dyDescent="0.25">
      <c r="A525" s="266"/>
      <c r="B525" s="265"/>
      <c r="C525" s="265"/>
      <c r="D525" s="265"/>
      <c r="E525" s="265"/>
      <c r="F525" s="94"/>
      <c r="G525" s="94"/>
      <c r="H525" s="94"/>
      <c r="I525" s="94"/>
      <c r="J525" s="94"/>
      <c r="K525" s="94"/>
      <c r="L525" s="94"/>
      <c r="M525" s="94"/>
      <c r="N525" s="94"/>
      <c r="O525" s="93"/>
    </row>
    <row r="526" spans="1:15" x14ac:dyDescent="0.25">
      <c r="A526" s="264" t="s">
        <v>67</v>
      </c>
      <c r="B526" s="263" t="s">
        <v>112</v>
      </c>
      <c r="C526" s="263" t="s">
        <v>66</v>
      </c>
      <c r="D526" s="263" t="s">
        <v>65</v>
      </c>
      <c r="E526" s="263" t="s">
        <v>81</v>
      </c>
      <c r="F526" s="274" t="s">
        <v>80</v>
      </c>
      <c r="G526" s="274" t="s">
        <v>79</v>
      </c>
      <c r="H526" s="274" t="s">
        <v>78</v>
      </c>
      <c r="I526" s="274" t="s">
        <v>111</v>
      </c>
      <c r="J526" s="274" t="s">
        <v>110</v>
      </c>
      <c r="K526" s="274" t="s">
        <v>109</v>
      </c>
      <c r="L526" s="274" t="s">
        <v>108</v>
      </c>
      <c r="M526" s="274" t="s">
        <v>40</v>
      </c>
      <c r="N526" s="274" t="s">
        <v>58</v>
      </c>
      <c r="O526" s="93"/>
    </row>
    <row r="527" spans="1:15" ht="33" customHeight="1" x14ac:dyDescent="0.25">
      <c r="A527" s="211">
        <v>10</v>
      </c>
      <c r="B527" s="211" t="s">
        <v>519</v>
      </c>
      <c r="C527" s="211" t="s">
        <v>531</v>
      </c>
      <c r="D527" s="211">
        <v>2.25</v>
      </c>
      <c r="E527" s="211">
        <v>18</v>
      </c>
      <c r="F527" s="282" t="s">
        <v>68</v>
      </c>
      <c r="G527" s="282">
        <v>1.5</v>
      </c>
      <c r="H527" s="282" t="s">
        <v>68</v>
      </c>
      <c r="I527" s="281" t="s">
        <v>921</v>
      </c>
      <c r="J527" s="282">
        <v>2.6999999999999999E-5</v>
      </c>
      <c r="K527" s="282">
        <v>6.6000000000000003E-2</v>
      </c>
      <c r="L527" s="282">
        <v>7860</v>
      </c>
      <c r="M527" s="282">
        <v>1</v>
      </c>
      <c r="N527" s="276">
        <f>IF(J527="",D527*M527,D527*J527*K527*L527*M527)</f>
        <v>3.1514670000000002E-2</v>
      </c>
      <c r="O527" s="143"/>
    </row>
    <row r="528" spans="1:15" x14ac:dyDescent="0.25">
      <c r="A528" s="282">
        <v>20</v>
      </c>
      <c r="B528" s="282" t="s">
        <v>250</v>
      </c>
      <c r="C528" s="282" t="s">
        <v>529</v>
      </c>
      <c r="D528" s="283">
        <v>10</v>
      </c>
      <c r="E528" s="282">
        <v>1.98E-3</v>
      </c>
      <c r="F528" s="282" t="s">
        <v>299</v>
      </c>
      <c r="G528" s="282"/>
      <c r="H528" s="278"/>
      <c r="I528" s="281"/>
      <c r="J528" s="280"/>
      <c r="K528" s="279"/>
      <c r="L528" s="278"/>
      <c r="M528" s="294">
        <v>1.98E-3</v>
      </c>
      <c r="N528" s="276">
        <f>IF(J528="",D528*M528,D528*J528*K528*L528*M528)</f>
        <v>1.9799999999999998E-2</v>
      </c>
      <c r="O528" s="143"/>
    </row>
    <row r="529" spans="1:15" x14ac:dyDescent="0.25">
      <c r="A529" s="98"/>
      <c r="B529" s="95"/>
      <c r="C529" s="95"/>
      <c r="D529" s="95"/>
      <c r="E529" s="95"/>
      <c r="F529" s="95"/>
      <c r="G529" s="95"/>
      <c r="H529" s="95"/>
      <c r="I529" s="95"/>
      <c r="J529" s="95"/>
      <c r="K529" s="95"/>
      <c r="L529" s="95"/>
      <c r="M529" s="479" t="s">
        <v>58</v>
      </c>
      <c r="N529" s="255">
        <f>SUM(N527:N528)</f>
        <v>5.131467E-2</v>
      </c>
      <c r="O529" s="93"/>
    </row>
    <row r="530" spans="1:15" x14ac:dyDescent="0.25">
      <c r="A530" s="107"/>
      <c r="B530" s="94"/>
      <c r="C530" s="94"/>
      <c r="D530" s="94"/>
      <c r="E530" s="94"/>
      <c r="F530" s="94"/>
      <c r="G530" s="94"/>
      <c r="H530" s="94"/>
      <c r="I530" s="94"/>
      <c r="J530" s="94"/>
      <c r="K530" s="94"/>
      <c r="L530" s="94"/>
      <c r="M530" s="94"/>
      <c r="N530" s="94"/>
      <c r="O530" s="93"/>
    </row>
    <row r="531" spans="1:15" x14ac:dyDescent="0.25">
      <c r="A531" s="446" t="s">
        <v>67</v>
      </c>
      <c r="B531" s="274" t="s">
        <v>106</v>
      </c>
      <c r="C531" s="274" t="s">
        <v>66</v>
      </c>
      <c r="D531" s="274" t="s">
        <v>65</v>
      </c>
      <c r="E531" s="274" t="s">
        <v>64</v>
      </c>
      <c r="F531" s="274" t="s">
        <v>40</v>
      </c>
      <c r="G531" s="274" t="s">
        <v>105</v>
      </c>
      <c r="H531" s="274" t="s">
        <v>104</v>
      </c>
      <c r="I531" s="274" t="s">
        <v>58</v>
      </c>
      <c r="J531" s="95"/>
      <c r="K531" s="95"/>
      <c r="L531" s="95"/>
      <c r="M531" s="95"/>
      <c r="N531" s="95"/>
      <c r="O531" s="93"/>
    </row>
    <row r="532" spans="1:15" ht="30" x14ac:dyDescent="0.25">
      <c r="A532" s="478">
        <v>10</v>
      </c>
      <c r="B532" s="477" t="s">
        <v>516</v>
      </c>
      <c r="C532" s="285" t="s">
        <v>528</v>
      </c>
      <c r="D532" s="283">
        <v>1.3</v>
      </c>
      <c r="E532" s="282" t="s">
        <v>64</v>
      </c>
      <c r="F532" s="282">
        <v>1</v>
      </c>
      <c r="G532" s="282"/>
      <c r="H532" s="282"/>
      <c r="I532" s="293">
        <f>IF(H532="",D532*F532,D532*F532*H532)</f>
        <v>1.3</v>
      </c>
      <c r="J532" s="142"/>
      <c r="K532" s="142"/>
      <c r="L532" s="142"/>
      <c r="M532" s="142"/>
      <c r="N532" s="142"/>
      <c r="O532" s="120"/>
    </row>
    <row r="533" spans="1:15" x14ac:dyDescent="0.25">
      <c r="A533" s="282">
        <v>20</v>
      </c>
      <c r="B533" s="285" t="s">
        <v>527</v>
      </c>
      <c r="C533" s="285" t="s">
        <v>920</v>
      </c>
      <c r="D533" s="283">
        <v>0.01</v>
      </c>
      <c r="E533" s="282" t="s">
        <v>101</v>
      </c>
      <c r="F533" s="282">
        <v>24.18</v>
      </c>
      <c r="G533" s="282" t="s">
        <v>525</v>
      </c>
      <c r="H533" s="282">
        <v>3</v>
      </c>
      <c r="I533" s="293">
        <f>IF(H533="",D533*F533,D533*F533*H533)</f>
        <v>0.72540000000000004</v>
      </c>
      <c r="J533" s="142"/>
      <c r="K533" s="142"/>
      <c r="L533" s="142"/>
      <c r="M533" s="142"/>
      <c r="N533" s="142"/>
      <c r="O533" s="120"/>
    </row>
    <row r="534" spans="1:15" x14ac:dyDescent="0.25">
      <c r="A534" s="282">
        <v>30</v>
      </c>
      <c r="B534" s="285" t="s">
        <v>243</v>
      </c>
      <c r="C534" s="376" t="s">
        <v>502</v>
      </c>
      <c r="D534" s="283">
        <v>5.25</v>
      </c>
      <c r="E534" s="282" t="s">
        <v>299</v>
      </c>
      <c r="F534" s="282">
        <v>1.98E-3</v>
      </c>
      <c r="G534" s="282"/>
      <c r="H534" s="282"/>
      <c r="I534" s="293">
        <f>IF(H534="",D534*F534,D534*F534*H534)</f>
        <v>1.0395E-2</v>
      </c>
      <c r="J534" s="142"/>
      <c r="K534" s="142"/>
      <c r="L534" s="142"/>
      <c r="M534" s="142"/>
      <c r="N534" s="142"/>
      <c r="O534" s="120"/>
    </row>
    <row r="535" spans="1:15" x14ac:dyDescent="0.25">
      <c r="A535" s="98"/>
      <c r="B535" s="95"/>
      <c r="C535" s="95"/>
      <c r="D535" s="95"/>
      <c r="E535" s="95"/>
      <c r="F535" s="95"/>
      <c r="G535" s="95"/>
      <c r="H535" s="256" t="s">
        <v>58</v>
      </c>
      <c r="I535" s="255">
        <f>SUM(I532:I534)</f>
        <v>2.0357950000000002</v>
      </c>
      <c r="J535" s="95"/>
      <c r="K535" s="95"/>
      <c r="L535" s="95"/>
      <c r="M535" s="95"/>
      <c r="N535" s="95"/>
      <c r="O535" s="93"/>
    </row>
    <row r="536" spans="1:15" x14ac:dyDescent="0.25">
      <c r="A536" s="107"/>
      <c r="B536" s="94"/>
      <c r="C536" s="94"/>
      <c r="D536" s="94"/>
      <c r="E536" s="94"/>
      <c r="F536" s="94"/>
      <c r="G536" s="94"/>
      <c r="H536" s="94"/>
      <c r="I536" s="99"/>
      <c r="J536" s="94"/>
      <c r="K536" s="94"/>
      <c r="L536" s="94"/>
      <c r="M536" s="94"/>
      <c r="N536" s="94"/>
      <c r="O536" s="93"/>
    </row>
    <row r="537" spans="1:15" ht="15.75" thickBot="1" x14ac:dyDescent="0.3">
      <c r="A537" s="92"/>
      <c r="B537" s="91"/>
      <c r="C537" s="91"/>
      <c r="D537" s="91"/>
      <c r="E537" s="91"/>
      <c r="F537" s="91"/>
      <c r="G537" s="91"/>
      <c r="H537" s="91"/>
      <c r="I537" s="91"/>
      <c r="J537" s="91"/>
      <c r="K537" s="91"/>
      <c r="L537" s="91"/>
      <c r="M537" s="91"/>
      <c r="N537" s="91"/>
      <c r="O537" s="90"/>
    </row>
    <row r="538" spans="1:15" ht="15.75" thickBot="1" x14ac:dyDescent="0.3"/>
    <row r="539" spans="1:15" x14ac:dyDescent="0.25">
      <c r="A539" s="141"/>
      <c r="B539" s="140"/>
      <c r="C539" s="140"/>
      <c r="D539" s="140"/>
      <c r="E539" s="140"/>
      <c r="F539" s="140"/>
      <c r="G539" s="140"/>
      <c r="H539" s="140"/>
      <c r="I539" s="140"/>
      <c r="J539" s="272"/>
      <c r="K539" s="140"/>
      <c r="L539" s="140"/>
      <c r="M539" s="140"/>
      <c r="N539" s="140"/>
      <c r="O539" s="139"/>
    </row>
    <row r="540" spans="1:15" x14ac:dyDescent="0.25">
      <c r="A540" s="267" t="s">
        <v>57</v>
      </c>
      <c r="B540" s="133" t="s">
        <v>523</v>
      </c>
      <c r="C540" s="94"/>
      <c r="D540" s="94"/>
      <c r="E540" s="94"/>
      <c r="F540" s="94"/>
      <c r="G540" s="94"/>
      <c r="H540" s="94"/>
      <c r="I540" s="94"/>
      <c r="J540" s="271" t="s">
        <v>51</v>
      </c>
      <c r="K540" s="138">
        <v>81</v>
      </c>
      <c r="L540" s="94"/>
      <c r="M540" s="267" t="s">
        <v>113</v>
      </c>
      <c r="N540" s="100">
        <f>EN_04001_m+EN_04001_p+EN_04001_t</f>
        <v>12.464163333333332</v>
      </c>
      <c r="O540" s="93"/>
    </row>
    <row r="541" spans="1:15" x14ac:dyDescent="0.25">
      <c r="A541" s="267" t="s">
        <v>125</v>
      </c>
      <c r="B541" s="133" t="s">
        <v>21</v>
      </c>
      <c r="C541" s="94"/>
      <c r="D541" s="267" t="s">
        <v>122</v>
      </c>
      <c r="E541" s="94"/>
      <c r="F541" s="94"/>
      <c r="G541" s="94"/>
      <c r="H541" s="94"/>
      <c r="I541" s="94"/>
      <c r="J541" s="94"/>
      <c r="K541" s="94"/>
      <c r="L541" s="94"/>
      <c r="M541" s="267" t="s">
        <v>124</v>
      </c>
      <c r="N541" s="136">
        <v>1</v>
      </c>
      <c r="O541" s="93"/>
    </row>
    <row r="542" spans="1:15" x14ac:dyDescent="0.25">
      <c r="A542" s="267" t="s">
        <v>123</v>
      </c>
      <c r="B542" s="270" t="str">
        <f>'EN Assemblies'!B164</f>
        <v>Fuel system</v>
      </c>
      <c r="C542" s="94"/>
      <c r="D542" s="267" t="s">
        <v>119</v>
      </c>
      <c r="E542" s="94"/>
      <c r="F542" s="94"/>
      <c r="G542" s="94"/>
      <c r="H542" s="94"/>
      <c r="I542" s="94"/>
      <c r="J542" s="268" t="s">
        <v>122</v>
      </c>
      <c r="K542" s="94"/>
      <c r="L542" s="94"/>
      <c r="M542" s="94"/>
      <c r="N542" s="94"/>
      <c r="O542" s="93"/>
    </row>
    <row r="543" spans="1:15" x14ac:dyDescent="0.25">
      <c r="A543" s="267" t="s">
        <v>114</v>
      </c>
      <c r="B543" s="135" t="s">
        <v>919</v>
      </c>
      <c r="C543" s="94"/>
      <c r="D543" s="267" t="s">
        <v>116</v>
      </c>
      <c r="E543" s="94"/>
      <c r="F543" s="94"/>
      <c r="G543" s="94"/>
      <c r="H543" s="94"/>
      <c r="I543" s="94"/>
      <c r="J543" s="268" t="s">
        <v>119</v>
      </c>
      <c r="K543" s="94"/>
      <c r="L543" s="94"/>
      <c r="M543" s="267" t="s">
        <v>118</v>
      </c>
      <c r="N543" s="100">
        <f>N541*N540</f>
        <v>12.464163333333332</v>
      </c>
      <c r="O543" s="93"/>
    </row>
    <row r="544" spans="1:15" x14ac:dyDescent="0.25">
      <c r="A544" s="267" t="s">
        <v>121</v>
      </c>
      <c r="B544" s="269" t="s">
        <v>918</v>
      </c>
      <c r="C544" s="94"/>
      <c r="D544" s="94"/>
      <c r="E544" s="94"/>
      <c r="F544" s="94"/>
      <c r="G544" s="94"/>
      <c r="H544" s="94"/>
      <c r="I544" s="94"/>
      <c r="J544" s="268" t="s">
        <v>116</v>
      </c>
      <c r="K544" s="94"/>
      <c r="L544" s="94"/>
      <c r="M544" s="94"/>
      <c r="N544" s="94"/>
      <c r="O544" s="93"/>
    </row>
    <row r="545" spans="1:15" x14ac:dyDescent="0.25">
      <c r="A545" s="267" t="s">
        <v>117</v>
      </c>
      <c r="B545" s="133" t="s">
        <v>23</v>
      </c>
      <c r="C545" s="94"/>
      <c r="D545" s="94"/>
      <c r="E545" s="94"/>
      <c r="F545" s="94"/>
      <c r="G545" s="94"/>
      <c r="H545" s="94"/>
      <c r="I545" s="94"/>
      <c r="J545" s="94"/>
      <c r="K545" s="94"/>
      <c r="L545" s="94"/>
      <c r="M545" s="94"/>
      <c r="N545" s="94"/>
      <c r="O545" s="93"/>
    </row>
    <row r="546" spans="1:15" x14ac:dyDescent="0.25">
      <c r="A546" s="267" t="s">
        <v>115</v>
      </c>
      <c r="B546" s="133"/>
      <c r="C546" s="94"/>
      <c r="D546" s="94"/>
      <c r="E546" s="94"/>
      <c r="F546" s="94"/>
      <c r="G546" s="94"/>
      <c r="H546" s="94"/>
      <c r="I546" s="94"/>
      <c r="J546" s="94"/>
      <c r="K546" s="94"/>
      <c r="L546" s="94"/>
      <c r="M546" s="94"/>
      <c r="N546" s="94"/>
      <c r="O546" s="93"/>
    </row>
    <row r="547" spans="1:15" x14ac:dyDescent="0.25">
      <c r="A547" s="266"/>
      <c r="B547" s="265"/>
      <c r="C547" s="265"/>
      <c r="D547" s="265"/>
      <c r="E547" s="265"/>
      <c r="F547" s="94"/>
      <c r="G547" s="94"/>
      <c r="H547" s="94"/>
      <c r="I547" s="94"/>
      <c r="J547" s="94"/>
      <c r="K547" s="94"/>
      <c r="L547" s="94"/>
      <c r="M547" s="94"/>
      <c r="N547" s="94"/>
      <c r="O547" s="93"/>
    </row>
    <row r="548" spans="1:15" x14ac:dyDescent="0.25">
      <c r="A548" s="264" t="s">
        <v>67</v>
      </c>
      <c r="B548" s="263" t="s">
        <v>112</v>
      </c>
      <c r="C548" s="263" t="s">
        <v>66</v>
      </c>
      <c r="D548" s="263" t="s">
        <v>65</v>
      </c>
      <c r="E548" s="263" t="s">
        <v>81</v>
      </c>
      <c r="F548" s="274" t="s">
        <v>80</v>
      </c>
      <c r="G548" s="274" t="s">
        <v>79</v>
      </c>
      <c r="H548" s="274" t="s">
        <v>78</v>
      </c>
      <c r="I548" s="274" t="s">
        <v>111</v>
      </c>
      <c r="J548" s="274" t="s">
        <v>110</v>
      </c>
      <c r="K548" s="274" t="s">
        <v>109</v>
      </c>
      <c r="L548" s="274" t="s">
        <v>108</v>
      </c>
      <c r="M548" s="274" t="s">
        <v>40</v>
      </c>
      <c r="N548" s="274" t="s">
        <v>58</v>
      </c>
      <c r="O548" s="93"/>
    </row>
    <row r="549" spans="1:15" ht="30" x14ac:dyDescent="0.25">
      <c r="A549" s="211">
        <v>10</v>
      </c>
      <c r="B549" s="211" t="s">
        <v>519</v>
      </c>
      <c r="C549" s="476" t="s">
        <v>917</v>
      </c>
      <c r="D549" s="324">
        <v>2.25</v>
      </c>
      <c r="E549" s="211">
        <v>16</v>
      </c>
      <c r="F549" s="282" t="s">
        <v>68</v>
      </c>
      <c r="G549" s="282">
        <v>3</v>
      </c>
      <c r="H549" s="282" t="s">
        <v>68</v>
      </c>
      <c r="I549" s="292" t="s">
        <v>916</v>
      </c>
      <c r="J549" s="282">
        <v>1.22E-4</v>
      </c>
      <c r="K549" s="282">
        <v>0.3</v>
      </c>
      <c r="L549" s="282">
        <v>7800</v>
      </c>
      <c r="M549" s="380">
        <v>1</v>
      </c>
      <c r="N549" s="276">
        <f>IF(J549="",D549*M549,D549*J549*K549*L549*M549)</f>
        <v>0.64232999999999996</v>
      </c>
      <c r="O549" s="143"/>
    </row>
    <row r="550" spans="1:15" ht="30" x14ac:dyDescent="0.25">
      <c r="A550" s="315">
        <v>20</v>
      </c>
      <c r="B550" s="211" t="s">
        <v>519</v>
      </c>
      <c r="C550" s="315" t="s">
        <v>915</v>
      </c>
      <c r="D550" s="324">
        <v>2.25</v>
      </c>
      <c r="E550" s="315">
        <v>100</v>
      </c>
      <c r="F550" s="315" t="s">
        <v>68</v>
      </c>
      <c r="G550" s="315">
        <v>30</v>
      </c>
      <c r="H550" s="314" t="s">
        <v>68</v>
      </c>
      <c r="I550" s="281" t="s">
        <v>914</v>
      </c>
      <c r="J550" s="475">
        <v>3.0000000000000001E-3</v>
      </c>
      <c r="K550" s="320">
        <v>2E-3</v>
      </c>
      <c r="L550" s="319">
        <v>7800</v>
      </c>
      <c r="M550" s="335">
        <v>1</v>
      </c>
      <c r="N550" s="276">
        <f>IF(J550="",D550*M550,D550*J550*K550*L550*M550)</f>
        <v>0.10529999999999999</v>
      </c>
      <c r="O550" s="143"/>
    </row>
    <row r="551" spans="1:15" x14ac:dyDescent="0.25">
      <c r="A551" s="98"/>
      <c r="B551" s="95"/>
      <c r="C551" s="95"/>
      <c r="D551" s="95"/>
      <c r="E551" s="95"/>
      <c r="F551" s="95"/>
      <c r="G551" s="95"/>
      <c r="H551" s="95"/>
      <c r="I551" s="95"/>
      <c r="J551" s="95"/>
      <c r="K551" s="95"/>
      <c r="L551" s="95"/>
      <c r="M551" s="256" t="s">
        <v>58</v>
      </c>
      <c r="N551" s="255">
        <f>SUM(N549:N550)</f>
        <v>0.74762999999999991</v>
      </c>
      <c r="O551" s="93"/>
    </row>
    <row r="552" spans="1:15" x14ac:dyDescent="0.25">
      <c r="A552" s="107"/>
      <c r="B552" s="94"/>
      <c r="C552" s="94"/>
      <c r="D552" s="94"/>
      <c r="E552" s="94"/>
      <c r="F552" s="94"/>
      <c r="G552" s="94"/>
      <c r="H552" s="94"/>
      <c r="I552" s="94"/>
      <c r="J552" s="94"/>
      <c r="K552" s="94"/>
      <c r="L552" s="94"/>
      <c r="M552" s="94"/>
      <c r="N552" s="94"/>
      <c r="O552" s="93"/>
    </row>
    <row r="553" spans="1:15" x14ac:dyDescent="0.25">
      <c r="A553" s="446" t="s">
        <v>67</v>
      </c>
      <c r="B553" s="274" t="s">
        <v>106</v>
      </c>
      <c r="C553" s="274" t="s">
        <v>66</v>
      </c>
      <c r="D553" s="274" t="s">
        <v>65</v>
      </c>
      <c r="E553" s="274" t="s">
        <v>64</v>
      </c>
      <c r="F553" s="274" t="s">
        <v>40</v>
      </c>
      <c r="G553" s="274" t="s">
        <v>105</v>
      </c>
      <c r="H553" s="274" t="s">
        <v>104</v>
      </c>
      <c r="I553" s="274" t="s">
        <v>58</v>
      </c>
      <c r="J553" s="95"/>
      <c r="K553" s="95"/>
      <c r="L553" s="95"/>
      <c r="M553" s="95"/>
      <c r="N553" s="95"/>
      <c r="O553" s="93"/>
    </row>
    <row r="554" spans="1:15" x14ac:dyDescent="0.25">
      <c r="A554" s="331">
        <v>10</v>
      </c>
      <c r="B554" s="326" t="s">
        <v>463</v>
      </c>
      <c r="C554" s="331" t="s">
        <v>913</v>
      </c>
      <c r="D554" s="334">
        <v>0.15</v>
      </c>
      <c r="E554" s="326" t="s">
        <v>101</v>
      </c>
      <c r="F554" s="331">
        <v>5</v>
      </c>
      <c r="G554" s="331"/>
      <c r="H554" s="331"/>
      <c r="I554" s="293">
        <f t="shared" ref="I554:I561" si="6">IF(H554="",D554*F554,D554*F554*H554)</f>
        <v>0.75</v>
      </c>
      <c r="J554" s="142"/>
      <c r="K554" s="142"/>
      <c r="L554" s="142"/>
      <c r="M554" s="142"/>
      <c r="N554" s="142"/>
      <c r="O554" s="120"/>
    </row>
    <row r="555" spans="1:15" ht="30" x14ac:dyDescent="0.25">
      <c r="A555" s="328">
        <v>20</v>
      </c>
      <c r="B555" s="326" t="s">
        <v>905</v>
      </c>
      <c r="C555" s="434" t="s">
        <v>912</v>
      </c>
      <c r="D555" s="329">
        <v>1.3</v>
      </c>
      <c r="E555" s="328" t="s">
        <v>64</v>
      </c>
      <c r="F555" s="333">
        <v>1</v>
      </c>
      <c r="G555" s="326"/>
      <c r="H555" s="325"/>
      <c r="I555" s="293">
        <f t="shared" si="6"/>
        <v>1.3</v>
      </c>
      <c r="J555" s="142"/>
      <c r="K555" s="142"/>
      <c r="L555" s="142"/>
      <c r="M555" s="142"/>
      <c r="N555" s="142"/>
      <c r="O555" s="120"/>
    </row>
    <row r="556" spans="1:15" ht="30" x14ac:dyDescent="0.25">
      <c r="A556" s="325">
        <v>30</v>
      </c>
      <c r="B556" s="326" t="s">
        <v>589</v>
      </c>
      <c r="C556" s="331" t="s">
        <v>911</v>
      </c>
      <c r="D556" s="329">
        <v>0.1</v>
      </c>
      <c r="E556" s="326" t="s">
        <v>101</v>
      </c>
      <c r="F556" s="325">
        <v>1.5</v>
      </c>
      <c r="G556" s="325" t="s">
        <v>903</v>
      </c>
      <c r="H556" s="325">
        <v>3</v>
      </c>
      <c r="I556" s="293">
        <f t="shared" si="6"/>
        <v>0.45000000000000007</v>
      </c>
      <c r="J556" s="142"/>
      <c r="K556" s="142"/>
      <c r="L556" s="142"/>
      <c r="M556" s="142"/>
      <c r="N556" s="142"/>
      <c r="O556" s="120"/>
    </row>
    <row r="557" spans="1:15" ht="30" x14ac:dyDescent="0.25">
      <c r="A557" s="328">
        <v>40</v>
      </c>
      <c r="B557" s="326" t="s">
        <v>910</v>
      </c>
      <c r="C557" s="328" t="s">
        <v>909</v>
      </c>
      <c r="D557" s="329">
        <v>0.75</v>
      </c>
      <c r="E557" s="328" t="s">
        <v>908</v>
      </c>
      <c r="F557" s="333">
        <v>4</v>
      </c>
      <c r="G557" s="326"/>
      <c r="H557" s="325"/>
      <c r="I557" s="293">
        <f t="shared" si="6"/>
        <v>3</v>
      </c>
      <c r="J557" s="142"/>
      <c r="K557" s="142"/>
      <c r="L557" s="142"/>
      <c r="M557" s="142"/>
      <c r="N557" s="142"/>
      <c r="O557" s="120"/>
    </row>
    <row r="558" spans="1:15" x14ac:dyDescent="0.25">
      <c r="A558" s="325">
        <v>50</v>
      </c>
      <c r="B558" s="326" t="s">
        <v>907</v>
      </c>
      <c r="C558" s="434" t="s">
        <v>906</v>
      </c>
      <c r="D558" s="329">
        <v>0.38</v>
      </c>
      <c r="E558" s="326" t="s">
        <v>101</v>
      </c>
      <c r="F558" s="325">
        <v>0.64</v>
      </c>
      <c r="G558" s="325"/>
      <c r="H558" s="325"/>
      <c r="I558" s="293">
        <f t="shared" si="6"/>
        <v>0.2432</v>
      </c>
      <c r="J558" s="142"/>
      <c r="K558" s="142"/>
      <c r="L558" s="142"/>
      <c r="M558" s="142"/>
      <c r="N558" s="142"/>
      <c r="O558" s="120"/>
    </row>
    <row r="559" spans="1:15" ht="30" x14ac:dyDescent="0.25">
      <c r="A559" s="331">
        <v>60</v>
      </c>
      <c r="B559" s="326" t="s">
        <v>905</v>
      </c>
      <c r="C559" s="331" t="s">
        <v>904</v>
      </c>
      <c r="D559" s="329">
        <v>1.3</v>
      </c>
      <c r="E559" s="326" t="s">
        <v>64</v>
      </c>
      <c r="F559" s="325">
        <v>1</v>
      </c>
      <c r="G559" s="325"/>
      <c r="H559" s="325"/>
      <c r="I559" s="293">
        <f t="shared" si="6"/>
        <v>1.3</v>
      </c>
      <c r="J559" s="142"/>
      <c r="K559" s="142"/>
      <c r="L559" s="142"/>
      <c r="M559" s="142"/>
      <c r="N559" s="142"/>
      <c r="O559" s="120"/>
    </row>
    <row r="560" spans="1:15" x14ac:dyDescent="0.25">
      <c r="A560" s="328">
        <v>70</v>
      </c>
      <c r="B560" s="326" t="s">
        <v>527</v>
      </c>
      <c r="C560" s="325"/>
      <c r="D560" s="329">
        <v>0.01</v>
      </c>
      <c r="E560" s="326" t="s">
        <v>101</v>
      </c>
      <c r="F560" s="325">
        <v>18</v>
      </c>
      <c r="G560" s="325" t="s">
        <v>903</v>
      </c>
      <c r="H560" s="325">
        <v>3</v>
      </c>
      <c r="I560" s="293">
        <f t="shared" si="6"/>
        <v>0.54</v>
      </c>
      <c r="J560" s="142"/>
      <c r="K560" s="142"/>
      <c r="L560" s="142"/>
      <c r="M560" s="142"/>
      <c r="N560" s="142"/>
      <c r="O560" s="120"/>
    </row>
    <row r="561" spans="1:15" x14ac:dyDescent="0.25">
      <c r="A561" s="325">
        <v>80</v>
      </c>
      <c r="B561" s="326" t="s">
        <v>103</v>
      </c>
      <c r="C561" s="328" t="s">
        <v>902</v>
      </c>
      <c r="D561" s="329">
        <v>0.15</v>
      </c>
      <c r="E561" s="328" t="s">
        <v>101</v>
      </c>
      <c r="F561" s="333">
        <v>12</v>
      </c>
      <c r="G561" s="326"/>
      <c r="H561" s="325"/>
      <c r="I561" s="293">
        <f t="shared" si="6"/>
        <v>1.7999999999999998</v>
      </c>
      <c r="J561" s="142"/>
      <c r="K561" s="142"/>
      <c r="L561" s="142"/>
      <c r="M561" s="142"/>
      <c r="N561" s="142"/>
      <c r="O561" s="120"/>
    </row>
    <row r="562" spans="1:15" x14ac:dyDescent="0.25">
      <c r="A562" s="98"/>
      <c r="B562" s="95"/>
      <c r="C562" s="95"/>
      <c r="D562" s="95"/>
      <c r="E562" s="95"/>
      <c r="F562" s="95"/>
      <c r="G562" s="95"/>
      <c r="H562" s="256" t="s">
        <v>58</v>
      </c>
      <c r="I562" s="255">
        <f>SUM(I554:I561)</f>
        <v>9.3831999999999987</v>
      </c>
      <c r="J562" s="95"/>
      <c r="K562" s="95"/>
      <c r="L562" s="95"/>
      <c r="M562" s="95"/>
      <c r="N562" s="95"/>
      <c r="O562" s="93"/>
    </row>
    <row r="563" spans="1:15" x14ac:dyDescent="0.25">
      <c r="A563" s="107"/>
      <c r="B563" s="94"/>
      <c r="C563" s="94"/>
      <c r="D563" s="94"/>
      <c r="E563" s="94"/>
      <c r="F563" s="94"/>
      <c r="G563" s="94"/>
      <c r="H563" s="94"/>
      <c r="I563" s="99"/>
      <c r="J563" s="94"/>
      <c r="K563" s="94"/>
      <c r="L563" s="94"/>
      <c r="M563" s="94"/>
      <c r="N563" s="94"/>
      <c r="O563" s="93"/>
    </row>
    <row r="564" spans="1:15" x14ac:dyDescent="0.25">
      <c r="A564" s="360"/>
      <c r="B564" s="99"/>
      <c r="C564" s="99"/>
      <c r="D564" s="99"/>
      <c r="E564" s="99"/>
      <c r="F564" s="99"/>
      <c r="G564" s="99"/>
      <c r="H564" s="359"/>
      <c r="I564" s="358"/>
      <c r="J564" s="99"/>
      <c r="K564" s="94"/>
      <c r="L564" s="94"/>
      <c r="M564" s="94"/>
      <c r="N564" s="94"/>
      <c r="O564" s="93"/>
    </row>
    <row r="565" spans="1:15" x14ac:dyDescent="0.25">
      <c r="A565" s="446" t="s">
        <v>67</v>
      </c>
      <c r="B565" s="274" t="s">
        <v>13</v>
      </c>
      <c r="C565" s="274" t="s">
        <v>66</v>
      </c>
      <c r="D565" s="274" t="s">
        <v>65</v>
      </c>
      <c r="E565" s="274" t="s">
        <v>64</v>
      </c>
      <c r="F565" s="274" t="s">
        <v>40</v>
      </c>
      <c r="G565" s="274" t="s">
        <v>63</v>
      </c>
      <c r="H565" s="274" t="s">
        <v>741</v>
      </c>
      <c r="I565" s="274" t="s">
        <v>58</v>
      </c>
      <c r="J565" s="95"/>
      <c r="K565" s="94"/>
      <c r="L565" s="94"/>
      <c r="M565" s="94"/>
      <c r="N565" s="94"/>
      <c r="O565" s="93"/>
    </row>
    <row r="566" spans="1:15" x14ac:dyDescent="0.25">
      <c r="A566" s="282">
        <v>10</v>
      </c>
      <c r="B566" s="282" t="s">
        <v>61</v>
      </c>
      <c r="C566" s="282"/>
      <c r="D566" s="283">
        <v>500</v>
      </c>
      <c r="E566" s="282" t="s">
        <v>59</v>
      </c>
      <c r="F566" s="282">
        <v>14</v>
      </c>
      <c r="G566" s="282">
        <v>3000</v>
      </c>
      <c r="H566" s="282">
        <v>1</v>
      </c>
      <c r="I566" s="276">
        <f>D566*F566/G566*H566</f>
        <v>2.3333333333333335</v>
      </c>
      <c r="J566" s="99"/>
      <c r="K566" s="99"/>
      <c r="L566" s="99"/>
      <c r="M566" s="99"/>
      <c r="N566" s="99"/>
      <c r="O566" s="130"/>
    </row>
    <row r="567" spans="1:15" x14ac:dyDescent="0.25">
      <c r="A567" s="98"/>
      <c r="B567" s="95"/>
      <c r="C567" s="95"/>
      <c r="D567" s="95"/>
      <c r="E567" s="95"/>
      <c r="F567" s="95"/>
      <c r="G567" s="95"/>
      <c r="H567" s="256" t="s">
        <v>58</v>
      </c>
      <c r="I567" s="255">
        <f>SUM(I566:I566)</f>
        <v>2.3333333333333335</v>
      </c>
      <c r="J567" s="95"/>
      <c r="K567" s="94"/>
      <c r="L567" s="94"/>
      <c r="M567" s="94"/>
      <c r="N567" s="94"/>
      <c r="O567" s="93"/>
    </row>
    <row r="568" spans="1:15" ht="15.75" thickBot="1" x14ac:dyDescent="0.3">
      <c r="A568" s="92"/>
      <c r="B568" s="91"/>
      <c r="C568" s="91"/>
      <c r="D568" s="91"/>
      <c r="E568" s="91"/>
      <c r="F568" s="91"/>
      <c r="G568" s="91"/>
      <c r="H568" s="91"/>
      <c r="I568" s="91"/>
      <c r="J568" s="91"/>
      <c r="K568" s="91"/>
      <c r="L568" s="91"/>
      <c r="M568" s="91"/>
      <c r="N568" s="91"/>
      <c r="O568" s="90"/>
    </row>
    <row r="569" spans="1:15" ht="15.75" thickBot="1" x14ac:dyDescent="0.3"/>
    <row r="570" spans="1:15" x14ac:dyDescent="0.25">
      <c r="A570" s="141"/>
      <c r="B570" s="140"/>
      <c r="C570" s="140"/>
      <c r="D570" s="140"/>
      <c r="E570" s="140"/>
      <c r="F570" s="140"/>
      <c r="G570" s="140"/>
      <c r="H570" s="140"/>
      <c r="I570" s="140"/>
      <c r="J570" s="272"/>
      <c r="K570" s="140"/>
      <c r="L570" s="140"/>
      <c r="M570" s="140"/>
      <c r="N570" s="140"/>
      <c r="O570" s="139"/>
    </row>
    <row r="571" spans="1:15" x14ac:dyDescent="0.25">
      <c r="A571" s="267" t="s">
        <v>57</v>
      </c>
      <c r="B571" s="133" t="s">
        <v>523</v>
      </c>
      <c r="C571" s="94"/>
      <c r="D571" s="94"/>
      <c r="E571" s="94"/>
      <c r="F571" s="94"/>
      <c r="G571" s="94"/>
      <c r="H571" s="94"/>
      <c r="I571" s="94"/>
      <c r="J571" s="271" t="s">
        <v>51</v>
      </c>
      <c r="K571" s="138">
        <v>81</v>
      </c>
      <c r="L571" s="94"/>
      <c r="M571" s="267" t="s">
        <v>113</v>
      </c>
      <c r="N571" s="100">
        <f>EN_04002_m+EN_04002_p</f>
        <v>1.561561</v>
      </c>
      <c r="O571" s="93"/>
    </row>
    <row r="572" spans="1:15" x14ac:dyDescent="0.25">
      <c r="A572" s="267" t="s">
        <v>125</v>
      </c>
      <c r="B572" s="133" t="s">
        <v>21</v>
      </c>
      <c r="C572" s="94"/>
      <c r="D572" s="267" t="s">
        <v>122</v>
      </c>
      <c r="E572" s="270" t="s">
        <v>522</v>
      </c>
      <c r="F572" s="94"/>
      <c r="G572" s="94"/>
      <c r="H572" s="94"/>
      <c r="I572" s="94"/>
      <c r="J572" s="94"/>
      <c r="K572" s="94"/>
      <c r="L572" s="94"/>
      <c r="M572" s="267" t="s">
        <v>124</v>
      </c>
      <c r="N572" s="136">
        <v>1</v>
      </c>
      <c r="O572" s="93"/>
    </row>
    <row r="573" spans="1:15" x14ac:dyDescent="0.25">
      <c r="A573" s="267" t="s">
        <v>123</v>
      </c>
      <c r="B573" s="270" t="str">
        <f>'EN Assemblies'!B164</f>
        <v>Fuel system</v>
      </c>
      <c r="C573" s="94"/>
      <c r="D573" s="267" t="s">
        <v>119</v>
      </c>
      <c r="E573" s="94"/>
      <c r="F573" s="94"/>
      <c r="G573" s="94"/>
      <c r="H573" s="94"/>
      <c r="I573" s="94"/>
      <c r="J573" s="268" t="s">
        <v>122</v>
      </c>
      <c r="K573" s="94"/>
      <c r="L573" s="94"/>
      <c r="M573" s="94"/>
      <c r="N573" s="94"/>
      <c r="O573" s="93"/>
    </row>
    <row r="574" spans="1:15" x14ac:dyDescent="0.25">
      <c r="A574" s="267" t="s">
        <v>114</v>
      </c>
      <c r="B574" s="135" t="s">
        <v>901</v>
      </c>
      <c r="C574" s="94"/>
      <c r="D574" s="267" t="s">
        <v>116</v>
      </c>
      <c r="E574" s="94"/>
      <c r="F574" s="94"/>
      <c r="G574" s="94"/>
      <c r="H574" s="94"/>
      <c r="I574" s="94"/>
      <c r="J574" s="268" t="s">
        <v>119</v>
      </c>
      <c r="K574" s="94"/>
      <c r="L574" s="94"/>
      <c r="M574" s="267" t="s">
        <v>118</v>
      </c>
      <c r="N574" s="100">
        <f>N572*N571</f>
        <v>1.561561</v>
      </c>
      <c r="O574" s="93"/>
    </row>
    <row r="575" spans="1:15" x14ac:dyDescent="0.25">
      <c r="A575" s="267" t="s">
        <v>121</v>
      </c>
      <c r="B575" s="269" t="s">
        <v>900</v>
      </c>
      <c r="C575" s="94"/>
      <c r="D575" s="94"/>
      <c r="E575" s="94"/>
      <c r="F575" s="94"/>
      <c r="G575" s="94"/>
      <c r="H575" s="94"/>
      <c r="I575" s="94"/>
      <c r="J575" s="268" t="s">
        <v>116</v>
      </c>
      <c r="K575" s="94"/>
      <c r="L575" s="94"/>
      <c r="M575" s="94"/>
      <c r="N575" s="94"/>
      <c r="O575" s="93"/>
    </row>
    <row r="576" spans="1:15" x14ac:dyDescent="0.25">
      <c r="A576" s="267" t="s">
        <v>117</v>
      </c>
      <c r="B576" s="133" t="s">
        <v>23</v>
      </c>
      <c r="C576" s="94"/>
      <c r="D576" s="94"/>
      <c r="E576" s="94"/>
      <c r="F576" s="94"/>
      <c r="G576" s="94"/>
      <c r="H576" s="94"/>
      <c r="I576" s="94"/>
      <c r="J576" s="94"/>
      <c r="K576" s="94"/>
      <c r="L576" s="94"/>
      <c r="M576" s="94"/>
      <c r="N576" s="94"/>
      <c r="O576" s="93"/>
    </row>
    <row r="577" spans="1:15" x14ac:dyDescent="0.25">
      <c r="A577" s="267" t="s">
        <v>115</v>
      </c>
      <c r="B577" s="194" t="s">
        <v>899</v>
      </c>
      <c r="C577" s="94"/>
      <c r="D577" s="94"/>
      <c r="E577" s="94"/>
      <c r="F577" s="94"/>
      <c r="G577" s="94"/>
      <c r="H577" s="94"/>
      <c r="I577" s="94"/>
      <c r="J577" s="94"/>
      <c r="K577" s="94"/>
      <c r="L577" s="94"/>
      <c r="M577" s="94"/>
      <c r="N577" s="94"/>
      <c r="O577" s="93"/>
    </row>
    <row r="578" spans="1:15" x14ac:dyDescent="0.25">
      <c r="A578" s="266"/>
      <c r="B578" s="265"/>
      <c r="C578" s="265"/>
      <c r="D578" s="265"/>
      <c r="E578" s="265"/>
      <c r="F578" s="94"/>
      <c r="G578" s="94"/>
      <c r="H578" s="94"/>
      <c r="I578" s="94"/>
      <c r="J578" s="94"/>
      <c r="K578" s="94"/>
      <c r="L578" s="94"/>
      <c r="M578" s="94"/>
      <c r="N578" s="94"/>
      <c r="O578" s="93"/>
    </row>
    <row r="579" spans="1:15" x14ac:dyDescent="0.25">
      <c r="A579" s="264" t="s">
        <v>67</v>
      </c>
      <c r="B579" s="263" t="s">
        <v>112</v>
      </c>
      <c r="C579" s="263" t="s">
        <v>66</v>
      </c>
      <c r="D579" s="263" t="s">
        <v>65</v>
      </c>
      <c r="E579" s="263" t="s">
        <v>81</v>
      </c>
      <c r="F579" s="274" t="s">
        <v>80</v>
      </c>
      <c r="G579" s="274" t="s">
        <v>79</v>
      </c>
      <c r="H579" s="274" t="s">
        <v>78</v>
      </c>
      <c r="I579" s="274" t="s">
        <v>111</v>
      </c>
      <c r="J579" s="274" t="s">
        <v>110</v>
      </c>
      <c r="K579" s="274" t="s">
        <v>109</v>
      </c>
      <c r="L579" s="274" t="s">
        <v>108</v>
      </c>
      <c r="M579" s="274" t="s">
        <v>40</v>
      </c>
      <c r="N579" s="274" t="s">
        <v>58</v>
      </c>
      <c r="O579" s="93"/>
    </row>
    <row r="580" spans="1:15" ht="30" x14ac:dyDescent="0.25">
      <c r="A580" s="211">
        <v>10</v>
      </c>
      <c r="B580" s="211" t="s">
        <v>519</v>
      </c>
      <c r="C580" s="211" t="s">
        <v>531</v>
      </c>
      <c r="D580" s="211">
        <v>2.25</v>
      </c>
      <c r="E580" s="211">
        <v>15</v>
      </c>
      <c r="F580" s="282" t="s">
        <v>68</v>
      </c>
      <c r="G580" s="282">
        <v>2</v>
      </c>
      <c r="H580" s="282" t="s">
        <v>68</v>
      </c>
      <c r="I580" s="281" t="s">
        <v>530</v>
      </c>
      <c r="J580" s="282">
        <v>3.0000000000000001E-5</v>
      </c>
      <c r="K580" s="282">
        <v>0.02</v>
      </c>
      <c r="L580" s="282">
        <v>7860</v>
      </c>
      <c r="M580" s="284">
        <v>1</v>
      </c>
      <c r="N580" s="276">
        <f>IF(J580="",D580*M580,D580*J580*K580*L580*M580)</f>
        <v>1.0611000000000001E-2</v>
      </c>
      <c r="O580" s="143"/>
    </row>
    <row r="581" spans="1:15" x14ac:dyDescent="0.25">
      <c r="A581" s="282">
        <v>20</v>
      </c>
      <c r="B581" s="282" t="s">
        <v>250</v>
      </c>
      <c r="C581" s="282" t="s">
        <v>529</v>
      </c>
      <c r="D581" s="283">
        <v>10</v>
      </c>
      <c r="E581" s="282">
        <v>5.9999999999999995E-4</v>
      </c>
      <c r="F581" s="282" t="s">
        <v>299</v>
      </c>
      <c r="G581" s="282"/>
      <c r="H581" s="278"/>
      <c r="I581" s="281"/>
      <c r="J581" s="280"/>
      <c r="K581" s="279"/>
      <c r="L581" s="278"/>
      <c r="M581" s="277">
        <v>5.9999999999999995E-4</v>
      </c>
      <c r="N581" s="276">
        <f>IF(J581="",D581*M581,D581*J581*K581*L581*M581)</f>
        <v>5.9999999999999993E-3</v>
      </c>
      <c r="O581" s="143"/>
    </row>
    <row r="582" spans="1:15" x14ac:dyDescent="0.25">
      <c r="A582" s="98"/>
      <c r="B582" s="95"/>
      <c r="C582" s="95"/>
      <c r="D582" s="95"/>
      <c r="E582" s="95"/>
      <c r="F582" s="95"/>
      <c r="G582" s="95"/>
      <c r="H582" s="95"/>
      <c r="I582" s="95"/>
      <c r="J582" s="95"/>
      <c r="K582" s="95"/>
      <c r="L582" s="95"/>
      <c r="M582" s="256" t="s">
        <v>58</v>
      </c>
      <c r="N582" s="255">
        <f>SUM(N580:N581)</f>
        <v>1.6611000000000001E-2</v>
      </c>
      <c r="O582" s="93"/>
    </row>
    <row r="583" spans="1:15" x14ac:dyDescent="0.25">
      <c r="A583" s="107"/>
      <c r="B583" s="94"/>
      <c r="C583" s="94"/>
      <c r="D583" s="94"/>
      <c r="E583" s="94"/>
      <c r="F583" s="94"/>
      <c r="G583" s="94"/>
      <c r="H583" s="94"/>
      <c r="I583" s="94"/>
      <c r="J583" s="94"/>
      <c r="K583" s="94"/>
      <c r="L583" s="94"/>
      <c r="M583" s="94"/>
      <c r="N583" s="94"/>
      <c r="O583" s="93"/>
    </row>
    <row r="584" spans="1:15" x14ac:dyDescent="0.25">
      <c r="A584" s="418" t="s">
        <v>67</v>
      </c>
      <c r="B584" s="274" t="s">
        <v>106</v>
      </c>
      <c r="C584" s="274" t="s">
        <v>66</v>
      </c>
      <c r="D584" s="274" t="s">
        <v>65</v>
      </c>
      <c r="E584" s="274" t="s">
        <v>64</v>
      </c>
      <c r="F584" s="274" t="s">
        <v>40</v>
      </c>
      <c r="G584" s="274" t="s">
        <v>105</v>
      </c>
      <c r="H584" s="274" t="s">
        <v>104</v>
      </c>
      <c r="I584" s="274" t="s">
        <v>58</v>
      </c>
      <c r="J584" s="95"/>
      <c r="K584" s="95"/>
      <c r="L584" s="95"/>
      <c r="M584" s="95"/>
      <c r="N584" s="95"/>
      <c r="O584" s="93"/>
    </row>
    <row r="585" spans="1:15" ht="30" x14ac:dyDescent="0.25">
      <c r="A585" s="457">
        <v>10</v>
      </c>
      <c r="B585" s="470" t="s">
        <v>516</v>
      </c>
      <c r="C585" s="461" t="s">
        <v>528</v>
      </c>
      <c r="D585" s="458">
        <v>1.3</v>
      </c>
      <c r="E585" s="457" t="s">
        <v>64</v>
      </c>
      <c r="F585" s="457">
        <v>1</v>
      </c>
      <c r="G585" s="457"/>
      <c r="H585" s="457"/>
      <c r="I585" s="460">
        <f>IF(H585="",D585*F585,D585*F585*H585)</f>
        <v>1.3</v>
      </c>
      <c r="J585" s="142"/>
      <c r="K585" s="142"/>
      <c r="L585" s="142"/>
      <c r="M585" s="142"/>
      <c r="N585" s="142"/>
      <c r="O585" s="120"/>
    </row>
    <row r="586" spans="1:15" x14ac:dyDescent="0.25">
      <c r="A586" s="457">
        <v>20</v>
      </c>
      <c r="B586" s="461" t="s">
        <v>527</v>
      </c>
      <c r="C586" s="461" t="s">
        <v>526</v>
      </c>
      <c r="D586" s="458">
        <v>0.01</v>
      </c>
      <c r="E586" s="457" t="s">
        <v>101</v>
      </c>
      <c r="F586" s="457">
        <v>8.06</v>
      </c>
      <c r="G586" s="457" t="s">
        <v>525</v>
      </c>
      <c r="H586" s="457">
        <v>3</v>
      </c>
      <c r="I586" s="460">
        <f>IF(H586="",D586*F586,D586*F586*H586)</f>
        <v>0.24180000000000001</v>
      </c>
      <c r="J586" s="94"/>
      <c r="K586" s="94"/>
      <c r="L586" s="94"/>
      <c r="M586" s="94"/>
      <c r="N586" s="94"/>
      <c r="O586" s="93"/>
    </row>
    <row r="587" spans="1:15" x14ac:dyDescent="0.25">
      <c r="A587" s="457">
        <v>30</v>
      </c>
      <c r="B587" s="461" t="s">
        <v>243</v>
      </c>
      <c r="C587" s="459" t="s">
        <v>524</v>
      </c>
      <c r="D587" s="458">
        <v>5.25</v>
      </c>
      <c r="E587" s="457" t="s">
        <v>299</v>
      </c>
      <c r="F587" s="457">
        <v>5.9999999999999995E-4</v>
      </c>
      <c r="G587" s="457"/>
      <c r="H587" s="457"/>
      <c r="I587" s="447">
        <f>IF(H587="",D587*F587,D587*F587*H587)</f>
        <v>3.1499999999999996E-3</v>
      </c>
      <c r="J587" s="99"/>
      <c r="K587" s="99"/>
      <c r="L587" s="99"/>
      <c r="M587" s="99"/>
      <c r="N587" s="99"/>
      <c r="O587" s="130"/>
    </row>
    <row r="588" spans="1:15" x14ac:dyDescent="0.25">
      <c r="A588" s="98"/>
      <c r="B588" s="95"/>
      <c r="C588" s="95"/>
      <c r="D588" s="95"/>
      <c r="E588" s="95"/>
      <c r="F588" s="95"/>
      <c r="G588" s="95"/>
      <c r="H588" s="256" t="s">
        <v>58</v>
      </c>
      <c r="I588" s="255">
        <f>SUM(I585:I587)</f>
        <v>1.54495</v>
      </c>
      <c r="J588" s="95"/>
      <c r="K588" s="95"/>
      <c r="L588" s="95"/>
      <c r="M588" s="95"/>
      <c r="N588" s="95"/>
      <c r="O588" s="93"/>
    </row>
    <row r="589" spans="1:15" x14ac:dyDescent="0.25">
      <c r="A589" s="107"/>
      <c r="B589" s="94"/>
      <c r="C589" s="94"/>
      <c r="D589" s="94"/>
      <c r="E589" s="94"/>
      <c r="F589" s="94"/>
      <c r="G589" s="94"/>
      <c r="H589" s="94"/>
      <c r="I589" s="99"/>
      <c r="J589" s="94"/>
      <c r="K589" s="94"/>
      <c r="L589" s="94"/>
      <c r="M589" s="94"/>
      <c r="N589" s="94"/>
      <c r="O589" s="93"/>
    </row>
    <row r="590" spans="1:15" ht="15.75" thickBot="1" x14ac:dyDescent="0.3">
      <c r="A590" s="92"/>
      <c r="B590" s="91"/>
      <c r="C590" s="91"/>
      <c r="D590" s="91"/>
      <c r="E590" s="91"/>
      <c r="F590" s="91"/>
      <c r="G590" s="91"/>
      <c r="H590" s="91"/>
      <c r="I590" s="91"/>
      <c r="J590" s="91"/>
      <c r="K590" s="91"/>
      <c r="L590" s="91"/>
      <c r="M590" s="91"/>
      <c r="N590" s="91"/>
      <c r="O590" s="90"/>
    </row>
    <row r="591" spans="1:15" ht="15.75" thickBot="1" x14ac:dyDescent="0.3"/>
    <row r="592" spans="1:15" x14ac:dyDescent="0.25">
      <c r="A592" s="141"/>
      <c r="B592" s="140"/>
      <c r="C592" s="140"/>
      <c r="D592" s="140"/>
      <c r="E592" s="140"/>
      <c r="F592" s="140"/>
      <c r="G592" s="140"/>
      <c r="H592" s="140"/>
      <c r="I592" s="140"/>
      <c r="J592" s="272"/>
      <c r="K592" s="140"/>
      <c r="L592" s="140"/>
      <c r="M592" s="140"/>
      <c r="N592" s="140"/>
      <c r="O592" s="139"/>
    </row>
    <row r="593" spans="1:15" x14ac:dyDescent="0.25">
      <c r="A593" s="267" t="s">
        <v>57</v>
      </c>
      <c r="B593" s="133" t="s">
        <v>523</v>
      </c>
      <c r="C593" s="94"/>
      <c r="D593" s="94"/>
      <c r="E593" s="94"/>
      <c r="F593" s="94"/>
      <c r="G593" s="94"/>
      <c r="H593" s="94"/>
      <c r="I593" s="94"/>
      <c r="J593" s="271" t="s">
        <v>51</v>
      </c>
      <c r="K593" s="138">
        <v>81</v>
      </c>
      <c r="L593" s="94"/>
      <c r="M593" s="267" t="s">
        <v>113</v>
      </c>
      <c r="N593" s="100">
        <f>EN_04003_m+EN_04003_p</f>
        <v>2.0546959999999999</v>
      </c>
      <c r="O593" s="93"/>
    </row>
    <row r="594" spans="1:15" x14ac:dyDescent="0.25">
      <c r="A594" s="267" t="s">
        <v>125</v>
      </c>
      <c r="B594" s="133" t="s">
        <v>21</v>
      </c>
      <c r="C594" s="94"/>
      <c r="D594" s="267" t="s">
        <v>122</v>
      </c>
      <c r="E594" s="270" t="s">
        <v>522</v>
      </c>
      <c r="F594" s="94"/>
      <c r="G594" s="94"/>
      <c r="H594" s="94"/>
      <c r="I594" s="94"/>
      <c r="J594" s="94"/>
      <c r="K594" s="94"/>
      <c r="L594" s="94"/>
      <c r="M594" s="267" t="s">
        <v>124</v>
      </c>
      <c r="N594" s="136">
        <v>1</v>
      </c>
      <c r="O594" s="93"/>
    </row>
    <row r="595" spans="1:15" x14ac:dyDescent="0.25">
      <c r="A595" s="267" t="s">
        <v>123</v>
      </c>
      <c r="B595" s="270" t="str">
        <f>'EN Assemblies'!B164</f>
        <v>Fuel system</v>
      </c>
      <c r="C595" s="94"/>
      <c r="D595" s="267" t="s">
        <v>119</v>
      </c>
      <c r="E595" s="94"/>
      <c r="F595" s="94"/>
      <c r="G595" s="94"/>
      <c r="H595" s="94"/>
      <c r="I595" s="94"/>
      <c r="J595" s="268" t="s">
        <v>122</v>
      </c>
      <c r="K595" s="94"/>
      <c r="L595" s="94"/>
      <c r="M595" s="94"/>
      <c r="N595" s="94"/>
      <c r="O595" s="93"/>
    </row>
    <row r="596" spans="1:15" x14ac:dyDescent="0.25">
      <c r="A596" s="267" t="s">
        <v>114</v>
      </c>
      <c r="B596" s="135" t="s">
        <v>898</v>
      </c>
      <c r="C596" s="94"/>
      <c r="D596" s="267" t="s">
        <v>116</v>
      </c>
      <c r="E596" s="94"/>
      <c r="F596" s="94"/>
      <c r="G596" s="94"/>
      <c r="H596" s="94"/>
      <c r="I596" s="94"/>
      <c r="J596" s="268" t="s">
        <v>119</v>
      </c>
      <c r="K596" s="94"/>
      <c r="L596" s="94"/>
      <c r="M596" s="267" t="s">
        <v>118</v>
      </c>
      <c r="N596" s="100">
        <f>N594*N593</f>
        <v>2.0546959999999999</v>
      </c>
      <c r="O596" s="93"/>
    </row>
    <row r="597" spans="1:15" x14ac:dyDescent="0.25">
      <c r="A597" s="267" t="s">
        <v>121</v>
      </c>
      <c r="B597" s="269" t="s">
        <v>897</v>
      </c>
      <c r="C597" s="94"/>
      <c r="D597" s="94"/>
      <c r="E597" s="94"/>
      <c r="F597" s="94"/>
      <c r="G597" s="94"/>
      <c r="H597" s="94"/>
      <c r="I597" s="94"/>
      <c r="J597" s="268" t="s">
        <v>116</v>
      </c>
      <c r="K597" s="94"/>
      <c r="L597" s="94"/>
      <c r="M597" s="94"/>
      <c r="N597" s="94"/>
      <c r="O597" s="93"/>
    </row>
    <row r="598" spans="1:15" x14ac:dyDescent="0.25">
      <c r="A598" s="267" t="s">
        <v>117</v>
      </c>
      <c r="B598" s="133" t="s">
        <v>23</v>
      </c>
      <c r="C598" s="94"/>
      <c r="D598" s="94"/>
      <c r="E598" s="94"/>
      <c r="F598" s="94"/>
      <c r="G598" s="94"/>
      <c r="H598" s="94"/>
      <c r="I598" s="94"/>
      <c r="J598" s="94"/>
      <c r="K598" s="94"/>
      <c r="L598" s="94"/>
      <c r="M598" s="94"/>
      <c r="N598" s="94"/>
      <c r="O598" s="93"/>
    </row>
    <row r="599" spans="1:15" x14ac:dyDescent="0.25">
      <c r="A599" s="267" t="s">
        <v>115</v>
      </c>
      <c r="B599" s="133" t="s">
        <v>896</v>
      </c>
      <c r="C599" s="94"/>
      <c r="D599" s="94"/>
      <c r="E599" s="94"/>
      <c r="F599" s="94"/>
      <c r="G599" s="94"/>
      <c r="H599" s="94"/>
      <c r="I599" s="94"/>
      <c r="J599" s="94"/>
      <c r="K599" s="94"/>
      <c r="L599" s="94"/>
      <c r="M599" s="94"/>
      <c r="N599" s="94"/>
      <c r="O599" s="93"/>
    </row>
    <row r="600" spans="1:15" x14ac:dyDescent="0.25">
      <c r="A600" s="266"/>
      <c r="B600" s="265"/>
      <c r="C600" s="265"/>
      <c r="D600" s="265"/>
      <c r="E600" s="265"/>
      <c r="F600" s="94"/>
      <c r="G600" s="94"/>
      <c r="H600" s="94"/>
      <c r="I600" s="94"/>
      <c r="J600" s="94"/>
      <c r="K600" s="94"/>
      <c r="L600" s="94"/>
      <c r="M600" s="94"/>
      <c r="N600" s="94"/>
      <c r="O600" s="93"/>
    </row>
    <row r="601" spans="1:15" x14ac:dyDescent="0.25">
      <c r="A601" s="264" t="s">
        <v>67</v>
      </c>
      <c r="B601" s="263" t="s">
        <v>112</v>
      </c>
      <c r="C601" s="263" t="s">
        <v>66</v>
      </c>
      <c r="D601" s="263" t="s">
        <v>65</v>
      </c>
      <c r="E601" s="263" t="s">
        <v>81</v>
      </c>
      <c r="F601" s="445" t="s">
        <v>80</v>
      </c>
      <c r="G601" s="445" t="s">
        <v>79</v>
      </c>
      <c r="H601" s="445" t="s">
        <v>78</v>
      </c>
      <c r="I601" s="445" t="s">
        <v>111</v>
      </c>
      <c r="J601" s="445" t="s">
        <v>110</v>
      </c>
      <c r="K601" s="445" t="s">
        <v>109</v>
      </c>
      <c r="L601" s="445" t="s">
        <v>108</v>
      </c>
      <c r="M601" s="445" t="s">
        <v>40</v>
      </c>
      <c r="N601" s="445" t="s">
        <v>58</v>
      </c>
      <c r="O601" s="93"/>
    </row>
    <row r="602" spans="1:15" ht="30" x14ac:dyDescent="0.25">
      <c r="A602" s="457">
        <v>10</v>
      </c>
      <c r="B602" s="474" t="s">
        <v>895</v>
      </c>
      <c r="C602" s="473" t="s">
        <v>894</v>
      </c>
      <c r="D602" s="472">
        <v>2.25</v>
      </c>
      <c r="E602" s="457">
        <v>20</v>
      </c>
      <c r="F602" s="457" t="s">
        <v>68</v>
      </c>
      <c r="G602" s="457">
        <v>2</v>
      </c>
      <c r="H602" s="465" t="s">
        <v>68</v>
      </c>
      <c r="I602" s="468" t="s">
        <v>893</v>
      </c>
      <c r="J602" s="467">
        <v>4.0000000000000003E-5</v>
      </c>
      <c r="K602" s="465">
        <v>0.04</v>
      </c>
      <c r="L602" s="465">
        <v>7860</v>
      </c>
      <c r="M602" s="471">
        <v>1</v>
      </c>
      <c r="N602" s="447">
        <f>IF(J602="",D602*M602,D602*J602*K602*L602*M602)</f>
        <v>2.8296000000000002E-2</v>
      </c>
      <c r="O602" s="143"/>
    </row>
    <row r="603" spans="1:15" x14ac:dyDescent="0.25">
      <c r="A603" s="457">
        <v>30</v>
      </c>
      <c r="B603" s="457" t="s">
        <v>250</v>
      </c>
      <c r="C603" s="457" t="s">
        <v>529</v>
      </c>
      <c r="D603" s="458">
        <v>10</v>
      </c>
      <c r="E603" s="457">
        <v>1.6000000000000001E-3</v>
      </c>
      <c r="F603" s="457" t="s">
        <v>299</v>
      </c>
      <c r="G603" s="457"/>
      <c r="H603" s="465"/>
      <c r="I603" s="468"/>
      <c r="J603" s="467">
        <v>1.6000000000000001E-3</v>
      </c>
      <c r="K603" s="466">
        <v>1</v>
      </c>
      <c r="L603" s="465">
        <v>1</v>
      </c>
      <c r="M603" s="471">
        <v>1</v>
      </c>
      <c r="N603" s="447">
        <f>IF(J603="",D603*M603,D603*J603*K603*L603*M603)</f>
        <v>1.6E-2</v>
      </c>
      <c r="O603" s="143"/>
    </row>
    <row r="604" spans="1:15" x14ac:dyDescent="0.25">
      <c r="A604" s="98"/>
      <c r="B604" s="95"/>
      <c r="C604" s="95"/>
      <c r="D604" s="95"/>
      <c r="E604" s="95"/>
      <c r="F604" s="95"/>
      <c r="G604" s="95"/>
      <c r="H604" s="95"/>
      <c r="I604" s="95"/>
      <c r="J604" s="95"/>
      <c r="K604" s="95"/>
      <c r="L604" s="95"/>
      <c r="M604" s="256" t="s">
        <v>58</v>
      </c>
      <c r="N604" s="255">
        <f>SUM(N602:N603)</f>
        <v>4.4296000000000002E-2</v>
      </c>
      <c r="O604" s="93"/>
    </row>
    <row r="605" spans="1:15" x14ac:dyDescent="0.25">
      <c r="A605" s="107"/>
      <c r="B605" s="94"/>
      <c r="C605" s="94"/>
      <c r="D605" s="94"/>
      <c r="E605" s="94"/>
      <c r="F605" s="94"/>
      <c r="G605" s="94"/>
      <c r="H605" s="94"/>
      <c r="I605" s="94"/>
      <c r="J605" s="94"/>
      <c r="K605" s="94"/>
      <c r="L605" s="94"/>
      <c r="M605" s="94"/>
      <c r="N605" s="94"/>
      <c r="O605" s="93"/>
    </row>
    <row r="606" spans="1:15" x14ac:dyDescent="0.25">
      <c r="A606" s="446" t="s">
        <v>67</v>
      </c>
      <c r="B606" s="445" t="s">
        <v>106</v>
      </c>
      <c r="C606" s="445" t="s">
        <v>66</v>
      </c>
      <c r="D606" s="445" t="s">
        <v>65</v>
      </c>
      <c r="E606" s="445" t="s">
        <v>64</v>
      </c>
      <c r="F606" s="445" t="s">
        <v>40</v>
      </c>
      <c r="G606" s="445" t="s">
        <v>105</v>
      </c>
      <c r="H606" s="445" t="s">
        <v>104</v>
      </c>
      <c r="I606" s="445" t="s">
        <v>58</v>
      </c>
      <c r="J606" s="95"/>
      <c r="K606" s="95"/>
      <c r="L606" s="95"/>
      <c r="M606" s="95"/>
      <c r="N606" s="95"/>
      <c r="O606" s="93"/>
    </row>
    <row r="607" spans="1:15" ht="30" x14ac:dyDescent="0.25">
      <c r="A607" s="457">
        <v>10</v>
      </c>
      <c r="B607" s="470" t="s">
        <v>516</v>
      </c>
      <c r="C607" s="285" t="s">
        <v>528</v>
      </c>
      <c r="D607" s="283">
        <v>1.3</v>
      </c>
      <c r="E607" s="282" t="s">
        <v>64</v>
      </c>
      <c r="F607" s="282">
        <v>1</v>
      </c>
      <c r="G607" s="282"/>
      <c r="H607" s="282"/>
      <c r="I607" s="293">
        <f>IF(H607="",D607*F607,D607*F607*H607)</f>
        <v>1.3</v>
      </c>
      <c r="J607" s="142"/>
      <c r="K607" s="142"/>
      <c r="L607" s="142"/>
      <c r="M607" s="142"/>
      <c r="N607" s="142"/>
      <c r="O607" s="120"/>
    </row>
    <row r="608" spans="1:15" x14ac:dyDescent="0.25">
      <c r="A608" s="282">
        <v>20</v>
      </c>
      <c r="B608" s="285" t="s">
        <v>527</v>
      </c>
      <c r="C608" s="285" t="s">
        <v>526</v>
      </c>
      <c r="D608" s="283">
        <v>0.01</v>
      </c>
      <c r="E608" s="282" t="s">
        <v>101</v>
      </c>
      <c r="F608" s="282">
        <v>23.4</v>
      </c>
      <c r="G608" s="282" t="s">
        <v>525</v>
      </c>
      <c r="H608" s="282">
        <v>3</v>
      </c>
      <c r="I608" s="293">
        <f>IF(H608="",D608*F608,D608*F608*H608)</f>
        <v>0.70199999999999996</v>
      </c>
      <c r="J608" s="94"/>
      <c r="K608" s="94"/>
      <c r="L608" s="94"/>
      <c r="M608" s="94"/>
      <c r="N608" s="94"/>
      <c r="O608" s="93"/>
    </row>
    <row r="609" spans="1:15" x14ac:dyDescent="0.25">
      <c r="A609" s="282">
        <v>30</v>
      </c>
      <c r="B609" s="285" t="s">
        <v>243</v>
      </c>
      <c r="C609" s="376" t="s">
        <v>502</v>
      </c>
      <c r="D609" s="283">
        <v>5.25</v>
      </c>
      <c r="E609" s="282" t="s">
        <v>299</v>
      </c>
      <c r="F609" s="282">
        <v>1.6000000000000001E-3</v>
      </c>
      <c r="G609" s="282"/>
      <c r="H609" s="282"/>
      <c r="I609" s="276">
        <f>IF(H609="",D609*F609,D609*F609*H609)</f>
        <v>8.4000000000000012E-3</v>
      </c>
      <c r="J609" s="99"/>
      <c r="K609" s="99"/>
      <c r="L609" s="99"/>
      <c r="M609" s="99"/>
      <c r="N609" s="99"/>
      <c r="O609" s="130"/>
    </row>
    <row r="610" spans="1:15" x14ac:dyDescent="0.25">
      <c r="A610" s="98"/>
      <c r="B610" s="95"/>
      <c r="C610" s="95"/>
      <c r="D610" s="95"/>
      <c r="E610" s="95"/>
      <c r="F610" s="95"/>
      <c r="G610" s="95"/>
      <c r="H610" s="256" t="s">
        <v>58</v>
      </c>
      <c r="I610" s="255">
        <f>SUM(I607:I609)</f>
        <v>2.0103999999999997</v>
      </c>
      <c r="J610" s="95"/>
      <c r="K610" s="95"/>
      <c r="L610" s="95"/>
      <c r="M610" s="95"/>
      <c r="N610" s="95"/>
      <c r="O610" s="93"/>
    </row>
    <row r="611" spans="1:15" x14ac:dyDescent="0.25">
      <c r="A611" s="107"/>
      <c r="B611" s="94"/>
      <c r="C611" s="94"/>
      <c r="D611" s="94"/>
      <c r="E611" s="94"/>
      <c r="F611" s="94"/>
      <c r="G611" s="94"/>
      <c r="H611" s="94"/>
      <c r="I611" s="99"/>
      <c r="J611" s="94"/>
      <c r="K611" s="94"/>
      <c r="L611" s="94"/>
      <c r="M611" s="94"/>
      <c r="N611" s="94"/>
      <c r="O611" s="93"/>
    </row>
    <row r="612" spans="1:15" ht="15.75" thickBot="1" x14ac:dyDescent="0.3">
      <c r="A612" s="92"/>
      <c r="B612" s="91"/>
      <c r="C612" s="91"/>
      <c r="D612" s="91"/>
      <c r="E612" s="91"/>
      <c r="F612" s="91"/>
      <c r="G612" s="91"/>
      <c r="H612" s="91"/>
      <c r="I612" s="91"/>
      <c r="J612" s="91"/>
      <c r="K612" s="91"/>
      <c r="L612" s="91"/>
      <c r="M612" s="91"/>
      <c r="N612" s="91"/>
      <c r="O612" s="90"/>
    </row>
    <row r="613" spans="1:15" ht="15.75" thickBot="1" x14ac:dyDescent="0.3"/>
    <row r="614" spans="1:15" x14ac:dyDescent="0.25">
      <c r="A614" s="141"/>
      <c r="B614" s="140"/>
      <c r="C614" s="140"/>
      <c r="D614" s="140"/>
      <c r="E614" s="140"/>
      <c r="F614" s="140"/>
      <c r="G614" s="140"/>
      <c r="H614" s="140"/>
      <c r="I614" s="140"/>
      <c r="J614" s="272"/>
      <c r="K614" s="140"/>
      <c r="L614" s="140"/>
      <c r="M614" s="140"/>
      <c r="N614" s="140"/>
      <c r="O614" s="139"/>
    </row>
    <row r="615" spans="1:15" x14ac:dyDescent="0.25">
      <c r="A615" s="267" t="s">
        <v>57</v>
      </c>
      <c r="B615" s="133" t="s">
        <v>523</v>
      </c>
      <c r="C615" s="94"/>
      <c r="D615" s="94"/>
      <c r="E615" s="94"/>
      <c r="F615" s="94"/>
      <c r="G615" s="94"/>
      <c r="H615" s="94"/>
      <c r="I615" s="94"/>
      <c r="J615" s="271" t="s">
        <v>51</v>
      </c>
      <c r="K615" s="138">
        <v>81</v>
      </c>
      <c r="L615" s="94"/>
      <c r="M615" s="267" t="s">
        <v>113</v>
      </c>
      <c r="N615" s="100">
        <f>EN_04004_m+EN_04004_p</f>
        <v>2.5892678999999998</v>
      </c>
      <c r="O615" s="93"/>
    </row>
    <row r="616" spans="1:15" x14ac:dyDescent="0.25">
      <c r="A616" s="267" t="s">
        <v>125</v>
      </c>
      <c r="B616" s="133" t="s">
        <v>21</v>
      </c>
      <c r="C616" s="94"/>
      <c r="D616" s="267" t="s">
        <v>122</v>
      </c>
      <c r="E616" s="94"/>
      <c r="F616" s="94"/>
      <c r="G616" s="94"/>
      <c r="H616" s="94"/>
      <c r="I616" s="94"/>
      <c r="J616" s="94"/>
      <c r="K616" s="94"/>
      <c r="L616" s="94"/>
      <c r="M616" s="267" t="s">
        <v>124</v>
      </c>
      <c r="N616" s="136">
        <v>1</v>
      </c>
      <c r="O616" s="93"/>
    </row>
    <row r="617" spans="1:15" x14ac:dyDescent="0.25">
      <c r="A617" s="267" t="s">
        <v>123</v>
      </c>
      <c r="B617" s="270" t="str">
        <f>'EN Assemblies'!B164</f>
        <v>Fuel system</v>
      </c>
      <c r="C617" s="94"/>
      <c r="D617" s="267" t="s">
        <v>119</v>
      </c>
      <c r="E617" s="94"/>
      <c r="F617" s="94"/>
      <c r="G617" s="94"/>
      <c r="H617" s="94"/>
      <c r="I617" s="94"/>
      <c r="J617" s="268" t="s">
        <v>122</v>
      </c>
      <c r="K617" s="94"/>
      <c r="L617" s="94"/>
      <c r="M617" s="94"/>
      <c r="N617" s="94"/>
      <c r="O617" s="93"/>
    </row>
    <row r="618" spans="1:15" x14ac:dyDescent="0.25">
      <c r="A618" s="267" t="s">
        <v>114</v>
      </c>
      <c r="B618" s="135" t="s">
        <v>892</v>
      </c>
      <c r="C618" s="94"/>
      <c r="D618" s="267" t="s">
        <v>116</v>
      </c>
      <c r="E618" s="94"/>
      <c r="F618" s="94"/>
      <c r="G618" s="94"/>
      <c r="H618" s="94"/>
      <c r="I618" s="94"/>
      <c r="J618" s="268" t="s">
        <v>119</v>
      </c>
      <c r="K618" s="94"/>
      <c r="L618" s="94"/>
      <c r="M618" s="267" t="s">
        <v>118</v>
      </c>
      <c r="N618" s="100">
        <f>N616*N615</f>
        <v>2.5892678999999998</v>
      </c>
      <c r="O618" s="93"/>
    </row>
    <row r="619" spans="1:15" x14ac:dyDescent="0.25">
      <c r="A619" s="267" t="s">
        <v>121</v>
      </c>
      <c r="B619" s="269" t="s">
        <v>891</v>
      </c>
      <c r="C619" s="94"/>
      <c r="D619" s="94"/>
      <c r="E619" s="94"/>
      <c r="F619" s="94"/>
      <c r="G619" s="94"/>
      <c r="H619" s="94"/>
      <c r="I619" s="94"/>
      <c r="J619" s="268" t="s">
        <v>116</v>
      </c>
      <c r="K619" s="94"/>
      <c r="L619" s="94"/>
      <c r="M619" s="94"/>
      <c r="N619" s="94"/>
      <c r="O619" s="93"/>
    </row>
    <row r="620" spans="1:15" x14ac:dyDescent="0.25">
      <c r="A620" s="267" t="s">
        <v>117</v>
      </c>
      <c r="B620" s="133" t="s">
        <v>23</v>
      </c>
      <c r="C620" s="94"/>
      <c r="D620" s="94"/>
      <c r="E620" s="94"/>
      <c r="F620" s="94"/>
      <c r="G620" s="94"/>
      <c r="H620" s="94"/>
      <c r="I620" s="94"/>
      <c r="J620" s="94"/>
      <c r="K620" s="94"/>
      <c r="L620" s="94"/>
      <c r="M620" s="94"/>
      <c r="N620" s="94"/>
      <c r="O620" s="93"/>
    </row>
    <row r="621" spans="1:15" x14ac:dyDescent="0.25">
      <c r="A621" s="267" t="s">
        <v>115</v>
      </c>
      <c r="B621" s="133" t="s">
        <v>890</v>
      </c>
      <c r="C621" s="94"/>
      <c r="D621" s="94"/>
      <c r="E621" s="94"/>
      <c r="F621" s="94"/>
      <c r="G621" s="94"/>
      <c r="H621" s="94"/>
      <c r="I621" s="94"/>
      <c r="J621" s="94"/>
      <c r="K621" s="94"/>
      <c r="L621" s="94"/>
      <c r="M621" s="94"/>
      <c r="N621" s="94"/>
      <c r="O621" s="93"/>
    </row>
    <row r="622" spans="1:15" x14ac:dyDescent="0.25">
      <c r="A622" s="266"/>
      <c r="B622" s="265"/>
      <c r="C622" s="265"/>
      <c r="D622" s="265"/>
      <c r="E622" s="265"/>
      <c r="F622" s="94"/>
      <c r="G622" s="94"/>
      <c r="H622" s="94"/>
      <c r="I622" s="94"/>
      <c r="J622" s="94"/>
      <c r="K622" s="94"/>
      <c r="L622" s="94"/>
      <c r="M622" s="94"/>
      <c r="N622" s="94"/>
      <c r="O622" s="93"/>
    </row>
    <row r="623" spans="1:15" x14ac:dyDescent="0.25">
      <c r="A623" s="264" t="s">
        <v>67</v>
      </c>
      <c r="B623" s="263" t="s">
        <v>112</v>
      </c>
      <c r="C623" s="263" t="s">
        <v>66</v>
      </c>
      <c r="D623" s="263" t="s">
        <v>65</v>
      </c>
      <c r="E623" s="263" t="s">
        <v>81</v>
      </c>
      <c r="F623" s="274" t="s">
        <v>80</v>
      </c>
      <c r="G623" s="274" t="s">
        <v>79</v>
      </c>
      <c r="H623" s="274" t="s">
        <v>78</v>
      </c>
      <c r="I623" s="274" t="s">
        <v>111</v>
      </c>
      <c r="J623" s="274" t="s">
        <v>110</v>
      </c>
      <c r="K623" s="274" t="s">
        <v>109</v>
      </c>
      <c r="L623" s="274" t="s">
        <v>108</v>
      </c>
      <c r="M623" s="274" t="s">
        <v>40</v>
      </c>
      <c r="N623" s="274" t="s">
        <v>58</v>
      </c>
      <c r="O623" s="93"/>
    </row>
    <row r="624" spans="1:15" ht="30" x14ac:dyDescent="0.25">
      <c r="A624" s="282">
        <v>10</v>
      </c>
      <c r="B624" s="282" t="s">
        <v>880</v>
      </c>
      <c r="C624" s="282" t="s">
        <v>889</v>
      </c>
      <c r="D624" s="283">
        <v>4.2</v>
      </c>
      <c r="E624" s="282">
        <v>20</v>
      </c>
      <c r="F624" s="282" t="s">
        <v>68</v>
      </c>
      <c r="G624" s="282">
        <v>1</v>
      </c>
      <c r="H624" s="278" t="s">
        <v>68</v>
      </c>
      <c r="I624" s="281" t="s">
        <v>888</v>
      </c>
      <c r="J624" s="280">
        <v>1.5E-5</v>
      </c>
      <c r="K624" s="279">
        <v>0.23</v>
      </c>
      <c r="L624" s="278">
        <v>2710</v>
      </c>
      <c r="M624" s="284">
        <v>1</v>
      </c>
      <c r="N624" s="276">
        <f>IF(J624="",D624*M624,D624*J624*K624*L624*M624)</f>
        <v>3.9267900000000001E-2</v>
      </c>
      <c r="O624" s="143"/>
    </row>
    <row r="625" spans="1:15" x14ac:dyDescent="0.25">
      <c r="A625" s="98"/>
      <c r="B625" s="95"/>
      <c r="C625" s="95"/>
      <c r="D625" s="95"/>
      <c r="E625" s="95"/>
      <c r="F625" s="95"/>
      <c r="G625" s="95"/>
      <c r="H625" s="95"/>
      <c r="I625" s="95"/>
      <c r="J625" s="95"/>
      <c r="K625" s="95"/>
      <c r="L625" s="95"/>
      <c r="M625" s="256" t="s">
        <v>58</v>
      </c>
      <c r="N625" s="255">
        <f>SUM(N624:N624)</f>
        <v>3.9267900000000001E-2</v>
      </c>
      <c r="O625" s="93"/>
    </row>
    <row r="626" spans="1:15" x14ac:dyDescent="0.25">
      <c r="A626" s="107"/>
      <c r="B626" s="94"/>
      <c r="C626" s="94"/>
      <c r="D626" s="94"/>
      <c r="E626" s="94"/>
      <c r="F626" s="94"/>
      <c r="G626" s="94"/>
      <c r="H626" s="94"/>
      <c r="I626" s="94"/>
      <c r="J626" s="94"/>
      <c r="K626" s="94"/>
      <c r="L626" s="94"/>
      <c r="M626" s="94"/>
      <c r="N626" s="94"/>
      <c r="O626" s="93"/>
    </row>
    <row r="627" spans="1:15" x14ac:dyDescent="0.25">
      <c r="A627" s="418" t="s">
        <v>67</v>
      </c>
      <c r="B627" s="274" t="s">
        <v>106</v>
      </c>
      <c r="C627" s="274" t="s">
        <v>66</v>
      </c>
      <c r="D627" s="274" t="s">
        <v>65</v>
      </c>
      <c r="E627" s="274" t="s">
        <v>64</v>
      </c>
      <c r="F627" s="274" t="s">
        <v>40</v>
      </c>
      <c r="G627" s="274" t="s">
        <v>105</v>
      </c>
      <c r="H627" s="274" t="s">
        <v>104</v>
      </c>
      <c r="I627" s="274" t="s">
        <v>58</v>
      </c>
      <c r="J627" s="95"/>
      <c r="K627" s="95"/>
      <c r="L627" s="95"/>
      <c r="M627" s="95"/>
      <c r="N627" s="95"/>
      <c r="O627" s="93"/>
    </row>
    <row r="628" spans="1:15" ht="30" x14ac:dyDescent="0.25">
      <c r="A628" s="457">
        <v>10</v>
      </c>
      <c r="B628" s="470" t="s">
        <v>516</v>
      </c>
      <c r="C628" s="459" t="s">
        <v>686</v>
      </c>
      <c r="D628" s="458">
        <v>1.3</v>
      </c>
      <c r="E628" s="457" t="s">
        <v>64</v>
      </c>
      <c r="F628" s="457">
        <v>1</v>
      </c>
      <c r="G628" s="457"/>
      <c r="H628" s="457"/>
      <c r="I628" s="460">
        <f>IF(H628="",D628*F628,D628*F628*H628)</f>
        <v>1.3</v>
      </c>
      <c r="J628" s="142"/>
      <c r="K628" s="142"/>
      <c r="L628" s="142"/>
      <c r="M628" s="142"/>
      <c r="N628" s="142"/>
      <c r="O628" s="120"/>
    </row>
    <row r="629" spans="1:15" x14ac:dyDescent="0.25">
      <c r="A629" s="457">
        <v>20</v>
      </c>
      <c r="B629" s="461" t="s">
        <v>527</v>
      </c>
      <c r="C629" s="461"/>
      <c r="D629" s="458">
        <v>0.01</v>
      </c>
      <c r="E629" s="457" t="s">
        <v>101</v>
      </c>
      <c r="F629" s="457">
        <v>50</v>
      </c>
      <c r="G629" s="457" t="s">
        <v>870</v>
      </c>
      <c r="H629" s="457">
        <v>1</v>
      </c>
      <c r="I629" s="460">
        <f>IF(H629="",D629*F629,D629*F629*H629)</f>
        <v>0.5</v>
      </c>
      <c r="J629" s="94"/>
      <c r="K629" s="94"/>
      <c r="L629" s="94"/>
      <c r="M629" s="94"/>
      <c r="N629" s="94"/>
      <c r="O629" s="93"/>
    </row>
    <row r="630" spans="1:15" x14ac:dyDescent="0.25">
      <c r="A630" s="457">
        <v>30</v>
      </c>
      <c r="B630" s="444" t="s">
        <v>539</v>
      </c>
      <c r="C630" s="459" t="s">
        <v>887</v>
      </c>
      <c r="D630" s="458">
        <v>0.25</v>
      </c>
      <c r="E630" s="457" t="s">
        <v>537</v>
      </c>
      <c r="F630" s="457">
        <v>3</v>
      </c>
      <c r="G630" s="457"/>
      <c r="H630" s="457"/>
      <c r="I630" s="447">
        <f>IF(H630="",D630*F630,D630*F630*H630)</f>
        <v>0.75</v>
      </c>
      <c r="J630" s="99"/>
      <c r="K630" s="99"/>
      <c r="L630" s="99"/>
      <c r="M630" s="99"/>
      <c r="N630" s="99"/>
      <c r="O630" s="130"/>
    </row>
    <row r="631" spans="1:15" x14ac:dyDescent="0.25">
      <c r="A631" s="98"/>
      <c r="B631" s="95"/>
      <c r="C631" s="95"/>
      <c r="D631" s="95"/>
      <c r="E631" s="95"/>
      <c r="F631" s="95"/>
      <c r="G631" s="95"/>
      <c r="H631" s="256" t="s">
        <v>58</v>
      </c>
      <c r="I631" s="255">
        <f>SUM(I628:I630)</f>
        <v>2.5499999999999998</v>
      </c>
      <c r="J631" s="95"/>
      <c r="K631" s="95"/>
      <c r="L631" s="95"/>
      <c r="M631" s="95"/>
      <c r="N631" s="95"/>
      <c r="O631" s="93"/>
    </row>
    <row r="632" spans="1:15" x14ac:dyDescent="0.25">
      <c r="A632" s="107"/>
      <c r="B632" s="94"/>
      <c r="C632" s="94"/>
      <c r="D632" s="94"/>
      <c r="E632" s="94"/>
      <c r="F632" s="94"/>
      <c r="G632" s="94"/>
      <c r="H632" s="94"/>
      <c r="I632" s="99"/>
      <c r="J632" s="94"/>
      <c r="K632" s="94"/>
      <c r="L632" s="94"/>
      <c r="M632" s="94"/>
      <c r="N632" s="94"/>
      <c r="O632" s="93"/>
    </row>
    <row r="633" spans="1:15" ht="15.75" thickBot="1" x14ac:dyDescent="0.3">
      <c r="A633" s="92"/>
      <c r="B633" s="91"/>
      <c r="C633" s="91"/>
      <c r="D633" s="91"/>
      <c r="E633" s="91"/>
      <c r="F633" s="91"/>
      <c r="G633" s="91"/>
      <c r="H633" s="91"/>
      <c r="I633" s="91"/>
      <c r="J633" s="91"/>
      <c r="K633" s="91"/>
      <c r="L633" s="91"/>
      <c r="M633" s="91"/>
      <c r="N633" s="91"/>
      <c r="O633" s="90"/>
    </row>
    <row r="634" spans="1:15" ht="15.75" thickBot="1" x14ac:dyDescent="0.3"/>
    <row r="635" spans="1:15" x14ac:dyDescent="0.25">
      <c r="A635" s="141"/>
      <c r="B635" s="140"/>
      <c r="C635" s="140"/>
      <c r="D635" s="140"/>
      <c r="E635" s="140"/>
      <c r="F635" s="140"/>
      <c r="G635" s="140"/>
      <c r="H635" s="140"/>
      <c r="I635" s="140"/>
      <c r="J635" s="272"/>
      <c r="K635" s="140"/>
      <c r="L635" s="140"/>
      <c r="M635" s="140"/>
      <c r="N635" s="140"/>
      <c r="O635" s="139"/>
    </row>
    <row r="636" spans="1:15" x14ac:dyDescent="0.25">
      <c r="A636" s="267" t="s">
        <v>57</v>
      </c>
      <c r="B636" s="133" t="s">
        <v>523</v>
      </c>
      <c r="C636" s="94"/>
      <c r="D636" s="94"/>
      <c r="E636" s="94"/>
      <c r="F636" s="94"/>
      <c r="G636" s="94"/>
      <c r="H636" s="94"/>
      <c r="I636" s="94"/>
      <c r="J636" s="271" t="s">
        <v>51</v>
      </c>
      <c r="K636" s="138">
        <v>81</v>
      </c>
      <c r="L636" s="94"/>
      <c r="M636" s="267" t="s">
        <v>113</v>
      </c>
      <c r="N636" s="100">
        <f>EN_04005_m+EN_04005_p</f>
        <v>2.2310964000000002</v>
      </c>
      <c r="O636" s="93"/>
    </row>
    <row r="637" spans="1:15" x14ac:dyDescent="0.25">
      <c r="A637" s="267" t="s">
        <v>125</v>
      </c>
      <c r="B637" s="133" t="s">
        <v>21</v>
      </c>
      <c r="C637" s="94"/>
      <c r="D637" s="267" t="s">
        <v>122</v>
      </c>
      <c r="E637" s="270" t="s">
        <v>522</v>
      </c>
      <c r="F637" s="94"/>
      <c r="G637" s="94"/>
      <c r="H637" s="94"/>
      <c r="I637" s="94"/>
      <c r="J637" s="94"/>
      <c r="K637" s="94"/>
      <c r="L637" s="94"/>
      <c r="M637" s="267" t="s">
        <v>124</v>
      </c>
      <c r="N637" s="136">
        <v>1</v>
      </c>
      <c r="O637" s="93"/>
    </row>
    <row r="638" spans="1:15" x14ac:dyDescent="0.25">
      <c r="A638" s="267" t="s">
        <v>123</v>
      </c>
      <c r="B638" s="270" t="str">
        <f>'EN Assemblies'!B164</f>
        <v>Fuel system</v>
      </c>
      <c r="C638" s="94"/>
      <c r="D638" s="267" t="s">
        <v>119</v>
      </c>
      <c r="E638" s="94"/>
      <c r="F638" s="94"/>
      <c r="G638" s="94"/>
      <c r="H638" s="94"/>
      <c r="I638" s="94"/>
      <c r="J638" s="268" t="s">
        <v>122</v>
      </c>
      <c r="K638" s="94"/>
      <c r="L638" s="94"/>
      <c r="M638" s="94"/>
      <c r="N638" s="94"/>
      <c r="O638" s="93"/>
    </row>
    <row r="639" spans="1:15" x14ac:dyDescent="0.25">
      <c r="A639" s="267" t="s">
        <v>114</v>
      </c>
      <c r="B639" s="135" t="s">
        <v>886</v>
      </c>
      <c r="C639" s="94"/>
      <c r="D639" s="267" t="s">
        <v>116</v>
      </c>
      <c r="E639" s="94"/>
      <c r="F639" s="94"/>
      <c r="G639" s="94"/>
      <c r="H639" s="94"/>
      <c r="I639" s="94"/>
      <c r="J639" s="268" t="s">
        <v>119</v>
      </c>
      <c r="K639" s="94"/>
      <c r="L639" s="94"/>
      <c r="M639" s="267" t="s">
        <v>118</v>
      </c>
      <c r="N639" s="100">
        <f>N637*N636</f>
        <v>2.2310964000000002</v>
      </c>
      <c r="O639" s="93"/>
    </row>
    <row r="640" spans="1:15" x14ac:dyDescent="0.25">
      <c r="A640" s="267" t="s">
        <v>121</v>
      </c>
      <c r="B640" s="269" t="s">
        <v>885</v>
      </c>
      <c r="C640" s="94"/>
      <c r="D640" s="94"/>
      <c r="E640" s="94"/>
      <c r="F640" s="94"/>
      <c r="G640" s="94"/>
      <c r="H640" s="94"/>
      <c r="I640" s="94"/>
      <c r="J640" s="268" t="s">
        <v>116</v>
      </c>
      <c r="K640" s="94"/>
      <c r="L640" s="94"/>
      <c r="M640" s="94"/>
      <c r="N640" s="94"/>
      <c r="O640" s="93"/>
    </row>
    <row r="641" spans="1:15" x14ac:dyDescent="0.25">
      <c r="A641" s="267" t="s">
        <v>117</v>
      </c>
      <c r="B641" s="133" t="s">
        <v>23</v>
      </c>
      <c r="C641" s="94"/>
      <c r="D641" s="94"/>
      <c r="E641" s="94"/>
      <c r="F641" s="94"/>
      <c r="G641" s="94"/>
      <c r="H641" s="94"/>
      <c r="I641" s="94"/>
      <c r="J641" s="94"/>
      <c r="K641" s="94"/>
      <c r="L641" s="94"/>
      <c r="M641" s="94"/>
      <c r="N641" s="94"/>
      <c r="O641" s="93"/>
    </row>
    <row r="642" spans="1:15" x14ac:dyDescent="0.25">
      <c r="A642" s="267" t="s">
        <v>115</v>
      </c>
      <c r="B642" s="133" t="s">
        <v>884</v>
      </c>
      <c r="C642" s="94"/>
      <c r="D642" s="94"/>
      <c r="E642" s="94"/>
      <c r="F642" s="94"/>
      <c r="G642" s="94"/>
      <c r="H642" s="94"/>
      <c r="I642" s="94"/>
      <c r="J642" s="94"/>
      <c r="K642" s="94"/>
      <c r="L642" s="94"/>
      <c r="M642" s="94"/>
      <c r="N642" s="94"/>
      <c r="O642" s="93"/>
    </row>
    <row r="643" spans="1:15" x14ac:dyDescent="0.25">
      <c r="A643" s="266"/>
      <c r="B643" s="265"/>
      <c r="C643" s="265"/>
      <c r="D643" s="265"/>
      <c r="E643" s="265"/>
      <c r="F643" s="94"/>
      <c r="G643" s="94"/>
      <c r="H643" s="94"/>
      <c r="I643" s="94"/>
      <c r="J643" s="94"/>
      <c r="K643" s="94"/>
      <c r="L643" s="94"/>
      <c r="M643" s="94"/>
      <c r="N643" s="94"/>
      <c r="O643" s="93"/>
    </row>
    <row r="644" spans="1:15" x14ac:dyDescent="0.25">
      <c r="A644" s="264" t="s">
        <v>67</v>
      </c>
      <c r="B644" s="263" t="s">
        <v>112</v>
      </c>
      <c r="C644" s="263" t="s">
        <v>66</v>
      </c>
      <c r="D644" s="263" t="s">
        <v>65</v>
      </c>
      <c r="E644" s="263" t="s">
        <v>81</v>
      </c>
      <c r="F644" s="445" t="s">
        <v>80</v>
      </c>
      <c r="G644" s="445" t="s">
        <v>79</v>
      </c>
      <c r="H644" s="445" t="s">
        <v>78</v>
      </c>
      <c r="I644" s="445" t="s">
        <v>111</v>
      </c>
      <c r="J644" s="445" t="s">
        <v>110</v>
      </c>
      <c r="K644" s="445" t="s">
        <v>109</v>
      </c>
      <c r="L644" s="445" t="s">
        <v>108</v>
      </c>
      <c r="M644" s="445" t="s">
        <v>40</v>
      </c>
      <c r="N644" s="445" t="s">
        <v>58</v>
      </c>
      <c r="O644" s="93"/>
    </row>
    <row r="645" spans="1:15" ht="30" x14ac:dyDescent="0.25">
      <c r="A645" s="469">
        <v>10</v>
      </c>
      <c r="B645" s="457" t="s">
        <v>880</v>
      </c>
      <c r="C645" s="457" t="s">
        <v>879</v>
      </c>
      <c r="D645" s="458">
        <v>4.2</v>
      </c>
      <c r="E645" s="457">
        <v>30</v>
      </c>
      <c r="F645" s="457" t="s">
        <v>68</v>
      </c>
      <c r="G645" s="457">
        <v>2</v>
      </c>
      <c r="H645" s="465" t="s">
        <v>68</v>
      </c>
      <c r="I645" s="468" t="s">
        <v>878</v>
      </c>
      <c r="J645" s="467">
        <v>6.0000000000000002E-5</v>
      </c>
      <c r="K645" s="466">
        <v>0.17</v>
      </c>
      <c r="L645" s="465">
        <v>2710</v>
      </c>
      <c r="M645" s="464">
        <v>1</v>
      </c>
      <c r="N645" s="447">
        <f>IF(J645="",D645*M645,D645*J645*K645*L645*M645)</f>
        <v>0.1160964</v>
      </c>
      <c r="O645" s="143"/>
    </row>
    <row r="646" spans="1:15" x14ac:dyDescent="0.25">
      <c r="A646" s="98"/>
      <c r="B646" s="95"/>
      <c r="C646" s="95"/>
      <c r="D646" s="95"/>
      <c r="E646" s="95"/>
      <c r="F646" s="95"/>
      <c r="G646" s="95"/>
      <c r="H646" s="95"/>
      <c r="I646" s="95"/>
      <c r="J646" s="95"/>
      <c r="K646" s="95"/>
      <c r="L646" s="95"/>
      <c r="M646" s="256" t="s">
        <v>58</v>
      </c>
      <c r="N646" s="255">
        <f>SUM(N645:N645)</f>
        <v>0.1160964</v>
      </c>
      <c r="O646" s="93"/>
    </row>
    <row r="647" spans="1:15" x14ac:dyDescent="0.25">
      <c r="A647" s="107"/>
      <c r="B647" s="94"/>
      <c r="C647" s="94"/>
      <c r="D647" s="94"/>
      <c r="E647" s="94"/>
      <c r="F647" s="94"/>
      <c r="G647" s="94"/>
      <c r="H647" s="94"/>
      <c r="I647" s="94"/>
      <c r="J647" s="94"/>
      <c r="K647" s="94"/>
      <c r="L647" s="94"/>
      <c r="M647" s="94"/>
      <c r="N647" s="94"/>
      <c r="O647" s="93"/>
    </row>
    <row r="648" spans="1:15" x14ac:dyDescent="0.25">
      <c r="A648" s="446" t="s">
        <v>67</v>
      </c>
      <c r="B648" s="445" t="s">
        <v>106</v>
      </c>
      <c r="C648" s="445" t="s">
        <v>66</v>
      </c>
      <c r="D648" s="445" t="s">
        <v>65</v>
      </c>
      <c r="E648" s="445" t="s">
        <v>64</v>
      </c>
      <c r="F648" s="445" t="s">
        <v>40</v>
      </c>
      <c r="G648" s="445" t="s">
        <v>105</v>
      </c>
      <c r="H648" s="445" t="s">
        <v>104</v>
      </c>
      <c r="I648" s="445" t="s">
        <v>58</v>
      </c>
      <c r="J648" s="95"/>
      <c r="K648" s="95"/>
      <c r="L648" s="95"/>
      <c r="M648" s="95"/>
      <c r="N648" s="95"/>
      <c r="O648" s="93"/>
    </row>
    <row r="649" spans="1:15" ht="30" x14ac:dyDescent="0.25">
      <c r="A649" s="463">
        <v>10</v>
      </c>
      <c r="B649" s="462" t="s">
        <v>516</v>
      </c>
      <c r="C649" s="439" t="s">
        <v>686</v>
      </c>
      <c r="D649" s="460">
        <v>1.3</v>
      </c>
      <c r="E649" s="462" t="s">
        <v>64</v>
      </c>
      <c r="F649" s="439">
        <v>1</v>
      </c>
      <c r="G649" s="439"/>
      <c r="H649" s="439"/>
      <c r="I649" s="460">
        <f>IF(H649="",D649*F649,D649*F649*H649)</f>
        <v>1.3</v>
      </c>
      <c r="J649" s="142"/>
      <c r="K649" s="142"/>
      <c r="L649" s="142"/>
      <c r="M649" s="142"/>
      <c r="N649" s="142"/>
      <c r="O649" s="120"/>
    </row>
    <row r="650" spans="1:15" x14ac:dyDescent="0.25">
      <c r="A650" s="457">
        <v>20</v>
      </c>
      <c r="B650" s="461" t="s">
        <v>527</v>
      </c>
      <c r="C650" s="461"/>
      <c r="D650" s="458">
        <v>0.01</v>
      </c>
      <c r="E650" s="457" t="s">
        <v>101</v>
      </c>
      <c r="F650" s="457">
        <v>31.5</v>
      </c>
      <c r="G650" s="457" t="s">
        <v>870</v>
      </c>
      <c r="H650" s="457">
        <v>1</v>
      </c>
      <c r="I650" s="460">
        <f>IF(H650="",D650*F650,D650*F650*H650)</f>
        <v>0.315</v>
      </c>
      <c r="J650" s="94"/>
      <c r="K650" s="94"/>
      <c r="L650" s="94"/>
      <c r="M650" s="94"/>
      <c r="N650" s="94"/>
      <c r="O650" s="93"/>
    </row>
    <row r="651" spans="1:15" x14ac:dyDescent="0.25">
      <c r="A651" s="457">
        <v>30</v>
      </c>
      <c r="B651" s="444" t="s">
        <v>539</v>
      </c>
      <c r="C651" s="459" t="s">
        <v>877</v>
      </c>
      <c r="D651" s="458">
        <v>0.25</v>
      </c>
      <c r="E651" s="457" t="s">
        <v>537</v>
      </c>
      <c r="F651" s="457">
        <v>2</v>
      </c>
      <c r="G651" s="457"/>
      <c r="H651" s="457"/>
      <c r="I651" s="447">
        <f>IF(H651="",D651*F651,D651*F651*H651)</f>
        <v>0.5</v>
      </c>
      <c r="J651" s="99"/>
      <c r="K651" s="99"/>
      <c r="L651" s="99"/>
      <c r="M651" s="99"/>
      <c r="N651" s="99"/>
      <c r="O651" s="130"/>
    </row>
    <row r="652" spans="1:15" x14ac:dyDescent="0.25">
      <c r="A652" s="98"/>
      <c r="B652" s="95"/>
      <c r="C652" s="95"/>
      <c r="D652" s="95"/>
      <c r="E652" s="95"/>
      <c r="F652" s="95"/>
      <c r="G652" s="95"/>
      <c r="H652" s="256" t="s">
        <v>58</v>
      </c>
      <c r="I652" s="255">
        <f>SUM(I649:I651)</f>
        <v>2.1150000000000002</v>
      </c>
      <c r="J652" s="95"/>
      <c r="K652" s="95"/>
      <c r="L652" s="95"/>
      <c r="M652" s="95"/>
      <c r="N652" s="95"/>
      <c r="O652" s="93"/>
    </row>
    <row r="653" spans="1:15" x14ac:dyDescent="0.25">
      <c r="A653" s="107"/>
      <c r="B653" s="94"/>
      <c r="C653" s="94"/>
      <c r="D653" s="94"/>
      <c r="E653" s="94"/>
      <c r="F653" s="94"/>
      <c r="G653" s="94"/>
      <c r="H653" s="94"/>
      <c r="I653" s="99"/>
      <c r="J653" s="94"/>
      <c r="K653" s="94"/>
      <c r="L653" s="94"/>
      <c r="M653" s="94"/>
      <c r="N653" s="94"/>
      <c r="O653" s="93"/>
    </row>
    <row r="654" spans="1:15" ht="15.75" thickBot="1" x14ac:dyDescent="0.3">
      <c r="A654" s="92"/>
      <c r="B654" s="91"/>
      <c r="C654" s="91"/>
      <c r="D654" s="91"/>
      <c r="E654" s="91"/>
      <c r="F654" s="91"/>
      <c r="G654" s="91"/>
      <c r="H654" s="91"/>
      <c r="I654" s="91"/>
      <c r="J654" s="91"/>
      <c r="K654" s="91"/>
      <c r="L654" s="91"/>
      <c r="M654" s="91"/>
      <c r="N654" s="91"/>
      <c r="O654" s="90"/>
    </row>
    <row r="655" spans="1:15" ht="15.75" thickBot="1" x14ac:dyDescent="0.3"/>
    <row r="656" spans="1:15" x14ac:dyDescent="0.25">
      <c r="A656" s="141"/>
      <c r="B656" s="140"/>
      <c r="C656" s="140"/>
      <c r="D656" s="140"/>
      <c r="E656" s="140"/>
      <c r="F656" s="140"/>
      <c r="G656" s="140"/>
      <c r="H656" s="140"/>
      <c r="I656" s="140"/>
      <c r="J656" s="272"/>
      <c r="K656" s="140"/>
      <c r="L656" s="140"/>
      <c r="M656" s="140"/>
      <c r="N656" s="140"/>
      <c r="O656" s="139"/>
    </row>
    <row r="657" spans="1:15" x14ac:dyDescent="0.25">
      <c r="A657" s="267" t="s">
        <v>57</v>
      </c>
      <c r="B657" s="133" t="s">
        <v>523</v>
      </c>
      <c r="C657" s="94"/>
      <c r="D657" s="94"/>
      <c r="E657" s="94"/>
      <c r="F657" s="94"/>
      <c r="G657" s="94"/>
      <c r="H657" s="94"/>
      <c r="I657" s="94"/>
      <c r="J657" s="271" t="s">
        <v>51</v>
      </c>
      <c r="K657" s="138">
        <v>81</v>
      </c>
      <c r="L657" s="94"/>
      <c r="M657" s="267" t="s">
        <v>113</v>
      </c>
      <c r="N657" s="100">
        <f>EN_04006_m+EN_04006_p</f>
        <v>2.2310964000000002</v>
      </c>
      <c r="O657" s="93"/>
    </row>
    <row r="658" spans="1:15" x14ac:dyDescent="0.25">
      <c r="A658" s="267" t="s">
        <v>125</v>
      </c>
      <c r="B658" s="133" t="s">
        <v>21</v>
      </c>
      <c r="C658" s="94"/>
      <c r="D658" s="267" t="s">
        <v>122</v>
      </c>
      <c r="E658" s="94"/>
      <c r="F658" s="94"/>
      <c r="G658" s="94"/>
      <c r="H658" s="94"/>
      <c r="I658" s="94"/>
      <c r="J658" s="94"/>
      <c r="K658" s="94"/>
      <c r="L658" s="94"/>
      <c r="M658" s="267" t="s">
        <v>124</v>
      </c>
      <c r="N658" s="136">
        <v>1</v>
      </c>
      <c r="O658" s="93"/>
    </row>
    <row r="659" spans="1:15" x14ac:dyDescent="0.25">
      <c r="A659" s="267" t="s">
        <v>123</v>
      </c>
      <c r="B659" s="270" t="str">
        <f>'EN Assemblies'!B164</f>
        <v>Fuel system</v>
      </c>
      <c r="C659" s="94"/>
      <c r="D659" s="267" t="s">
        <v>119</v>
      </c>
      <c r="E659" s="94"/>
      <c r="F659" s="94"/>
      <c r="G659" s="94"/>
      <c r="H659" s="94"/>
      <c r="I659" s="94"/>
      <c r="J659" s="268" t="s">
        <v>122</v>
      </c>
      <c r="K659" s="94"/>
      <c r="L659" s="94"/>
      <c r="M659" s="94"/>
      <c r="N659" s="94"/>
      <c r="O659" s="93"/>
    </row>
    <row r="660" spans="1:15" x14ac:dyDescent="0.25">
      <c r="A660" s="267" t="s">
        <v>114</v>
      </c>
      <c r="B660" s="135" t="s">
        <v>883</v>
      </c>
      <c r="C660" s="94"/>
      <c r="D660" s="267" t="s">
        <v>116</v>
      </c>
      <c r="E660" s="94"/>
      <c r="F660" s="94"/>
      <c r="G660" s="94"/>
      <c r="H660" s="94"/>
      <c r="I660" s="94"/>
      <c r="J660" s="268" t="s">
        <v>119</v>
      </c>
      <c r="K660" s="94"/>
      <c r="L660" s="94"/>
      <c r="M660" s="267" t="s">
        <v>118</v>
      </c>
      <c r="N660" s="100">
        <f>N658*N657</f>
        <v>2.2310964000000002</v>
      </c>
      <c r="O660" s="93"/>
    </row>
    <row r="661" spans="1:15" x14ac:dyDescent="0.25">
      <c r="A661" s="267" t="s">
        <v>121</v>
      </c>
      <c r="B661" s="269" t="s">
        <v>882</v>
      </c>
      <c r="C661" s="94"/>
      <c r="D661" s="94"/>
      <c r="E661" s="94"/>
      <c r="F661" s="94"/>
      <c r="G661" s="94"/>
      <c r="H661" s="94"/>
      <c r="I661" s="94"/>
      <c r="J661" s="268" t="s">
        <v>116</v>
      </c>
      <c r="K661" s="94"/>
      <c r="L661" s="94"/>
      <c r="M661" s="94"/>
      <c r="N661" s="94"/>
      <c r="O661" s="93"/>
    </row>
    <row r="662" spans="1:15" x14ac:dyDescent="0.25">
      <c r="A662" s="267" t="s">
        <v>117</v>
      </c>
      <c r="B662" s="133" t="s">
        <v>23</v>
      </c>
      <c r="C662" s="94"/>
      <c r="D662" s="94"/>
      <c r="E662" s="94"/>
      <c r="F662" s="94"/>
      <c r="G662" s="94"/>
      <c r="H662" s="94"/>
      <c r="I662" s="94"/>
      <c r="J662" s="94"/>
      <c r="K662" s="94"/>
      <c r="L662" s="94"/>
      <c r="M662" s="94"/>
      <c r="N662" s="94"/>
      <c r="O662" s="93"/>
    </row>
    <row r="663" spans="1:15" x14ac:dyDescent="0.25">
      <c r="A663" s="267" t="s">
        <v>115</v>
      </c>
      <c r="B663" s="133" t="s">
        <v>881</v>
      </c>
      <c r="C663" s="94"/>
      <c r="D663" s="94"/>
      <c r="E663" s="94"/>
      <c r="F663" s="94"/>
      <c r="G663" s="94"/>
      <c r="H663" s="94"/>
      <c r="I663" s="94"/>
      <c r="J663" s="94"/>
      <c r="K663" s="94"/>
      <c r="L663" s="94"/>
      <c r="M663" s="94"/>
      <c r="N663" s="94"/>
      <c r="O663" s="93"/>
    </row>
    <row r="664" spans="1:15" x14ac:dyDescent="0.25">
      <c r="A664" s="266"/>
      <c r="B664" s="265"/>
      <c r="C664" s="265"/>
      <c r="D664" s="265"/>
      <c r="E664" s="265"/>
      <c r="F664" s="94"/>
      <c r="G664" s="94"/>
      <c r="H664" s="94"/>
      <c r="I664" s="94"/>
      <c r="J664" s="94"/>
      <c r="K664" s="94"/>
      <c r="L664" s="94"/>
      <c r="M664" s="94"/>
      <c r="N664" s="94"/>
      <c r="O664" s="93"/>
    </row>
    <row r="665" spans="1:15" x14ac:dyDescent="0.25">
      <c r="A665" s="264" t="s">
        <v>67</v>
      </c>
      <c r="B665" s="263" t="s">
        <v>112</v>
      </c>
      <c r="C665" s="263" t="s">
        <v>66</v>
      </c>
      <c r="D665" s="263" t="s">
        <v>65</v>
      </c>
      <c r="E665" s="263" t="s">
        <v>81</v>
      </c>
      <c r="F665" s="445" t="s">
        <v>80</v>
      </c>
      <c r="G665" s="445" t="s">
        <v>79</v>
      </c>
      <c r="H665" s="445" t="s">
        <v>78</v>
      </c>
      <c r="I665" s="445" t="s">
        <v>111</v>
      </c>
      <c r="J665" s="445" t="s">
        <v>110</v>
      </c>
      <c r="K665" s="445" t="s">
        <v>109</v>
      </c>
      <c r="L665" s="445" t="s">
        <v>108</v>
      </c>
      <c r="M665" s="445" t="s">
        <v>40</v>
      </c>
      <c r="N665" s="445" t="s">
        <v>58</v>
      </c>
      <c r="O665" s="93"/>
    </row>
    <row r="666" spans="1:15" ht="30" x14ac:dyDescent="0.25">
      <c r="A666" s="469">
        <v>10</v>
      </c>
      <c r="B666" s="457" t="s">
        <v>880</v>
      </c>
      <c r="C666" s="457" t="s">
        <v>879</v>
      </c>
      <c r="D666" s="458">
        <v>4.2</v>
      </c>
      <c r="E666" s="457">
        <v>30</v>
      </c>
      <c r="F666" s="457" t="s">
        <v>68</v>
      </c>
      <c r="G666" s="457">
        <v>2</v>
      </c>
      <c r="H666" s="465" t="s">
        <v>68</v>
      </c>
      <c r="I666" s="468" t="s">
        <v>878</v>
      </c>
      <c r="J666" s="467">
        <v>6.0000000000000002E-5</v>
      </c>
      <c r="K666" s="466">
        <v>0.17</v>
      </c>
      <c r="L666" s="465">
        <v>2710</v>
      </c>
      <c r="M666" s="464">
        <v>1</v>
      </c>
      <c r="N666" s="447">
        <f>IF(J666="",D666*M666,D666*J666*K666*L666*M666)</f>
        <v>0.1160964</v>
      </c>
      <c r="O666" s="143"/>
    </row>
    <row r="667" spans="1:15" x14ac:dyDescent="0.25">
      <c r="A667" s="98"/>
      <c r="B667" s="95"/>
      <c r="C667" s="95"/>
      <c r="D667" s="95"/>
      <c r="E667" s="95"/>
      <c r="F667" s="95"/>
      <c r="G667" s="95"/>
      <c r="H667" s="95"/>
      <c r="I667" s="95"/>
      <c r="J667" s="95"/>
      <c r="K667" s="95"/>
      <c r="L667" s="95"/>
      <c r="M667" s="256" t="s">
        <v>58</v>
      </c>
      <c r="N667" s="255">
        <f>SUM(N666:N666)</f>
        <v>0.1160964</v>
      </c>
      <c r="O667" s="93"/>
    </row>
    <row r="668" spans="1:15" x14ac:dyDescent="0.25">
      <c r="A668" s="107"/>
      <c r="B668" s="94"/>
      <c r="C668" s="94"/>
      <c r="D668" s="94"/>
      <c r="E668" s="94"/>
      <c r="F668" s="94"/>
      <c r="G668" s="94"/>
      <c r="H668" s="94"/>
      <c r="I668" s="94"/>
      <c r="J668" s="94"/>
      <c r="K668" s="94"/>
      <c r="L668" s="94"/>
      <c r="M668" s="94"/>
      <c r="N668" s="94"/>
      <c r="O668" s="93"/>
    </row>
    <row r="669" spans="1:15" x14ac:dyDescent="0.25">
      <c r="A669" s="446" t="s">
        <v>67</v>
      </c>
      <c r="B669" s="445" t="s">
        <v>106</v>
      </c>
      <c r="C669" s="445" t="s">
        <v>66</v>
      </c>
      <c r="D669" s="445" t="s">
        <v>65</v>
      </c>
      <c r="E669" s="445" t="s">
        <v>64</v>
      </c>
      <c r="F669" s="445" t="s">
        <v>40</v>
      </c>
      <c r="G669" s="445" t="s">
        <v>105</v>
      </c>
      <c r="H669" s="445" t="s">
        <v>104</v>
      </c>
      <c r="I669" s="445" t="s">
        <v>58</v>
      </c>
      <c r="J669" s="95"/>
      <c r="K669" s="95"/>
      <c r="L669" s="95"/>
      <c r="M669" s="95"/>
      <c r="N669" s="95"/>
      <c r="O669" s="93"/>
    </row>
    <row r="670" spans="1:15" ht="30" x14ac:dyDescent="0.25">
      <c r="A670" s="463">
        <v>10</v>
      </c>
      <c r="B670" s="462" t="s">
        <v>516</v>
      </c>
      <c r="C670" s="439" t="s">
        <v>686</v>
      </c>
      <c r="D670" s="460">
        <v>1.3</v>
      </c>
      <c r="E670" s="462" t="s">
        <v>64</v>
      </c>
      <c r="F670" s="439">
        <v>1</v>
      </c>
      <c r="G670" s="439"/>
      <c r="H670" s="439"/>
      <c r="I670" s="460">
        <f>IF(H670="",D670*F670,D670*F670*H670)</f>
        <v>1.3</v>
      </c>
      <c r="J670" s="142"/>
      <c r="K670" s="142"/>
      <c r="L670" s="142"/>
      <c r="M670" s="142"/>
      <c r="N670" s="142"/>
      <c r="O670" s="120"/>
    </row>
    <row r="671" spans="1:15" x14ac:dyDescent="0.25">
      <c r="A671" s="457">
        <v>20</v>
      </c>
      <c r="B671" s="461" t="s">
        <v>527</v>
      </c>
      <c r="C671" s="461"/>
      <c r="D671" s="458">
        <v>0.01</v>
      </c>
      <c r="E671" s="457" t="s">
        <v>101</v>
      </c>
      <c r="F671" s="457">
        <v>31.5</v>
      </c>
      <c r="G671" s="457" t="s">
        <v>870</v>
      </c>
      <c r="H671" s="457">
        <v>1</v>
      </c>
      <c r="I671" s="460">
        <f>IF(H671="",D671*F671,D671*F671*H671)</f>
        <v>0.315</v>
      </c>
      <c r="J671" s="94"/>
      <c r="K671" s="94"/>
      <c r="L671" s="94"/>
      <c r="M671" s="94"/>
      <c r="N671" s="94"/>
      <c r="O671" s="93"/>
    </row>
    <row r="672" spans="1:15" x14ac:dyDescent="0.25">
      <c r="A672" s="457">
        <v>30</v>
      </c>
      <c r="B672" s="444" t="s">
        <v>539</v>
      </c>
      <c r="C672" s="459" t="s">
        <v>877</v>
      </c>
      <c r="D672" s="458">
        <v>0.25</v>
      </c>
      <c r="E672" s="457" t="s">
        <v>537</v>
      </c>
      <c r="F672" s="457">
        <v>2</v>
      </c>
      <c r="G672" s="457"/>
      <c r="H672" s="457"/>
      <c r="I672" s="447">
        <f>IF(H672="",D672*F672,D672*F672*H672)</f>
        <v>0.5</v>
      </c>
      <c r="J672" s="99"/>
      <c r="K672" s="99"/>
      <c r="L672" s="99"/>
      <c r="M672" s="99"/>
      <c r="N672" s="99"/>
      <c r="O672" s="130"/>
    </row>
    <row r="673" spans="1:15" x14ac:dyDescent="0.25">
      <c r="A673" s="98"/>
      <c r="B673" s="95"/>
      <c r="C673" s="95"/>
      <c r="D673" s="95"/>
      <c r="E673" s="95"/>
      <c r="F673" s="95"/>
      <c r="G673" s="95"/>
      <c r="H673" s="256" t="s">
        <v>58</v>
      </c>
      <c r="I673" s="255">
        <f>SUM(I670:I672)</f>
        <v>2.1150000000000002</v>
      </c>
      <c r="J673" s="95"/>
      <c r="K673" s="95"/>
      <c r="L673" s="95"/>
      <c r="M673" s="95"/>
      <c r="N673" s="95"/>
      <c r="O673" s="93"/>
    </row>
    <row r="674" spans="1:15" x14ac:dyDescent="0.25">
      <c r="A674" s="107"/>
      <c r="B674" s="94"/>
      <c r="C674" s="94"/>
      <c r="D674" s="94"/>
      <c r="E674" s="94"/>
      <c r="F674" s="94"/>
      <c r="G674" s="94"/>
      <c r="H674" s="94"/>
      <c r="I674" s="99"/>
      <c r="J674" s="94"/>
      <c r="K674" s="94"/>
      <c r="L674" s="94"/>
      <c r="M674" s="94"/>
      <c r="N674" s="94"/>
      <c r="O674" s="93"/>
    </row>
    <row r="675" spans="1:15" ht="15.75" thickBot="1" x14ac:dyDescent="0.3">
      <c r="A675" s="92"/>
      <c r="B675" s="91"/>
      <c r="C675" s="91"/>
      <c r="D675" s="91"/>
      <c r="E675" s="91"/>
      <c r="F675" s="91"/>
      <c r="G675" s="91"/>
      <c r="H675" s="91"/>
      <c r="I675" s="91"/>
      <c r="J675" s="91"/>
      <c r="K675" s="91"/>
      <c r="L675" s="91"/>
      <c r="M675" s="91"/>
      <c r="N675" s="91"/>
      <c r="O675" s="90"/>
    </row>
    <row r="676" spans="1:15" ht="15.75" thickBot="1" x14ac:dyDescent="0.3"/>
    <row r="677" spans="1:15" x14ac:dyDescent="0.25">
      <c r="A677" s="141"/>
      <c r="B677" s="140"/>
      <c r="C677" s="140"/>
      <c r="D677" s="140"/>
      <c r="E677" s="140"/>
      <c r="F677" s="140"/>
      <c r="G677" s="140"/>
      <c r="H677" s="140"/>
      <c r="I677" s="140"/>
      <c r="J677" s="272"/>
      <c r="K677" s="140"/>
      <c r="L677" s="140"/>
      <c r="M677" s="140"/>
      <c r="N677" s="140"/>
      <c r="O677" s="139"/>
    </row>
    <row r="678" spans="1:15" x14ac:dyDescent="0.25">
      <c r="A678" s="267" t="s">
        <v>57</v>
      </c>
      <c r="B678" s="133" t="s">
        <v>523</v>
      </c>
      <c r="C678" s="94"/>
      <c r="D678" s="94"/>
      <c r="E678" s="94"/>
      <c r="F678" s="94"/>
      <c r="G678" s="94"/>
      <c r="H678" s="94"/>
      <c r="I678" s="94"/>
      <c r="J678" s="271" t="s">
        <v>51</v>
      </c>
      <c r="K678" s="138">
        <v>81</v>
      </c>
      <c r="L678" s="94"/>
      <c r="M678" s="267" t="s">
        <v>113</v>
      </c>
      <c r="N678" s="100">
        <f>EN_05001_m+EN_05001_p</f>
        <v>11.745000000000001</v>
      </c>
      <c r="O678" s="93"/>
    </row>
    <row r="679" spans="1:15" x14ac:dyDescent="0.25">
      <c r="A679" s="267" t="s">
        <v>125</v>
      </c>
      <c r="B679" s="133" t="s">
        <v>21</v>
      </c>
      <c r="C679" s="94"/>
      <c r="D679" s="267" t="s">
        <v>122</v>
      </c>
      <c r="E679" s="94"/>
      <c r="F679" s="94"/>
      <c r="G679" s="94"/>
      <c r="H679" s="94"/>
      <c r="I679" s="94"/>
      <c r="J679" s="94"/>
      <c r="K679" s="94"/>
      <c r="L679" s="94"/>
      <c r="M679" s="267" t="s">
        <v>124</v>
      </c>
      <c r="N679" s="136">
        <v>1</v>
      </c>
      <c r="O679" s="93"/>
    </row>
    <row r="680" spans="1:15" x14ac:dyDescent="0.25">
      <c r="A680" s="267" t="s">
        <v>123</v>
      </c>
      <c r="B680" s="270" t="str">
        <f>'EN Assemblies'!B231</f>
        <v>Intake system</v>
      </c>
      <c r="C680" s="94"/>
      <c r="D680" s="267" t="s">
        <v>119</v>
      </c>
      <c r="E680" s="94"/>
      <c r="F680" s="94"/>
      <c r="G680" s="94"/>
      <c r="H680" s="94"/>
      <c r="I680" s="94"/>
      <c r="J680" s="268" t="s">
        <v>122</v>
      </c>
      <c r="K680" s="94"/>
      <c r="L680" s="94"/>
      <c r="M680" s="94"/>
      <c r="N680" s="94"/>
      <c r="O680" s="93"/>
    </row>
    <row r="681" spans="1:15" x14ac:dyDescent="0.25">
      <c r="A681" s="267" t="s">
        <v>114</v>
      </c>
      <c r="B681" s="135" t="s">
        <v>876</v>
      </c>
      <c r="C681" s="94"/>
      <c r="D681" s="267" t="s">
        <v>116</v>
      </c>
      <c r="E681" s="94"/>
      <c r="F681" s="94"/>
      <c r="G681" s="94"/>
      <c r="H681" s="94"/>
      <c r="I681" s="94"/>
      <c r="J681" s="268" t="s">
        <v>119</v>
      </c>
      <c r="K681" s="94"/>
      <c r="L681" s="94"/>
      <c r="M681" s="267" t="s">
        <v>118</v>
      </c>
      <c r="N681" s="100">
        <f>N679*N678</f>
        <v>11.745000000000001</v>
      </c>
      <c r="O681" s="93"/>
    </row>
    <row r="682" spans="1:15" x14ac:dyDescent="0.25">
      <c r="A682" s="267" t="s">
        <v>121</v>
      </c>
      <c r="B682" s="269" t="s">
        <v>875</v>
      </c>
      <c r="C682" s="94"/>
      <c r="D682" s="94"/>
      <c r="E682" s="94"/>
      <c r="F682" s="94"/>
      <c r="G682" s="94"/>
      <c r="H682" s="94"/>
      <c r="I682" s="94"/>
      <c r="J682" s="268" t="s">
        <v>116</v>
      </c>
      <c r="K682" s="94"/>
      <c r="L682" s="94"/>
      <c r="M682" s="94"/>
      <c r="N682" s="94"/>
      <c r="O682" s="93"/>
    </row>
    <row r="683" spans="1:15" x14ac:dyDescent="0.25">
      <c r="A683" s="267" t="s">
        <v>117</v>
      </c>
      <c r="B683" s="133" t="s">
        <v>23</v>
      </c>
      <c r="C683" s="94"/>
      <c r="D683" s="94"/>
      <c r="E683" s="94"/>
      <c r="F683" s="94"/>
      <c r="G683" s="94"/>
      <c r="H683" s="94"/>
      <c r="I683" s="94"/>
      <c r="J683" s="94"/>
      <c r="K683" s="94"/>
      <c r="L683" s="94"/>
      <c r="M683" s="94"/>
      <c r="N683" s="94"/>
      <c r="O683" s="93"/>
    </row>
    <row r="684" spans="1:15" x14ac:dyDescent="0.25">
      <c r="A684" s="267" t="s">
        <v>115</v>
      </c>
      <c r="B684" s="133"/>
      <c r="C684" s="94"/>
      <c r="D684" s="94"/>
      <c r="E684" s="94"/>
      <c r="F684" s="94"/>
      <c r="G684" s="94"/>
      <c r="H684" s="94"/>
      <c r="I684" s="94"/>
      <c r="J684" s="94"/>
      <c r="K684" s="94"/>
      <c r="L684" s="94"/>
      <c r="M684" s="94"/>
      <c r="N684" s="94"/>
      <c r="O684" s="93"/>
    </row>
    <row r="685" spans="1:15" x14ac:dyDescent="0.25">
      <c r="A685" s="266"/>
      <c r="B685" s="265"/>
      <c r="C685" s="265"/>
      <c r="D685" s="265"/>
      <c r="E685" s="265"/>
      <c r="F685" s="94"/>
      <c r="G685" s="94"/>
      <c r="H685" s="94"/>
      <c r="I685" s="94"/>
      <c r="J685" s="94"/>
      <c r="K685" s="94"/>
      <c r="L685" s="94"/>
      <c r="M685" s="94"/>
      <c r="N685" s="94"/>
      <c r="O685" s="93"/>
    </row>
    <row r="686" spans="1:15" x14ac:dyDescent="0.25">
      <c r="A686" s="264" t="s">
        <v>67</v>
      </c>
      <c r="B686" s="263" t="s">
        <v>112</v>
      </c>
      <c r="C686" s="263" t="s">
        <v>66</v>
      </c>
      <c r="D686" s="263" t="s">
        <v>65</v>
      </c>
      <c r="E686" s="263" t="s">
        <v>81</v>
      </c>
      <c r="F686" s="445" t="s">
        <v>80</v>
      </c>
      <c r="G686" s="445" t="s">
        <v>79</v>
      </c>
      <c r="H686" s="445" t="s">
        <v>78</v>
      </c>
      <c r="I686" s="445" t="s">
        <v>111</v>
      </c>
      <c r="J686" s="445" t="s">
        <v>110</v>
      </c>
      <c r="K686" s="445" t="s">
        <v>109</v>
      </c>
      <c r="L686" s="445" t="s">
        <v>108</v>
      </c>
      <c r="M686" s="445" t="s">
        <v>40</v>
      </c>
      <c r="N686" s="445" t="s">
        <v>58</v>
      </c>
      <c r="O686" s="93"/>
    </row>
    <row r="687" spans="1:15" x14ac:dyDescent="0.25">
      <c r="A687" s="454">
        <v>10</v>
      </c>
      <c r="B687" s="456" t="s">
        <v>863</v>
      </c>
      <c r="C687" s="454" t="s">
        <v>841</v>
      </c>
      <c r="D687" s="455">
        <v>3.3</v>
      </c>
      <c r="E687" s="454">
        <v>0.33300000000000002</v>
      </c>
      <c r="F687" s="454" t="s">
        <v>794</v>
      </c>
      <c r="G687" s="454"/>
      <c r="H687" s="453"/>
      <c r="I687" s="452"/>
      <c r="J687" s="451"/>
      <c r="K687" s="450"/>
      <c r="L687" s="449"/>
      <c r="M687" s="448">
        <v>0.33</v>
      </c>
      <c r="N687" s="447">
        <f>IF(J687="",D687*M687,D687*J687*K687*L687*M687)</f>
        <v>1.089</v>
      </c>
      <c r="O687" s="143"/>
    </row>
    <row r="688" spans="1:15" x14ac:dyDescent="0.25">
      <c r="A688" s="98"/>
      <c r="B688" s="95"/>
      <c r="C688" s="95"/>
      <c r="D688" s="95"/>
      <c r="E688" s="95"/>
      <c r="F688" s="95"/>
      <c r="G688" s="95"/>
      <c r="H688" s="95"/>
      <c r="I688" s="95"/>
      <c r="J688" s="95"/>
      <c r="K688" s="95"/>
      <c r="L688" s="95"/>
      <c r="M688" s="256" t="s">
        <v>58</v>
      </c>
      <c r="N688" s="255">
        <f>SUM(N687:N687)</f>
        <v>1.089</v>
      </c>
      <c r="O688" s="93"/>
    </row>
    <row r="689" spans="1:15" x14ac:dyDescent="0.25">
      <c r="A689" s="107"/>
      <c r="B689" s="94"/>
      <c r="C689" s="94"/>
      <c r="D689" s="94"/>
      <c r="E689" s="94"/>
      <c r="F689" s="94"/>
      <c r="G689" s="94"/>
      <c r="H689" s="94"/>
      <c r="I689" s="94"/>
      <c r="J689" s="94"/>
      <c r="K689" s="94"/>
      <c r="L689" s="94"/>
      <c r="M689" s="94"/>
      <c r="N689" s="94"/>
      <c r="O689" s="93"/>
    </row>
    <row r="690" spans="1:15" x14ac:dyDescent="0.25">
      <c r="A690" s="446" t="s">
        <v>67</v>
      </c>
      <c r="B690" s="445" t="s">
        <v>106</v>
      </c>
      <c r="C690" s="445" t="s">
        <v>66</v>
      </c>
      <c r="D690" s="445" t="s">
        <v>65</v>
      </c>
      <c r="E690" s="445" t="s">
        <v>64</v>
      </c>
      <c r="F690" s="445" t="s">
        <v>40</v>
      </c>
      <c r="G690" s="445" t="s">
        <v>105</v>
      </c>
      <c r="H690" s="445" t="s">
        <v>104</v>
      </c>
      <c r="I690" s="445" t="s">
        <v>58</v>
      </c>
      <c r="J690" s="95"/>
      <c r="K690" s="95"/>
      <c r="L690" s="95"/>
      <c r="M690" s="95"/>
      <c r="N690" s="95"/>
      <c r="O690" s="93"/>
    </row>
    <row r="691" spans="1:15" x14ac:dyDescent="0.25">
      <c r="A691" s="443">
        <v>10</v>
      </c>
      <c r="B691" s="444" t="s">
        <v>862</v>
      </c>
      <c r="C691" s="443"/>
      <c r="D691" s="442">
        <v>32</v>
      </c>
      <c r="E691" s="300" t="s">
        <v>794</v>
      </c>
      <c r="F691" s="367">
        <v>0.33300000000000002</v>
      </c>
      <c r="G691" s="367"/>
      <c r="H691" s="367"/>
      <c r="I691" s="441">
        <f>IF(H691="",D691*F691,D691*F691*H691)</f>
        <v>10.656000000000001</v>
      </c>
      <c r="J691" s="142"/>
      <c r="K691" s="142"/>
      <c r="L691" s="142"/>
      <c r="M691" s="142"/>
      <c r="N691" s="142"/>
      <c r="O691" s="120"/>
    </row>
    <row r="692" spans="1:15" x14ac:dyDescent="0.25">
      <c r="A692" s="98"/>
      <c r="B692" s="95"/>
      <c r="C692" s="95"/>
      <c r="D692" s="95"/>
      <c r="E692" s="95"/>
      <c r="F692" s="95"/>
      <c r="G692" s="95"/>
      <c r="H692" s="256" t="s">
        <v>58</v>
      </c>
      <c r="I692" s="255">
        <f>SUM(I691:I691)</f>
        <v>10.656000000000001</v>
      </c>
      <c r="J692" s="95"/>
      <c r="K692" s="95"/>
      <c r="L692" s="95"/>
      <c r="M692" s="95"/>
      <c r="N692" s="95"/>
      <c r="O692" s="93"/>
    </row>
    <row r="693" spans="1:15" x14ac:dyDescent="0.25">
      <c r="A693" s="107"/>
      <c r="B693" s="94"/>
      <c r="C693" s="94"/>
      <c r="D693" s="94"/>
      <c r="E693" s="94"/>
      <c r="F693" s="94"/>
      <c r="G693" s="94"/>
      <c r="H693" s="94"/>
      <c r="I693" s="99"/>
      <c r="J693" s="94"/>
      <c r="K693" s="94"/>
      <c r="L693" s="94"/>
      <c r="M693" s="94"/>
      <c r="N693" s="94"/>
      <c r="O693" s="93"/>
    </row>
    <row r="694" spans="1:15" ht="15.75" thickBot="1" x14ac:dyDescent="0.3">
      <c r="A694" s="92"/>
      <c r="B694" s="91"/>
      <c r="C694" s="91"/>
      <c r="D694" s="91"/>
      <c r="E694" s="91"/>
      <c r="F694" s="91"/>
      <c r="G694" s="91"/>
      <c r="H694" s="91"/>
      <c r="I694" s="91"/>
      <c r="J694" s="91"/>
      <c r="K694" s="91"/>
      <c r="L694" s="91"/>
      <c r="M694" s="91"/>
      <c r="N694" s="91"/>
      <c r="O694" s="90"/>
    </row>
    <row r="695" spans="1:15" ht="15.75" thickBot="1" x14ac:dyDescent="0.3"/>
    <row r="696" spans="1:15" x14ac:dyDescent="0.25">
      <c r="A696" s="141"/>
      <c r="B696" s="140"/>
      <c r="C696" s="140"/>
      <c r="D696" s="140"/>
      <c r="E696" s="140"/>
      <c r="F696" s="140"/>
      <c r="G696" s="140"/>
      <c r="H696" s="140"/>
      <c r="I696" s="140"/>
      <c r="J696" s="272"/>
      <c r="K696" s="140"/>
      <c r="L696" s="140"/>
      <c r="M696" s="140"/>
      <c r="N696" s="140"/>
      <c r="O696" s="139"/>
    </row>
    <row r="697" spans="1:15" x14ac:dyDescent="0.25">
      <c r="A697" s="267" t="s">
        <v>57</v>
      </c>
      <c r="B697" s="133" t="s">
        <v>523</v>
      </c>
      <c r="C697" s="94"/>
      <c r="D697" s="94"/>
      <c r="E697" s="94"/>
      <c r="F697" s="94"/>
      <c r="G697" s="94"/>
      <c r="H697" s="94"/>
      <c r="I697" s="94"/>
      <c r="J697" s="271" t="s">
        <v>51</v>
      </c>
      <c r="K697" s="138">
        <v>81</v>
      </c>
      <c r="L697" s="94"/>
      <c r="M697" s="267" t="s">
        <v>113</v>
      </c>
      <c r="N697" s="100">
        <f>EN_05002_m+EN_05002_p</f>
        <v>3.3047023999999996</v>
      </c>
      <c r="O697" s="93"/>
    </row>
    <row r="698" spans="1:15" x14ac:dyDescent="0.25">
      <c r="A698" s="267" t="s">
        <v>125</v>
      </c>
      <c r="B698" s="133" t="s">
        <v>21</v>
      </c>
      <c r="C698" s="94"/>
      <c r="D698" s="267" t="s">
        <v>122</v>
      </c>
      <c r="E698" s="270" t="s">
        <v>522</v>
      </c>
      <c r="F698" s="94"/>
      <c r="G698" s="94"/>
      <c r="H698" s="94"/>
      <c r="I698" s="94"/>
      <c r="J698" s="94"/>
      <c r="K698" s="94"/>
      <c r="L698" s="94"/>
      <c r="M698" s="267" t="s">
        <v>124</v>
      </c>
      <c r="N698" s="136">
        <v>1</v>
      </c>
      <c r="O698" s="93"/>
    </row>
    <row r="699" spans="1:15" x14ac:dyDescent="0.25">
      <c r="A699" s="267" t="s">
        <v>123</v>
      </c>
      <c r="B699" s="270" t="str">
        <f>'EN Assemblies'!B231</f>
        <v>Intake system</v>
      </c>
      <c r="C699" s="94"/>
      <c r="D699" s="267" t="s">
        <v>119</v>
      </c>
      <c r="E699" s="94"/>
      <c r="F699" s="94"/>
      <c r="G699" s="94"/>
      <c r="H699" s="94"/>
      <c r="I699" s="94"/>
      <c r="J699" s="268" t="s">
        <v>122</v>
      </c>
      <c r="K699" s="94"/>
      <c r="L699" s="94"/>
      <c r="M699" s="94"/>
      <c r="N699" s="94"/>
      <c r="O699" s="93"/>
    </row>
    <row r="700" spans="1:15" x14ac:dyDescent="0.25">
      <c r="A700" s="267" t="s">
        <v>114</v>
      </c>
      <c r="B700" s="135" t="s">
        <v>874</v>
      </c>
      <c r="C700" s="94"/>
      <c r="D700" s="267" t="s">
        <v>116</v>
      </c>
      <c r="E700" s="94"/>
      <c r="F700" s="94"/>
      <c r="G700" s="94"/>
      <c r="H700" s="94"/>
      <c r="I700" s="94"/>
      <c r="J700" s="268" t="s">
        <v>119</v>
      </c>
      <c r="K700" s="94"/>
      <c r="L700" s="94"/>
      <c r="M700" s="267" t="s">
        <v>118</v>
      </c>
      <c r="N700" s="100">
        <f>N698*N697</f>
        <v>3.3047023999999996</v>
      </c>
      <c r="O700" s="93"/>
    </row>
    <row r="701" spans="1:15" x14ac:dyDescent="0.25">
      <c r="A701" s="267" t="s">
        <v>121</v>
      </c>
      <c r="B701" s="269" t="s">
        <v>873</v>
      </c>
      <c r="C701" s="94"/>
      <c r="D701" s="94"/>
      <c r="E701" s="94"/>
      <c r="F701" s="94"/>
      <c r="G701" s="94"/>
      <c r="H701" s="94"/>
      <c r="I701" s="94"/>
      <c r="J701" s="268" t="s">
        <v>116</v>
      </c>
      <c r="K701" s="94"/>
      <c r="L701" s="94"/>
      <c r="M701" s="94"/>
      <c r="N701" s="94"/>
      <c r="O701" s="93"/>
    </row>
    <row r="702" spans="1:15" x14ac:dyDescent="0.25">
      <c r="A702" s="267" t="s">
        <v>117</v>
      </c>
      <c r="B702" s="133" t="s">
        <v>23</v>
      </c>
      <c r="C702" s="94"/>
      <c r="D702" s="94"/>
      <c r="E702" s="94"/>
      <c r="F702" s="94"/>
      <c r="G702" s="94"/>
      <c r="H702" s="94"/>
      <c r="I702" s="94"/>
      <c r="J702" s="94"/>
      <c r="K702" s="94"/>
      <c r="L702" s="94"/>
      <c r="M702" s="94"/>
      <c r="N702" s="94"/>
      <c r="O702" s="93"/>
    </row>
    <row r="703" spans="1:15" x14ac:dyDescent="0.25">
      <c r="A703" s="267" t="s">
        <v>115</v>
      </c>
      <c r="B703" s="133" t="s">
        <v>872</v>
      </c>
      <c r="C703" s="94"/>
      <c r="D703" s="94"/>
      <c r="E703" s="94"/>
      <c r="F703" s="94"/>
      <c r="G703" s="94"/>
      <c r="H703" s="94"/>
      <c r="I703" s="94"/>
      <c r="J703" s="94"/>
      <c r="K703" s="94"/>
      <c r="L703" s="94"/>
      <c r="M703" s="94"/>
      <c r="N703" s="94"/>
      <c r="O703" s="93"/>
    </row>
    <row r="704" spans="1:15" x14ac:dyDescent="0.25">
      <c r="A704" s="266"/>
      <c r="B704" s="265"/>
      <c r="C704" s="265"/>
      <c r="D704" s="265"/>
      <c r="E704" s="265"/>
      <c r="F704" s="94"/>
      <c r="G704" s="94"/>
      <c r="H704" s="94"/>
      <c r="I704" s="94"/>
      <c r="J704" s="94"/>
      <c r="K704" s="94"/>
      <c r="L704" s="94"/>
      <c r="M704" s="94"/>
      <c r="N704" s="94"/>
      <c r="O704" s="93"/>
    </row>
    <row r="705" spans="1:15" x14ac:dyDescent="0.25">
      <c r="A705" s="264" t="s">
        <v>67</v>
      </c>
      <c r="B705" s="263" t="s">
        <v>112</v>
      </c>
      <c r="C705" s="263" t="s">
        <v>66</v>
      </c>
      <c r="D705" s="263" t="s">
        <v>65</v>
      </c>
      <c r="E705" s="263" t="s">
        <v>81</v>
      </c>
      <c r="F705" s="274" t="s">
        <v>80</v>
      </c>
      <c r="G705" s="274" t="s">
        <v>79</v>
      </c>
      <c r="H705" s="274" t="s">
        <v>78</v>
      </c>
      <c r="I705" s="274" t="s">
        <v>111</v>
      </c>
      <c r="J705" s="274" t="s">
        <v>110</v>
      </c>
      <c r="K705" s="274" t="s">
        <v>109</v>
      </c>
      <c r="L705" s="274" t="s">
        <v>108</v>
      </c>
      <c r="M705" s="274" t="s">
        <v>40</v>
      </c>
      <c r="N705" s="274" t="s">
        <v>58</v>
      </c>
      <c r="O705" s="93"/>
    </row>
    <row r="706" spans="1:15" ht="30" x14ac:dyDescent="0.25">
      <c r="A706" s="315">
        <v>10</v>
      </c>
      <c r="B706" s="354" t="s">
        <v>852</v>
      </c>
      <c r="C706" s="292" t="s">
        <v>841</v>
      </c>
      <c r="D706" s="324">
        <v>1.2</v>
      </c>
      <c r="E706" s="315">
        <v>210</v>
      </c>
      <c r="F706" s="315" t="s">
        <v>68</v>
      </c>
      <c r="G706" s="315">
        <v>3</v>
      </c>
      <c r="H706" s="314" t="s">
        <v>68</v>
      </c>
      <c r="I706" s="281" t="s">
        <v>871</v>
      </c>
      <c r="J706" s="379">
        <f>0.21*0.003</f>
        <v>6.3000000000000003E-4</v>
      </c>
      <c r="K706" s="320">
        <v>0.24</v>
      </c>
      <c r="L706" s="355">
        <v>2710</v>
      </c>
      <c r="M706" s="299">
        <v>1</v>
      </c>
      <c r="N706" s="276">
        <f>IF(J706="",D706*M706,D706*J706*K706*L706*M706)</f>
        <v>0.49170239999999998</v>
      </c>
      <c r="O706" s="143"/>
    </row>
    <row r="707" spans="1:15" x14ac:dyDescent="0.25">
      <c r="A707" s="98"/>
      <c r="B707" s="95"/>
      <c r="C707" s="95"/>
      <c r="D707" s="95"/>
      <c r="E707" s="95"/>
      <c r="F707" s="95"/>
      <c r="G707" s="95"/>
      <c r="H707" s="95"/>
      <c r="I707" s="95"/>
      <c r="J707" s="95"/>
      <c r="K707" s="95"/>
      <c r="L707" s="95"/>
      <c r="M707" s="256" t="s">
        <v>58</v>
      </c>
      <c r="N707" s="255">
        <f>SUM(N706:N706)</f>
        <v>0.49170239999999998</v>
      </c>
      <c r="O707" s="93"/>
    </row>
    <row r="708" spans="1:15" x14ac:dyDescent="0.25">
      <c r="A708" s="107"/>
      <c r="B708" s="94"/>
      <c r="C708" s="94"/>
      <c r="D708" s="94"/>
      <c r="E708" s="94"/>
      <c r="F708" s="94"/>
      <c r="G708" s="94"/>
      <c r="H708" s="94"/>
      <c r="I708" s="94"/>
      <c r="J708" s="94"/>
      <c r="K708" s="94"/>
      <c r="L708" s="94"/>
      <c r="M708" s="94"/>
      <c r="N708" s="94"/>
      <c r="O708" s="93"/>
    </row>
    <row r="709" spans="1:15" x14ac:dyDescent="0.25">
      <c r="A709" s="418" t="s">
        <v>67</v>
      </c>
      <c r="B709" s="274" t="s">
        <v>106</v>
      </c>
      <c r="C709" s="274" t="s">
        <v>66</v>
      </c>
      <c r="D709" s="274" t="s">
        <v>65</v>
      </c>
      <c r="E709" s="274" t="s">
        <v>64</v>
      </c>
      <c r="F709" s="274" t="s">
        <v>40</v>
      </c>
      <c r="G709" s="274" t="s">
        <v>105</v>
      </c>
      <c r="H709" s="274" t="s">
        <v>104</v>
      </c>
      <c r="I709" s="274" t="s">
        <v>58</v>
      </c>
      <c r="J709" s="95"/>
      <c r="K709" s="95"/>
      <c r="L709" s="95"/>
      <c r="M709" s="95"/>
      <c r="N709" s="95"/>
      <c r="O709" s="93"/>
    </row>
    <row r="710" spans="1:15" ht="30" x14ac:dyDescent="0.25">
      <c r="A710" s="299">
        <v>10</v>
      </c>
      <c r="B710" s="309" t="s">
        <v>516</v>
      </c>
      <c r="C710" s="299" t="s">
        <v>802</v>
      </c>
      <c r="D710" s="337">
        <v>1.3</v>
      </c>
      <c r="E710" s="309" t="s">
        <v>64</v>
      </c>
      <c r="F710" s="308">
        <v>1</v>
      </c>
      <c r="G710" s="308">
        <v>1</v>
      </c>
      <c r="H710" s="299">
        <v>1</v>
      </c>
      <c r="I710" s="293">
        <f>IF(H710="",D710*F710,D710*F710*H710)</f>
        <v>1.3</v>
      </c>
      <c r="J710" s="142"/>
      <c r="K710" s="142"/>
      <c r="L710" s="142"/>
      <c r="M710" s="142"/>
      <c r="N710" s="142"/>
      <c r="O710" s="120"/>
    </row>
    <row r="711" spans="1:15" x14ac:dyDescent="0.25">
      <c r="A711" s="282">
        <v>20</v>
      </c>
      <c r="B711" s="309" t="s">
        <v>541</v>
      </c>
      <c r="C711" s="282" t="s">
        <v>834</v>
      </c>
      <c r="D711" s="337">
        <v>0.01</v>
      </c>
      <c r="E711" s="282" t="s">
        <v>101</v>
      </c>
      <c r="F711" s="282">
        <f>1+4.8+6+44.2+4.8+1+6+(4*13.5)+(8*1.35)+(12*1.25)+(2*1.85)</f>
        <v>151.29999999999998</v>
      </c>
      <c r="G711" s="309" t="s">
        <v>870</v>
      </c>
      <c r="H711" s="299">
        <v>1</v>
      </c>
      <c r="I711" s="293">
        <f>IF(H711="",D711*F711,D711*F711*H711)</f>
        <v>1.5129999999999999</v>
      </c>
      <c r="J711" s="94"/>
      <c r="K711" s="94"/>
      <c r="L711" s="94"/>
      <c r="M711" s="94"/>
      <c r="N711" s="94"/>
      <c r="O711" s="93"/>
    </row>
    <row r="712" spans="1:15" x14ac:dyDescent="0.25">
      <c r="A712" s="98"/>
      <c r="B712" s="95"/>
      <c r="C712" s="95"/>
      <c r="D712" s="95"/>
      <c r="E712" s="95"/>
      <c r="F712" s="95"/>
      <c r="G712" s="95"/>
      <c r="H712" s="256" t="s">
        <v>58</v>
      </c>
      <c r="I712" s="255">
        <f>SUM(I710:I711)</f>
        <v>2.8129999999999997</v>
      </c>
      <c r="J712" s="95"/>
      <c r="K712" s="95"/>
      <c r="L712" s="95"/>
      <c r="M712" s="95"/>
      <c r="N712" s="95"/>
      <c r="O712" s="93"/>
    </row>
    <row r="713" spans="1:15" x14ac:dyDescent="0.25">
      <c r="A713" s="107"/>
      <c r="B713" s="94"/>
      <c r="C713" s="94"/>
      <c r="D713" s="94"/>
      <c r="E713" s="94"/>
      <c r="F713" s="94"/>
      <c r="G713" s="94"/>
      <c r="H713" s="94"/>
      <c r="I713" s="99"/>
      <c r="J713" s="94"/>
      <c r="K713" s="94"/>
      <c r="L713" s="94"/>
      <c r="M713" s="94"/>
      <c r="N713" s="94"/>
      <c r="O713" s="93"/>
    </row>
    <row r="714" spans="1:15" ht="15.75" thickBot="1" x14ac:dyDescent="0.3">
      <c r="A714" s="92"/>
      <c r="B714" s="91"/>
      <c r="C714" s="91"/>
      <c r="D714" s="91"/>
      <c r="E714" s="91"/>
      <c r="F714" s="91"/>
      <c r="G714" s="91"/>
      <c r="H714" s="91"/>
      <c r="I714" s="91"/>
      <c r="J714" s="91"/>
      <c r="K714" s="91"/>
      <c r="L714" s="91"/>
      <c r="M714" s="91"/>
      <c r="N714" s="91"/>
      <c r="O714" s="90"/>
    </row>
    <row r="715" spans="1:15" ht="15.75" thickBot="1" x14ac:dyDescent="0.3"/>
    <row r="716" spans="1:15" x14ac:dyDescent="0.25">
      <c r="A716" s="141"/>
      <c r="B716" s="140"/>
      <c r="C716" s="140"/>
      <c r="D716" s="140"/>
      <c r="E716" s="140"/>
      <c r="F716" s="140"/>
      <c r="G716" s="140"/>
      <c r="H716" s="140"/>
      <c r="I716" s="140"/>
      <c r="J716" s="272"/>
      <c r="K716" s="140"/>
      <c r="L716" s="140"/>
      <c r="M716" s="140"/>
      <c r="N716" s="140"/>
      <c r="O716" s="139"/>
    </row>
    <row r="717" spans="1:15" x14ac:dyDescent="0.25">
      <c r="A717" s="267" t="s">
        <v>57</v>
      </c>
      <c r="B717" s="133" t="s">
        <v>523</v>
      </c>
      <c r="C717" s="94"/>
      <c r="D717" s="94"/>
      <c r="E717" s="94"/>
      <c r="F717" s="94"/>
      <c r="G717" s="94"/>
      <c r="H717" s="94"/>
      <c r="I717" s="94"/>
      <c r="J717" s="271" t="s">
        <v>51</v>
      </c>
      <c r="K717" s="138">
        <v>81</v>
      </c>
      <c r="L717" s="94"/>
      <c r="M717" s="267" t="s">
        <v>113</v>
      </c>
      <c r="N717" s="100">
        <f>EN_05003_m+EN_05003_p</f>
        <v>10.095799999999999</v>
      </c>
      <c r="O717" s="93"/>
    </row>
    <row r="718" spans="1:15" x14ac:dyDescent="0.25">
      <c r="A718" s="267" t="s">
        <v>125</v>
      </c>
      <c r="B718" s="133" t="s">
        <v>21</v>
      </c>
      <c r="C718" s="94"/>
      <c r="D718" s="267" t="s">
        <v>122</v>
      </c>
      <c r="E718" s="94"/>
      <c r="F718" s="94"/>
      <c r="G718" s="94"/>
      <c r="H718" s="94"/>
      <c r="I718" s="94"/>
      <c r="J718" s="94"/>
      <c r="K718" s="94"/>
      <c r="L718" s="94"/>
      <c r="M718" s="267" t="s">
        <v>124</v>
      </c>
      <c r="N718" s="136">
        <v>1</v>
      </c>
      <c r="O718" s="93"/>
    </row>
    <row r="719" spans="1:15" x14ac:dyDescent="0.25">
      <c r="A719" s="267" t="s">
        <v>123</v>
      </c>
      <c r="B719" s="270" t="str">
        <f>'EN Assemblies'!B231</f>
        <v>Intake system</v>
      </c>
      <c r="C719" s="94"/>
      <c r="D719" s="267" t="s">
        <v>119</v>
      </c>
      <c r="E719" s="94"/>
      <c r="F719" s="94"/>
      <c r="G719" s="94"/>
      <c r="H719" s="94"/>
      <c r="I719" s="94"/>
      <c r="J719" s="268" t="s">
        <v>122</v>
      </c>
      <c r="K719" s="94"/>
      <c r="L719" s="94"/>
      <c r="M719" s="94"/>
      <c r="N719" s="94"/>
      <c r="O719" s="93"/>
    </row>
    <row r="720" spans="1:15" x14ac:dyDescent="0.25">
      <c r="A720" s="267" t="s">
        <v>114</v>
      </c>
      <c r="B720" s="135" t="s">
        <v>869</v>
      </c>
      <c r="C720" s="94"/>
      <c r="D720" s="267" t="s">
        <v>116</v>
      </c>
      <c r="E720" s="94"/>
      <c r="F720" s="94"/>
      <c r="G720" s="94"/>
      <c r="H720" s="94"/>
      <c r="I720" s="94"/>
      <c r="J720" s="268" t="s">
        <v>119</v>
      </c>
      <c r="K720" s="94"/>
      <c r="L720" s="94"/>
      <c r="M720" s="267" t="s">
        <v>118</v>
      </c>
      <c r="N720" s="100">
        <f>N718*N717</f>
        <v>10.095799999999999</v>
      </c>
      <c r="O720" s="93"/>
    </row>
    <row r="721" spans="1:15" x14ac:dyDescent="0.25">
      <c r="A721" s="267" t="s">
        <v>121</v>
      </c>
      <c r="B721" s="269" t="s">
        <v>868</v>
      </c>
      <c r="C721" s="94"/>
      <c r="D721" s="94"/>
      <c r="E721" s="94"/>
      <c r="F721" s="94"/>
      <c r="G721" s="94"/>
      <c r="H721" s="94"/>
      <c r="I721" s="94"/>
      <c r="J721" s="268" t="s">
        <v>116</v>
      </c>
      <c r="K721" s="94"/>
      <c r="L721" s="94"/>
      <c r="M721" s="94"/>
      <c r="N721" s="94"/>
      <c r="O721" s="93"/>
    </row>
    <row r="722" spans="1:15" x14ac:dyDescent="0.25">
      <c r="A722" s="267" t="s">
        <v>117</v>
      </c>
      <c r="B722" s="133" t="s">
        <v>23</v>
      </c>
      <c r="C722" s="94"/>
      <c r="D722" s="94"/>
      <c r="E722" s="94"/>
      <c r="F722" s="94"/>
      <c r="G722" s="94"/>
      <c r="H722" s="94"/>
      <c r="I722" s="94"/>
      <c r="J722" s="94"/>
      <c r="K722" s="94"/>
      <c r="L722" s="94"/>
      <c r="M722" s="94"/>
      <c r="N722" s="94"/>
      <c r="O722" s="93"/>
    </row>
    <row r="723" spans="1:15" x14ac:dyDescent="0.25">
      <c r="A723" s="267" t="s">
        <v>115</v>
      </c>
      <c r="B723" s="133" t="s">
        <v>867</v>
      </c>
      <c r="C723" s="94"/>
      <c r="D723" s="94"/>
      <c r="E723" s="94"/>
      <c r="F723" s="94"/>
      <c r="G723" s="94"/>
      <c r="H723" s="94"/>
      <c r="I723" s="94"/>
      <c r="J723" s="94"/>
      <c r="K723" s="94"/>
      <c r="L723" s="94"/>
      <c r="M723" s="94"/>
      <c r="N723" s="94"/>
      <c r="O723" s="93"/>
    </row>
    <row r="724" spans="1:15" x14ac:dyDescent="0.25">
      <c r="A724" s="266"/>
      <c r="B724" s="265"/>
      <c r="C724" s="265"/>
      <c r="D724" s="265"/>
      <c r="E724" s="265"/>
      <c r="F724" s="94"/>
      <c r="G724" s="94"/>
      <c r="H724" s="94"/>
      <c r="I724" s="94"/>
      <c r="J724" s="94"/>
      <c r="K724" s="94"/>
      <c r="L724" s="94"/>
      <c r="M724" s="94"/>
      <c r="N724" s="94"/>
      <c r="O724" s="93"/>
    </row>
    <row r="725" spans="1:15" x14ac:dyDescent="0.25">
      <c r="A725" s="264" t="s">
        <v>67</v>
      </c>
      <c r="B725" s="263" t="s">
        <v>112</v>
      </c>
      <c r="C725" s="263" t="s">
        <v>66</v>
      </c>
      <c r="D725" s="263" t="s">
        <v>65</v>
      </c>
      <c r="E725" s="263" t="s">
        <v>81</v>
      </c>
      <c r="F725" s="274" t="s">
        <v>80</v>
      </c>
      <c r="G725" s="274" t="s">
        <v>79</v>
      </c>
      <c r="H725" s="274" t="s">
        <v>78</v>
      </c>
      <c r="I725" s="274" t="s">
        <v>111</v>
      </c>
      <c r="J725" s="274" t="s">
        <v>110</v>
      </c>
      <c r="K725" s="274" t="s">
        <v>109</v>
      </c>
      <c r="L725" s="274" t="s">
        <v>108</v>
      </c>
      <c r="M725" s="274" t="s">
        <v>40</v>
      </c>
      <c r="N725" s="274" t="s">
        <v>58</v>
      </c>
      <c r="O725" s="93"/>
    </row>
    <row r="726" spans="1:15" x14ac:dyDescent="0.25">
      <c r="A726" s="282">
        <v>10</v>
      </c>
      <c r="B726" s="338" t="s">
        <v>863</v>
      </c>
      <c r="C726" s="315" t="s">
        <v>841</v>
      </c>
      <c r="D726" s="324">
        <v>3.3</v>
      </c>
      <c r="E726" s="282">
        <v>0.28599999999999998</v>
      </c>
      <c r="F726" s="282" t="s">
        <v>794</v>
      </c>
      <c r="G726" s="282"/>
      <c r="H726" s="278"/>
      <c r="I726" s="303"/>
      <c r="J726" s="381"/>
      <c r="K726" s="278"/>
      <c r="L726" s="278"/>
      <c r="M726" s="302">
        <v>0.28599999999999998</v>
      </c>
      <c r="N726" s="276">
        <f>IF(J726="",D726*M726,D726*J726*K726*L726*M726)</f>
        <v>0.94379999999999986</v>
      </c>
      <c r="O726" s="143"/>
    </row>
    <row r="727" spans="1:15" x14ac:dyDescent="0.25">
      <c r="A727" s="98"/>
      <c r="B727" s="95"/>
      <c r="C727" s="95"/>
      <c r="D727" s="95"/>
      <c r="E727" s="95"/>
      <c r="F727" s="95"/>
      <c r="G727" s="95"/>
      <c r="H727" s="95"/>
      <c r="I727" s="95"/>
      <c r="J727" s="95"/>
      <c r="K727" s="95"/>
      <c r="L727" s="95"/>
      <c r="M727" s="256" t="s">
        <v>58</v>
      </c>
      <c r="N727" s="255">
        <f>SUM(N726:N726)</f>
        <v>0.94379999999999986</v>
      </c>
      <c r="O727" s="93"/>
    </row>
    <row r="728" spans="1:15" x14ac:dyDescent="0.25">
      <c r="A728" s="107"/>
      <c r="B728" s="94"/>
      <c r="C728" s="94"/>
      <c r="D728" s="94"/>
      <c r="E728" s="94"/>
      <c r="F728" s="94"/>
      <c r="G728" s="94"/>
      <c r="H728" s="94"/>
      <c r="I728" s="94"/>
      <c r="J728" s="94"/>
      <c r="K728" s="94"/>
      <c r="L728" s="94"/>
      <c r="M728" s="94"/>
      <c r="N728" s="94"/>
      <c r="O728" s="93"/>
    </row>
    <row r="729" spans="1:15" x14ac:dyDescent="0.25">
      <c r="A729" s="418" t="s">
        <v>67</v>
      </c>
      <c r="B729" s="274" t="s">
        <v>106</v>
      </c>
      <c r="C729" s="274" t="s">
        <v>66</v>
      </c>
      <c r="D729" s="274" t="s">
        <v>65</v>
      </c>
      <c r="E729" s="274" t="s">
        <v>64</v>
      </c>
      <c r="F729" s="274" t="s">
        <v>40</v>
      </c>
      <c r="G729" s="274" t="s">
        <v>105</v>
      </c>
      <c r="H729" s="274" t="s">
        <v>104</v>
      </c>
      <c r="I729" s="274" t="s">
        <v>58</v>
      </c>
      <c r="J729" s="95"/>
      <c r="K729" s="95"/>
      <c r="L729" s="95"/>
      <c r="M729" s="95"/>
      <c r="N729" s="95"/>
      <c r="O729" s="93"/>
    </row>
    <row r="730" spans="1:15" x14ac:dyDescent="0.25">
      <c r="A730" s="439">
        <v>10</v>
      </c>
      <c r="B730" s="440" t="s">
        <v>862</v>
      </c>
      <c r="C730" s="439"/>
      <c r="D730" s="438">
        <v>32</v>
      </c>
      <c r="E730" s="326" t="s">
        <v>794</v>
      </c>
      <c r="F730" s="325">
        <v>0.28599999999999998</v>
      </c>
      <c r="G730" s="325"/>
      <c r="H730" s="325">
        <v>1</v>
      </c>
      <c r="I730" s="293">
        <f>IF(H730="",D730*F730,D730*F730*H730)</f>
        <v>9.1519999999999992</v>
      </c>
      <c r="J730" s="142"/>
      <c r="K730" s="142"/>
      <c r="L730" s="142"/>
      <c r="M730" s="142"/>
      <c r="N730" s="142"/>
      <c r="O730" s="120"/>
    </row>
    <row r="731" spans="1:15" x14ac:dyDescent="0.25">
      <c r="A731" s="98"/>
      <c r="B731" s="95"/>
      <c r="C731" s="95"/>
      <c r="D731" s="95"/>
      <c r="E731" s="95"/>
      <c r="F731" s="95"/>
      <c r="G731" s="95"/>
      <c r="H731" s="256" t="s">
        <v>58</v>
      </c>
      <c r="I731" s="255">
        <f>SUM(I730:I730)</f>
        <v>9.1519999999999992</v>
      </c>
      <c r="J731" s="95"/>
      <c r="K731" s="95"/>
      <c r="L731" s="95"/>
      <c r="M731" s="95"/>
      <c r="N731" s="95"/>
      <c r="O731" s="93"/>
    </row>
    <row r="732" spans="1:15" x14ac:dyDescent="0.25">
      <c r="A732" s="107"/>
      <c r="B732" s="94"/>
      <c r="C732" s="94"/>
      <c r="D732" s="94"/>
      <c r="E732" s="94"/>
      <c r="F732" s="94"/>
      <c r="G732" s="94"/>
      <c r="H732" s="94"/>
      <c r="I732" s="99"/>
      <c r="J732" s="94"/>
      <c r="K732" s="94"/>
      <c r="L732" s="94"/>
      <c r="M732" s="94"/>
      <c r="N732" s="94"/>
      <c r="O732" s="93"/>
    </row>
    <row r="733" spans="1:15" ht="15.75" thickBot="1" x14ac:dyDescent="0.3">
      <c r="A733" s="92"/>
      <c r="B733" s="91"/>
      <c r="C733" s="91"/>
      <c r="D733" s="91"/>
      <c r="E733" s="91"/>
      <c r="F733" s="91"/>
      <c r="G733" s="91"/>
      <c r="H733" s="91"/>
      <c r="I733" s="91"/>
      <c r="J733" s="91"/>
      <c r="K733" s="91"/>
      <c r="L733" s="91"/>
      <c r="M733" s="91"/>
      <c r="N733" s="91"/>
      <c r="O733" s="90"/>
    </row>
    <row r="734" spans="1:15" ht="15.75" thickBot="1" x14ac:dyDescent="0.3"/>
    <row r="735" spans="1:15" x14ac:dyDescent="0.25">
      <c r="A735" s="141"/>
      <c r="B735" s="140"/>
      <c r="C735" s="140"/>
      <c r="D735" s="140"/>
      <c r="E735" s="140"/>
      <c r="F735" s="140"/>
      <c r="G735" s="140"/>
      <c r="H735" s="140"/>
      <c r="I735" s="140"/>
      <c r="J735" s="272"/>
      <c r="K735" s="140"/>
      <c r="L735" s="140"/>
      <c r="M735" s="140"/>
      <c r="N735" s="140"/>
      <c r="O735" s="139"/>
    </row>
    <row r="736" spans="1:15" x14ac:dyDescent="0.25">
      <c r="A736" s="267" t="s">
        <v>57</v>
      </c>
      <c r="B736" s="133" t="s">
        <v>523</v>
      </c>
      <c r="C736" s="94"/>
      <c r="D736" s="94"/>
      <c r="E736" s="94"/>
      <c r="F736" s="94"/>
      <c r="G736" s="94"/>
      <c r="H736" s="94"/>
      <c r="I736" s="94"/>
      <c r="J736" s="271" t="s">
        <v>51</v>
      </c>
      <c r="K736" s="138">
        <v>81</v>
      </c>
      <c r="L736" s="94"/>
      <c r="M736" s="267" t="s">
        <v>113</v>
      </c>
      <c r="N736" s="100">
        <f>EN_05004_m+EN_05004_p</f>
        <v>1.9768000000000001</v>
      </c>
      <c r="O736" s="93"/>
    </row>
    <row r="737" spans="1:15" x14ac:dyDescent="0.25">
      <c r="A737" s="267" t="s">
        <v>125</v>
      </c>
      <c r="B737" s="133" t="s">
        <v>21</v>
      </c>
      <c r="C737" s="94"/>
      <c r="D737" s="267" t="s">
        <v>122</v>
      </c>
      <c r="E737" s="94"/>
      <c r="F737" s="94"/>
      <c r="G737" s="94"/>
      <c r="H737" s="94"/>
      <c r="I737" s="94"/>
      <c r="J737" s="94"/>
      <c r="K737" s="94"/>
      <c r="L737" s="94"/>
      <c r="M737" s="267" t="s">
        <v>124</v>
      </c>
      <c r="N737" s="136">
        <v>4</v>
      </c>
      <c r="O737" s="93"/>
    </row>
    <row r="738" spans="1:15" x14ac:dyDescent="0.25">
      <c r="A738" s="267" t="s">
        <v>123</v>
      </c>
      <c r="B738" s="270" t="str">
        <f>'EN Assemblies'!B231</f>
        <v>Intake system</v>
      </c>
      <c r="C738" s="94"/>
      <c r="D738" s="267" t="s">
        <v>119</v>
      </c>
      <c r="E738" s="94"/>
      <c r="F738" s="94"/>
      <c r="G738" s="94"/>
      <c r="H738" s="94"/>
      <c r="I738" s="94"/>
      <c r="J738" s="268" t="s">
        <v>122</v>
      </c>
      <c r="K738" s="94"/>
      <c r="L738" s="94"/>
      <c r="M738" s="94"/>
      <c r="N738" s="94"/>
      <c r="O738" s="93"/>
    </row>
    <row r="739" spans="1:15" x14ac:dyDescent="0.25">
      <c r="A739" s="267" t="s">
        <v>114</v>
      </c>
      <c r="B739" s="135" t="s">
        <v>866</v>
      </c>
      <c r="C739" s="94"/>
      <c r="D739" s="267" t="s">
        <v>116</v>
      </c>
      <c r="E739" s="94"/>
      <c r="F739" s="94"/>
      <c r="G739" s="94"/>
      <c r="H739" s="94"/>
      <c r="I739" s="94"/>
      <c r="J739" s="268" t="s">
        <v>119</v>
      </c>
      <c r="K739" s="94"/>
      <c r="L739" s="94"/>
      <c r="M739" s="267" t="s">
        <v>118</v>
      </c>
      <c r="N739" s="100">
        <f>N737*N736</f>
        <v>7.9072000000000005</v>
      </c>
      <c r="O739" s="93"/>
    </row>
    <row r="740" spans="1:15" x14ac:dyDescent="0.25">
      <c r="A740" s="267" t="s">
        <v>121</v>
      </c>
      <c r="B740" s="269" t="s">
        <v>865</v>
      </c>
      <c r="C740" s="94"/>
      <c r="D740" s="94"/>
      <c r="E740" s="94"/>
      <c r="F740" s="94"/>
      <c r="G740" s="94"/>
      <c r="H740" s="94"/>
      <c r="I740" s="94"/>
      <c r="J740" s="268" t="s">
        <v>116</v>
      </c>
      <c r="K740" s="94"/>
      <c r="L740" s="94"/>
      <c r="M740" s="94"/>
      <c r="N740" s="94"/>
      <c r="O740" s="93"/>
    </row>
    <row r="741" spans="1:15" x14ac:dyDescent="0.25">
      <c r="A741" s="267" t="s">
        <v>117</v>
      </c>
      <c r="B741" s="133" t="s">
        <v>23</v>
      </c>
      <c r="C741" s="94"/>
      <c r="D741" s="94"/>
      <c r="E741" s="94"/>
      <c r="F741" s="94"/>
      <c r="G741" s="94"/>
      <c r="H741" s="94"/>
      <c r="I741" s="94"/>
      <c r="J741" s="94"/>
      <c r="K741" s="94"/>
      <c r="L741" s="94"/>
      <c r="M741" s="94"/>
      <c r="N741" s="94"/>
      <c r="O741" s="93"/>
    </row>
    <row r="742" spans="1:15" x14ac:dyDescent="0.25">
      <c r="A742" s="267" t="s">
        <v>115</v>
      </c>
      <c r="B742" s="133" t="s">
        <v>864</v>
      </c>
      <c r="C742" s="94"/>
      <c r="D742" s="94"/>
      <c r="E742" s="94"/>
      <c r="F742" s="94"/>
      <c r="G742" s="94"/>
      <c r="H742" s="94"/>
      <c r="I742" s="94"/>
      <c r="J742" s="94"/>
      <c r="K742" s="94"/>
      <c r="L742" s="94"/>
      <c r="M742" s="94"/>
      <c r="N742" s="94"/>
      <c r="O742" s="93"/>
    </row>
    <row r="743" spans="1:15" x14ac:dyDescent="0.25">
      <c r="A743" s="266"/>
      <c r="B743" s="265"/>
      <c r="C743" s="265"/>
      <c r="D743" s="265"/>
      <c r="E743" s="265"/>
      <c r="F743" s="94"/>
      <c r="G743" s="94"/>
      <c r="H743" s="94"/>
      <c r="I743" s="94"/>
      <c r="J743" s="94"/>
      <c r="K743" s="94"/>
      <c r="L743" s="94"/>
      <c r="M743" s="94"/>
      <c r="N743" s="94"/>
      <c r="O743" s="93"/>
    </row>
    <row r="744" spans="1:15" x14ac:dyDescent="0.25">
      <c r="A744" s="264" t="s">
        <v>67</v>
      </c>
      <c r="B744" s="263" t="s">
        <v>112</v>
      </c>
      <c r="C744" s="263" t="s">
        <v>66</v>
      </c>
      <c r="D744" s="263" t="s">
        <v>65</v>
      </c>
      <c r="E744" s="263" t="s">
        <v>81</v>
      </c>
      <c r="F744" s="274" t="s">
        <v>80</v>
      </c>
      <c r="G744" s="274" t="s">
        <v>79</v>
      </c>
      <c r="H744" s="274" t="s">
        <v>78</v>
      </c>
      <c r="I744" s="274" t="s">
        <v>111</v>
      </c>
      <c r="J744" s="274" t="s">
        <v>110</v>
      </c>
      <c r="K744" s="274" t="s">
        <v>109</v>
      </c>
      <c r="L744" s="274" t="s">
        <v>108</v>
      </c>
      <c r="M744" s="274" t="s">
        <v>40</v>
      </c>
      <c r="N744" s="274" t="s">
        <v>58</v>
      </c>
      <c r="O744" s="93"/>
    </row>
    <row r="745" spans="1:15" x14ac:dyDescent="0.25">
      <c r="A745" s="282">
        <v>10</v>
      </c>
      <c r="B745" s="338" t="s">
        <v>863</v>
      </c>
      <c r="C745" s="315" t="s">
        <v>841</v>
      </c>
      <c r="D745" s="324">
        <v>3.3</v>
      </c>
      <c r="E745" s="282">
        <v>5.6000000000000001E-2</v>
      </c>
      <c r="F745" s="282" t="s">
        <v>794</v>
      </c>
      <c r="G745" s="282"/>
      <c r="H745" s="278"/>
      <c r="I745" s="303"/>
      <c r="J745" s="381"/>
      <c r="K745" s="278"/>
      <c r="L745" s="278"/>
      <c r="M745" s="302">
        <v>5.6000000000000001E-2</v>
      </c>
      <c r="N745" s="276">
        <f>IF(J745="",D745*M745,D745*J745*K745*L745*M745)</f>
        <v>0.18479999999999999</v>
      </c>
      <c r="O745" s="143"/>
    </row>
    <row r="746" spans="1:15" x14ac:dyDescent="0.25">
      <c r="A746" s="98"/>
      <c r="B746" s="95"/>
      <c r="C746" s="95"/>
      <c r="D746" s="95"/>
      <c r="E746" s="95"/>
      <c r="F746" s="95"/>
      <c r="G746" s="95"/>
      <c r="H746" s="95"/>
      <c r="I746" s="95"/>
      <c r="J746" s="95"/>
      <c r="K746" s="95"/>
      <c r="L746" s="95"/>
      <c r="M746" s="256" t="s">
        <v>58</v>
      </c>
      <c r="N746" s="255">
        <f>SUM(N745:N745)</f>
        <v>0.18479999999999999</v>
      </c>
      <c r="O746" s="93"/>
    </row>
    <row r="747" spans="1:15" x14ac:dyDescent="0.25">
      <c r="A747" s="107"/>
      <c r="B747" s="94"/>
      <c r="C747" s="94"/>
      <c r="D747" s="94"/>
      <c r="E747" s="94"/>
      <c r="F747" s="94"/>
      <c r="G747" s="94"/>
      <c r="H747" s="94"/>
      <c r="I747" s="94"/>
      <c r="J747" s="94"/>
      <c r="K747" s="94"/>
      <c r="L747" s="94"/>
      <c r="M747" s="94"/>
      <c r="N747" s="94"/>
      <c r="O747" s="93"/>
    </row>
    <row r="748" spans="1:15" x14ac:dyDescent="0.25">
      <c r="A748" s="418" t="s">
        <v>67</v>
      </c>
      <c r="B748" s="274" t="s">
        <v>106</v>
      </c>
      <c r="C748" s="274" t="s">
        <v>66</v>
      </c>
      <c r="D748" s="274" t="s">
        <v>65</v>
      </c>
      <c r="E748" s="274" t="s">
        <v>64</v>
      </c>
      <c r="F748" s="274" t="s">
        <v>40</v>
      </c>
      <c r="G748" s="274" t="s">
        <v>105</v>
      </c>
      <c r="H748" s="274" t="s">
        <v>104</v>
      </c>
      <c r="I748" s="274" t="s">
        <v>58</v>
      </c>
      <c r="J748" s="95"/>
      <c r="K748" s="95"/>
      <c r="L748" s="95"/>
      <c r="M748" s="95"/>
      <c r="N748" s="95"/>
      <c r="O748" s="93"/>
    </row>
    <row r="749" spans="1:15" x14ac:dyDescent="0.25">
      <c r="A749" s="331">
        <v>10</v>
      </c>
      <c r="B749" s="326" t="s">
        <v>862</v>
      </c>
      <c r="C749" s="331"/>
      <c r="D749" s="437">
        <v>32</v>
      </c>
      <c r="E749" s="326" t="s">
        <v>794</v>
      </c>
      <c r="F749" s="325">
        <v>5.6000000000000001E-2</v>
      </c>
      <c r="G749" s="325"/>
      <c r="H749" s="325">
        <v>1</v>
      </c>
      <c r="I749" s="293">
        <f>IF(H749="",D749*F749,D749*F749*H749)</f>
        <v>1.792</v>
      </c>
      <c r="J749" s="142"/>
      <c r="K749" s="142"/>
      <c r="L749" s="142"/>
      <c r="M749" s="142"/>
      <c r="N749" s="142"/>
      <c r="O749" s="120"/>
    </row>
    <row r="750" spans="1:15" x14ac:dyDescent="0.25">
      <c r="A750" s="98"/>
      <c r="B750" s="95"/>
      <c r="C750" s="95"/>
      <c r="D750" s="95"/>
      <c r="E750" s="95"/>
      <c r="F750" s="95"/>
      <c r="G750" s="95"/>
      <c r="H750" s="256" t="s">
        <v>58</v>
      </c>
      <c r="I750" s="255">
        <f>SUM(I749:I749)</f>
        <v>1.792</v>
      </c>
      <c r="J750" s="95"/>
      <c r="K750" s="95"/>
      <c r="L750" s="95"/>
      <c r="M750" s="95"/>
      <c r="N750" s="95"/>
      <c r="O750" s="93"/>
    </row>
    <row r="751" spans="1:15" x14ac:dyDescent="0.25">
      <c r="A751" s="107"/>
      <c r="B751" s="94"/>
      <c r="C751" s="94"/>
      <c r="D751" s="94"/>
      <c r="E751" s="94"/>
      <c r="F751" s="94"/>
      <c r="G751" s="94"/>
      <c r="H751" s="94"/>
      <c r="I751" s="99"/>
      <c r="J751" s="94"/>
      <c r="K751" s="94"/>
      <c r="L751" s="94"/>
      <c r="M751" s="94"/>
      <c r="N751" s="94"/>
      <c r="O751" s="93"/>
    </row>
    <row r="752" spans="1:15" ht="15.75" thickBot="1" x14ac:dyDescent="0.3">
      <c r="A752" s="92"/>
      <c r="B752" s="91"/>
      <c r="C752" s="91"/>
      <c r="D752" s="91"/>
      <c r="E752" s="91"/>
      <c r="F752" s="91"/>
      <c r="G752" s="91"/>
      <c r="H752" s="91"/>
      <c r="I752" s="91"/>
      <c r="J752" s="91"/>
      <c r="K752" s="91"/>
      <c r="L752" s="91"/>
      <c r="M752" s="91"/>
      <c r="N752" s="91"/>
      <c r="O752" s="90"/>
    </row>
    <row r="753" spans="1:15" ht="15.75" thickBot="1" x14ac:dyDescent="0.3"/>
    <row r="754" spans="1:15" x14ac:dyDescent="0.25">
      <c r="A754" s="141"/>
      <c r="B754" s="140"/>
      <c r="C754" s="140"/>
      <c r="D754" s="140"/>
      <c r="E754" s="140"/>
      <c r="F754" s="140"/>
      <c r="G754" s="140"/>
      <c r="H754" s="140"/>
      <c r="I754" s="140"/>
      <c r="J754" s="272"/>
      <c r="K754" s="140"/>
      <c r="L754" s="140"/>
      <c r="M754" s="140"/>
      <c r="N754" s="140"/>
      <c r="O754" s="139"/>
    </row>
    <row r="755" spans="1:15" x14ac:dyDescent="0.25">
      <c r="A755" s="267" t="s">
        <v>57</v>
      </c>
      <c r="B755" s="133" t="s">
        <v>523</v>
      </c>
      <c r="C755" s="94"/>
      <c r="D755" s="94"/>
      <c r="E755" s="94"/>
      <c r="F755" s="94"/>
      <c r="G755" s="94"/>
      <c r="H755" s="94"/>
      <c r="I755" s="94"/>
      <c r="J755" s="271" t="s">
        <v>51</v>
      </c>
      <c r="K755" s="138">
        <v>81</v>
      </c>
      <c r="L755" s="94"/>
      <c r="M755" s="267" t="s">
        <v>113</v>
      </c>
      <c r="N755" s="100">
        <f>EN_05005_m+EN_05005_p</f>
        <v>3.1919996800000003</v>
      </c>
      <c r="O755" s="93"/>
    </row>
    <row r="756" spans="1:15" x14ac:dyDescent="0.25">
      <c r="A756" s="267" t="s">
        <v>125</v>
      </c>
      <c r="B756" s="133" t="s">
        <v>21</v>
      </c>
      <c r="C756" s="94"/>
      <c r="D756" s="267" t="s">
        <v>122</v>
      </c>
      <c r="E756" s="270" t="s">
        <v>522</v>
      </c>
      <c r="F756" s="94"/>
      <c r="G756" s="94"/>
      <c r="H756" s="94"/>
      <c r="I756" s="94"/>
      <c r="J756" s="94"/>
      <c r="K756" s="94"/>
      <c r="L756" s="94"/>
      <c r="M756" s="267" t="s">
        <v>124</v>
      </c>
      <c r="N756" s="136">
        <v>1</v>
      </c>
      <c r="O756" s="93"/>
    </row>
    <row r="757" spans="1:15" x14ac:dyDescent="0.25">
      <c r="A757" s="267" t="s">
        <v>123</v>
      </c>
      <c r="B757" s="270" t="str">
        <f>'EN Assemblies'!B231</f>
        <v>Intake system</v>
      </c>
      <c r="C757" s="94"/>
      <c r="D757" s="267" t="s">
        <v>119</v>
      </c>
      <c r="E757" s="94"/>
      <c r="F757" s="94"/>
      <c r="G757" s="94"/>
      <c r="H757" s="94"/>
      <c r="I757" s="94"/>
      <c r="J757" s="268" t="s">
        <v>122</v>
      </c>
      <c r="K757" s="94"/>
      <c r="L757" s="94"/>
      <c r="M757" s="94"/>
      <c r="N757" s="94"/>
      <c r="O757" s="93"/>
    </row>
    <row r="758" spans="1:15" x14ac:dyDescent="0.25">
      <c r="A758" s="267" t="s">
        <v>114</v>
      </c>
      <c r="B758" s="135" t="s">
        <v>861</v>
      </c>
      <c r="C758" s="94"/>
      <c r="D758" s="267" t="s">
        <v>116</v>
      </c>
      <c r="E758" s="94"/>
      <c r="F758" s="94"/>
      <c r="G758" s="94"/>
      <c r="H758" s="94"/>
      <c r="I758" s="94"/>
      <c r="J758" s="268" t="s">
        <v>119</v>
      </c>
      <c r="K758" s="94"/>
      <c r="L758" s="94"/>
      <c r="M758" s="267" t="s">
        <v>118</v>
      </c>
      <c r="N758" s="100">
        <f>N756*N755</f>
        <v>3.1919996800000003</v>
      </c>
      <c r="O758" s="93"/>
    </row>
    <row r="759" spans="1:15" x14ac:dyDescent="0.25">
      <c r="A759" s="267" t="s">
        <v>121</v>
      </c>
      <c r="B759" s="269" t="s">
        <v>860</v>
      </c>
      <c r="C759" s="94"/>
      <c r="D759" s="94"/>
      <c r="E759" s="94"/>
      <c r="F759" s="94"/>
      <c r="G759" s="94"/>
      <c r="H759" s="94"/>
      <c r="I759" s="94"/>
      <c r="J759" s="268" t="s">
        <v>116</v>
      </c>
      <c r="K759" s="94"/>
      <c r="L759" s="94"/>
      <c r="M759" s="94"/>
      <c r="N759" s="94"/>
      <c r="O759" s="93"/>
    </row>
    <row r="760" spans="1:15" x14ac:dyDescent="0.25">
      <c r="A760" s="267" t="s">
        <v>117</v>
      </c>
      <c r="B760" s="133" t="s">
        <v>23</v>
      </c>
      <c r="C760" s="94"/>
      <c r="D760" s="94"/>
      <c r="E760" s="94"/>
      <c r="F760" s="94"/>
      <c r="G760" s="94"/>
      <c r="H760" s="94"/>
      <c r="I760" s="94"/>
      <c r="J760" s="94"/>
      <c r="K760" s="94"/>
      <c r="L760" s="94"/>
      <c r="M760" s="94"/>
      <c r="N760" s="94"/>
      <c r="O760" s="93"/>
    </row>
    <row r="761" spans="1:15" x14ac:dyDescent="0.25">
      <c r="A761" s="267" t="s">
        <v>115</v>
      </c>
      <c r="B761" s="133" t="s">
        <v>859</v>
      </c>
      <c r="C761" s="94"/>
      <c r="D761" s="94"/>
      <c r="E761" s="94"/>
      <c r="F761" s="94"/>
      <c r="G761" s="94"/>
      <c r="H761" s="94"/>
      <c r="I761" s="94"/>
      <c r="J761" s="94"/>
      <c r="K761" s="94"/>
      <c r="L761" s="94"/>
      <c r="M761" s="94"/>
      <c r="N761" s="94"/>
      <c r="O761" s="93"/>
    </row>
    <row r="762" spans="1:15" x14ac:dyDescent="0.25">
      <c r="A762" s="266"/>
      <c r="B762" s="265"/>
      <c r="C762" s="265"/>
      <c r="D762" s="265"/>
      <c r="E762" s="265"/>
      <c r="F762" s="94"/>
      <c r="G762" s="94"/>
      <c r="H762" s="94"/>
      <c r="I762" s="94"/>
      <c r="J762" s="94"/>
      <c r="K762" s="94"/>
      <c r="L762" s="94"/>
      <c r="M762" s="94"/>
      <c r="N762" s="94"/>
      <c r="O762" s="93"/>
    </row>
    <row r="763" spans="1:15" x14ac:dyDescent="0.25">
      <c r="A763" s="264" t="s">
        <v>67</v>
      </c>
      <c r="B763" s="263" t="s">
        <v>112</v>
      </c>
      <c r="C763" s="263" t="s">
        <v>66</v>
      </c>
      <c r="D763" s="263" t="s">
        <v>65</v>
      </c>
      <c r="E763" s="263" t="s">
        <v>81</v>
      </c>
      <c r="F763" s="274" t="s">
        <v>80</v>
      </c>
      <c r="G763" s="274" t="s">
        <v>79</v>
      </c>
      <c r="H763" s="274" t="s">
        <v>78</v>
      </c>
      <c r="I763" s="274" t="s">
        <v>111</v>
      </c>
      <c r="J763" s="274" t="s">
        <v>110</v>
      </c>
      <c r="K763" s="274" t="s">
        <v>109</v>
      </c>
      <c r="L763" s="274" t="s">
        <v>108</v>
      </c>
      <c r="M763" s="274" t="s">
        <v>40</v>
      </c>
      <c r="N763" s="274" t="s">
        <v>58</v>
      </c>
      <c r="O763" s="93"/>
    </row>
    <row r="764" spans="1:15" ht="30" x14ac:dyDescent="0.25">
      <c r="A764" s="315">
        <v>10</v>
      </c>
      <c r="B764" s="338" t="s">
        <v>852</v>
      </c>
      <c r="C764" s="292" t="s">
        <v>841</v>
      </c>
      <c r="D764" s="324">
        <v>1.2</v>
      </c>
      <c r="E764" s="315">
        <v>24</v>
      </c>
      <c r="F764" s="315" t="s">
        <v>68</v>
      </c>
      <c r="G764" s="315">
        <v>2</v>
      </c>
      <c r="H764" s="314" t="s">
        <v>68</v>
      </c>
      <c r="I764" s="281" t="s">
        <v>858</v>
      </c>
      <c r="J764" s="321">
        <f>0.024*0.002</f>
        <v>4.8000000000000001E-5</v>
      </c>
      <c r="K764" s="320">
        <v>0.20499999999999999</v>
      </c>
      <c r="L764" s="355">
        <v>2710</v>
      </c>
      <c r="M764" s="299">
        <v>1</v>
      </c>
      <c r="N764" s="276">
        <f>IF(J764="",D764*M764,D764*J764*K764*L764*M764)</f>
        <v>3.1999679999999996E-2</v>
      </c>
      <c r="O764" s="143"/>
    </row>
    <row r="765" spans="1:15" x14ac:dyDescent="0.25">
      <c r="A765" s="98"/>
      <c r="B765" s="95"/>
      <c r="C765" s="95"/>
      <c r="D765" s="95"/>
      <c r="E765" s="95"/>
      <c r="F765" s="95"/>
      <c r="G765" s="95"/>
      <c r="H765" s="95"/>
      <c r="I765" s="95"/>
      <c r="J765" s="95"/>
      <c r="K765" s="95"/>
      <c r="L765" s="95"/>
      <c r="M765" s="256" t="s">
        <v>58</v>
      </c>
      <c r="N765" s="255">
        <f>SUM(N764:N764)</f>
        <v>3.1999679999999996E-2</v>
      </c>
      <c r="O765" s="93"/>
    </row>
    <row r="766" spans="1:15" x14ac:dyDescent="0.25">
      <c r="A766" s="107"/>
      <c r="B766" s="94"/>
      <c r="C766" s="94"/>
      <c r="D766" s="94"/>
      <c r="E766" s="94"/>
      <c r="F766" s="94"/>
      <c r="G766" s="94"/>
      <c r="H766" s="94"/>
      <c r="I766" s="94"/>
      <c r="J766" s="94"/>
      <c r="K766" s="94"/>
      <c r="L766" s="94"/>
      <c r="M766" s="94"/>
      <c r="N766" s="94"/>
      <c r="O766" s="93"/>
    </row>
    <row r="767" spans="1:15" x14ac:dyDescent="0.25">
      <c r="A767" s="418" t="s">
        <v>67</v>
      </c>
      <c r="B767" s="274" t="s">
        <v>106</v>
      </c>
      <c r="C767" s="274" t="s">
        <v>66</v>
      </c>
      <c r="D767" s="274" t="s">
        <v>65</v>
      </c>
      <c r="E767" s="274" t="s">
        <v>64</v>
      </c>
      <c r="F767" s="274" t="s">
        <v>40</v>
      </c>
      <c r="G767" s="274" t="s">
        <v>105</v>
      </c>
      <c r="H767" s="274" t="s">
        <v>104</v>
      </c>
      <c r="I767" s="274" t="s">
        <v>58</v>
      </c>
      <c r="J767" s="95"/>
      <c r="K767" s="95"/>
      <c r="L767" s="95"/>
      <c r="M767" s="95"/>
      <c r="N767" s="95"/>
      <c r="O767" s="93"/>
    </row>
    <row r="768" spans="1:15" ht="30" x14ac:dyDescent="0.25">
      <c r="A768" s="325">
        <v>10</v>
      </c>
      <c r="B768" s="326" t="s">
        <v>516</v>
      </c>
      <c r="C768" s="325" t="s">
        <v>802</v>
      </c>
      <c r="D768" s="329">
        <v>1.3</v>
      </c>
      <c r="E768" s="326" t="s">
        <v>64</v>
      </c>
      <c r="F768" s="325">
        <v>1</v>
      </c>
      <c r="G768" s="325"/>
      <c r="H768" s="325"/>
      <c r="I768" s="293">
        <f>IF(H768="",D768*F768,D768*F768*H768)</f>
        <v>1.3</v>
      </c>
      <c r="J768" s="142"/>
      <c r="K768" s="142"/>
      <c r="L768" s="142"/>
      <c r="M768" s="142"/>
      <c r="N768" s="142"/>
      <c r="O768" s="120"/>
    </row>
    <row r="769" spans="1:15" x14ac:dyDescent="0.25">
      <c r="A769" s="328">
        <v>20</v>
      </c>
      <c r="B769" s="326" t="s">
        <v>541</v>
      </c>
      <c r="C769" s="328" t="s">
        <v>857</v>
      </c>
      <c r="D769" s="329">
        <v>0.01</v>
      </c>
      <c r="E769" s="328" t="s">
        <v>101</v>
      </c>
      <c r="F769" s="328">
        <v>86</v>
      </c>
      <c r="G769" s="326" t="s">
        <v>846</v>
      </c>
      <c r="H769" s="325">
        <v>1</v>
      </c>
      <c r="I769" s="293">
        <f>IF(H769="",D769*F769,D769*F769*H769)</f>
        <v>0.86</v>
      </c>
      <c r="J769" s="94"/>
      <c r="K769" s="94"/>
      <c r="L769" s="94"/>
      <c r="M769" s="94"/>
      <c r="N769" s="94"/>
      <c r="O769" s="93"/>
    </row>
    <row r="770" spans="1:15" x14ac:dyDescent="0.25">
      <c r="A770" s="328">
        <v>30</v>
      </c>
      <c r="B770" s="326" t="s">
        <v>539</v>
      </c>
      <c r="C770" s="437" t="s">
        <v>856</v>
      </c>
      <c r="D770" s="437">
        <v>0.25</v>
      </c>
      <c r="E770" s="328" t="s">
        <v>537</v>
      </c>
      <c r="F770" s="328">
        <v>4</v>
      </c>
      <c r="G770" s="326"/>
      <c r="H770" s="433"/>
      <c r="I770" s="276">
        <f>IF(H770="",D770*F770,D770*F770*H770)</f>
        <v>1</v>
      </c>
      <c r="J770" s="99"/>
      <c r="K770" s="99"/>
      <c r="L770" s="99"/>
      <c r="M770" s="99"/>
      <c r="N770" s="99"/>
      <c r="O770" s="130"/>
    </row>
    <row r="771" spans="1:15" x14ac:dyDescent="0.25">
      <c r="A771" s="98"/>
      <c r="B771" s="95"/>
      <c r="C771" s="95"/>
      <c r="D771" s="95"/>
      <c r="E771" s="95"/>
      <c r="F771" s="95"/>
      <c r="G771" s="95"/>
      <c r="H771" s="256" t="s">
        <v>58</v>
      </c>
      <c r="I771" s="255">
        <f>SUM(I768:I770)</f>
        <v>3.16</v>
      </c>
      <c r="J771" s="95"/>
      <c r="K771" s="95"/>
      <c r="L771" s="95"/>
      <c r="M771" s="95"/>
      <c r="N771" s="95"/>
      <c r="O771" s="93"/>
    </row>
    <row r="772" spans="1:15" x14ac:dyDescent="0.25">
      <c r="A772" s="107"/>
      <c r="B772" s="94"/>
      <c r="C772" s="94"/>
      <c r="D772" s="94"/>
      <c r="E772" s="94"/>
      <c r="F772" s="94"/>
      <c r="G772" s="94"/>
      <c r="H772" s="94"/>
      <c r="I772" s="99"/>
      <c r="J772" s="94"/>
      <c r="K772" s="94"/>
      <c r="L772" s="94"/>
      <c r="M772" s="94"/>
      <c r="N772" s="94"/>
      <c r="O772" s="93"/>
    </row>
    <row r="773" spans="1:15" ht="15.75" thickBot="1" x14ac:dyDescent="0.3">
      <c r="A773" s="92"/>
      <c r="B773" s="91"/>
      <c r="C773" s="91"/>
      <c r="D773" s="91"/>
      <c r="E773" s="91"/>
      <c r="F773" s="91"/>
      <c r="G773" s="91"/>
      <c r="H773" s="91"/>
      <c r="I773" s="91"/>
      <c r="J773" s="91"/>
      <c r="K773" s="91"/>
      <c r="L773" s="91"/>
      <c r="M773" s="91"/>
      <c r="N773" s="91"/>
      <c r="O773" s="90"/>
    </row>
    <row r="774" spans="1:15" ht="15.75" thickBot="1" x14ac:dyDescent="0.3"/>
    <row r="775" spans="1:15" x14ac:dyDescent="0.25">
      <c r="A775" s="141"/>
      <c r="B775" s="140"/>
      <c r="C775" s="140"/>
      <c r="D775" s="140"/>
      <c r="E775" s="140"/>
      <c r="F775" s="140"/>
      <c r="G775" s="140"/>
      <c r="H775" s="140"/>
      <c r="I775" s="140"/>
      <c r="J775" s="272"/>
      <c r="K775" s="140"/>
      <c r="L775" s="140"/>
      <c r="M775" s="140"/>
      <c r="N775" s="140"/>
      <c r="O775" s="139"/>
    </row>
    <row r="776" spans="1:15" x14ac:dyDescent="0.25">
      <c r="A776" s="267" t="s">
        <v>57</v>
      </c>
      <c r="B776" s="133" t="s">
        <v>523</v>
      </c>
      <c r="C776" s="94"/>
      <c r="D776" s="94"/>
      <c r="E776" s="94"/>
      <c r="F776" s="94"/>
      <c r="G776" s="94"/>
      <c r="H776" s="94"/>
      <c r="I776" s="94"/>
      <c r="J776" s="271" t="s">
        <v>51</v>
      </c>
      <c r="K776" s="138">
        <v>81</v>
      </c>
      <c r="L776" s="94"/>
      <c r="M776" s="267" t="s">
        <v>113</v>
      </c>
      <c r="N776" s="100">
        <f>EN_05006_m+EN_05006_p</f>
        <v>2.9402432000000003</v>
      </c>
      <c r="O776" s="93"/>
    </row>
    <row r="777" spans="1:15" x14ac:dyDescent="0.25">
      <c r="A777" s="267" t="s">
        <v>125</v>
      </c>
      <c r="B777" s="133" t="s">
        <v>21</v>
      </c>
      <c r="C777" s="94"/>
      <c r="D777" s="267" t="s">
        <v>122</v>
      </c>
      <c r="E777" s="94"/>
      <c r="F777" s="94"/>
      <c r="G777" s="94"/>
      <c r="H777" s="94"/>
      <c r="I777" s="94"/>
      <c r="J777" s="94"/>
      <c r="K777" s="94"/>
      <c r="L777" s="94"/>
      <c r="M777" s="267" t="s">
        <v>124</v>
      </c>
      <c r="N777" s="136">
        <v>2</v>
      </c>
      <c r="O777" s="93"/>
    </row>
    <row r="778" spans="1:15" x14ac:dyDescent="0.25">
      <c r="A778" s="267" t="s">
        <v>123</v>
      </c>
      <c r="B778" s="270" t="str">
        <f>'EN Assemblies'!B231</f>
        <v>Intake system</v>
      </c>
      <c r="C778" s="94"/>
      <c r="D778" s="267" t="s">
        <v>119</v>
      </c>
      <c r="E778" s="94"/>
      <c r="F778" s="94"/>
      <c r="G778" s="94"/>
      <c r="H778" s="94"/>
      <c r="I778" s="94"/>
      <c r="J778" s="268" t="s">
        <v>122</v>
      </c>
      <c r="K778" s="94"/>
      <c r="L778" s="94"/>
      <c r="M778" s="94"/>
      <c r="N778" s="94"/>
      <c r="O778" s="93"/>
    </row>
    <row r="779" spans="1:15" x14ac:dyDescent="0.25">
      <c r="A779" s="267" t="s">
        <v>114</v>
      </c>
      <c r="B779" s="135" t="s">
        <v>855</v>
      </c>
      <c r="C779" s="94"/>
      <c r="D779" s="267" t="s">
        <v>116</v>
      </c>
      <c r="E779" s="94"/>
      <c r="F779" s="94"/>
      <c r="G779" s="94"/>
      <c r="H779" s="94"/>
      <c r="I779" s="94"/>
      <c r="J779" s="268" t="s">
        <v>119</v>
      </c>
      <c r="K779" s="94"/>
      <c r="L779" s="94"/>
      <c r="M779" s="267" t="s">
        <v>118</v>
      </c>
      <c r="N779" s="100">
        <f>N777*N776</f>
        <v>5.8804864000000006</v>
      </c>
      <c r="O779" s="93"/>
    </row>
    <row r="780" spans="1:15" x14ac:dyDescent="0.25">
      <c r="A780" s="267" t="s">
        <v>121</v>
      </c>
      <c r="B780" s="269" t="s">
        <v>854</v>
      </c>
      <c r="C780" s="94"/>
      <c r="D780" s="94"/>
      <c r="E780" s="94"/>
      <c r="F780" s="94"/>
      <c r="G780" s="94"/>
      <c r="H780" s="94"/>
      <c r="I780" s="94"/>
      <c r="J780" s="268" t="s">
        <v>116</v>
      </c>
      <c r="K780" s="94"/>
      <c r="L780" s="94"/>
      <c r="M780" s="94"/>
      <c r="N780" s="94"/>
      <c r="O780" s="93"/>
    </row>
    <row r="781" spans="1:15" x14ac:dyDescent="0.25">
      <c r="A781" s="267" t="s">
        <v>117</v>
      </c>
      <c r="B781" s="133" t="s">
        <v>23</v>
      </c>
      <c r="C781" s="94"/>
      <c r="D781" s="94"/>
      <c r="E781" s="94"/>
      <c r="F781" s="94"/>
      <c r="G781" s="94"/>
      <c r="H781" s="94"/>
      <c r="I781" s="94"/>
      <c r="J781" s="94"/>
      <c r="K781" s="94"/>
      <c r="L781" s="94"/>
      <c r="M781" s="94"/>
      <c r="N781" s="94"/>
      <c r="O781" s="93"/>
    </row>
    <row r="782" spans="1:15" x14ac:dyDescent="0.25">
      <c r="A782" s="267" t="s">
        <v>115</v>
      </c>
      <c r="B782" s="133" t="s">
        <v>853</v>
      </c>
      <c r="C782" s="94"/>
      <c r="D782" s="94"/>
      <c r="E782" s="94"/>
      <c r="F782" s="94"/>
      <c r="G782" s="94"/>
      <c r="H782" s="94"/>
      <c r="I782" s="94"/>
      <c r="J782" s="94"/>
      <c r="K782" s="94"/>
      <c r="L782" s="94"/>
      <c r="M782" s="94"/>
      <c r="N782" s="94"/>
      <c r="O782" s="93"/>
    </row>
    <row r="783" spans="1:15" x14ac:dyDescent="0.25">
      <c r="A783" s="266"/>
      <c r="B783" s="265"/>
      <c r="C783" s="265"/>
      <c r="D783" s="265"/>
      <c r="E783" s="265"/>
      <c r="F783" s="94"/>
      <c r="G783" s="94"/>
      <c r="H783" s="94"/>
      <c r="I783" s="94"/>
      <c r="J783" s="94"/>
      <c r="K783" s="94"/>
      <c r="L783" s="94"/>
      <c r="M783" s="94"/>
      <c r="N783" s="94"/>
      <c r="O783" s="93"/>
    </row>
    <row r="784" spans="1:15" x14ac:dyDescent="0.25">
      <c r="A784" s="264" t="s">
        <v>67</v>
      </c>
      <c r="B784" s="263" t="s">
        <v>112</v>
      </c>
      <c r="C784" s="263" t="s">
        <v>66</v>
      </c>
      <c r="D784" s="263" t="s">
        <v>65</v>
      </c>
      <c r="E784" s="263" t="s">
        <v>81</v>
      </c>
      <c r="F784" s="274" t="s">
        <v>80</v>
      </c>
      <c r="G784" s="274" t="s">
        <v>79</v>
      </c>
      <c r="H784" s="274" t="s">
        <v>78</v>
      </c>
      <c r="I784" s="274" t="s">
        <v>111</v>
      </c>
      <c r="J784" s="274" t="s">
        <v>110</v>
      </c>
      <c r="K784" s="274" t="s">
        <v>109</v>
      </c>
      <c r="L784" s="274" t="s">
        <v>108</v>
      </c>
      <c r="M784" s="274" t="s">
        <v>40</v>
      </c>
      <c r="N784" s="274" t="s">
        <v>58</v>
      </c>
      <c r="O784" s="93"/>
    </row>
    <row r="785" spans="1:15" ht="30" x14ac:dyDescent="0.25">
      <c r="A785" s="315">
        <v>10</v>
      </c>
      <c r="B785" s="338" t="s">
        <v>852</v>
      </c>
      <c r="C785" s="292" t="s">
        <v>851</v>
      </c>
      <c r="D785" s="324">
        <v>1.2</v>
      </c>
      <c r="E785" s="315">
        <v>60</v>
      </c>
      <c r="F785" s="315" t="s">
        <v>68</v>
      </c>
      <c r="G785" s="315">
        <v>3</v>
      </c>
      <c r="H785" s="314" t="s">
        <v>68</v>
      </c>
      <c r="I785" s="281" t="s">
        <v>850</v>
      </c>
      <c r="J785" s="379">
        <f>0.06*0.003</f>
        <v>1.7999999999999998E-4</v>
      </c>
      <c r="K785" s="320">
        <v>0.12</v>
      </c>
      <c r="L785" s="355">
        <v>2710</v>
      </c>
      <c r="M785" s="299">
        <v>1</v>
      </c>
      <c r="N785" s="276">
        <f>IF(J785="",D785*M785,D785*J785*K785*L785*M785)</f>
        <v>7.0243199999999992E-2</v>
      </c>
      <c r="O785" s="143"/>
    </row>
    <row r="786" spans="1:15" x14ac:dyDescent="0.25">
      <c r="A786" s="282">
        <v>20</v>
      </c>
      <c r="B786" s="282" t="s">
        <v>849</v>
      </c>
      <c r="C786" s="282" t="s">
        <v>848</v>
      </c>
      <c r="D786" s="283">
        <v>9</v>
      </c>
      <c r="E786" s="282">
        <v>50</v>
      </c>
      <c r="F786" s="282" t="s">
        <v>68</v>
      </c>
      <c r="G786" s="282">
        <v>10</v>
      </c>
      <c r="H786" s="278" t="s">
        <v>68</v>
      </c>
      <c r="I786" s="303"/>
      <c r="J786" s="435"/>
      <c r="K786" s="278"/>
      <c r="L786" s="278"/>
      <c r="M786" s="436">
        <v>0.01</v>
      </c>
      <c r="N786" s="276">
        <f>IF(J786="",D786*M786,D786*J786*K786*L786*M786)</f>
        <v>0.09</v>
      </c>
      <c r="O786" s="143"/>
    </row>
    <row r="787" spans="1:15" x14ac:dyDescent="0.25">
      <c r="A787" s="282">
        <v>30</v>
      </c>
      <c r="B787" s="282" t="s">
        <v>383</v>
      </c>
      <c r="C787" s="282" t="s">
        <v>847</v>
      </c>
      <c r="D787" s="283">
        <v>0</v>
      </c>
      <c r="E787" s="282"/>
      <c r="F787" s="282"/>
      <c r="G787" s="282"/>
      <c r="H787" s="278"/>
      <c r="I787" s="303"/>
      <c r="J787" s="435"/>
      <c r="K787" s="278"/>
      <c r="L787" s="278"/>
      <c r="M787" s="381">
        <v>1</v>
      </c>
      <c r="N787" s="276">
        <f>IF(J787="",D787*M787,D787*J787*K787*L787*M787)</f>
        <v>0</v>
      </c>
      <c r="O787" s="143"/>
    </row>
    <row r="788" spans="1:15" x14ac:dyDescent="0.25">
      <c r="A788" s="98"/>
      <c r="B788" s="95"/>
      <c r="C788" s="95"/>
      <c r="D788" s="95"/>
      <c r="E788" s="95"/>
      <c r="F788" s="95"/>
      <c r="G788" s="95"/>
      <c r="H788" s="95"/>
      <c r="I788" s="95"/>
      <c r="J788" s="95"/>
      <c r="K788" s="95"/>
      <c r="L788" s="95"/>
      <c r="M788" s="256" t="s">
        <v>58</v>
      </c>
      <c r="N788" s="255">
        <f>SUM(N785:N787)</f>
        <v>0.16024319999999997</v>
      </c>
      <c r="O788" s="93"/>
    </row>
    <row r="789" spans="1:15" x14ac:dyDescent="0.25">
      <c r="A789" s="107"/>
      <c r="B789" s="94"/>
      <c r="C789" s="94"/>
      <c r="D789" s="94"/>
      <c r="E789" s="94"/>
      <c r="F789" s="94"/>
      <c r="G789" s="94"/>
      <c r="H789" s="94"/>
      <c r="I789" s="94"/>
      <c r="J789" s="94"/>
      <c r="K789" s="94"/>
      <c r="L789" s="94"/>
      <c r="M789" s="94"/>
      <c r="N789" s="94"/>
      <c r="O789" s="93"/>
    </row>
    <row r="790" spans="1:15" x14ac:dyDescent="0.25">
      <c r="A790" s="418" t="s">
        <v>67</v>
      </c>
      <c r="B790" s="274" t="s">
        <v>106</v>
      </c>
      <c r="C790" s="274" t="s">
        <v>66</v>
      </c>
      <c r="D790" s="274" t="s">
        <v>65</v>
      </c>
      <c r="E790" s="274" t="s">
        <v>64</v>
      </c>
      <c r="F790" s="274" t="s">
        <v>40</v>
      </c>
      <c r="G790" s="274" t="s">
        <v>105</v>
      </c>
      <c r="H790" s="274" t="s">
        <v>104</v>
      </c>
      <c r="I790" s="274" t="s">
        <v>58</v>
      </c>
      <c r="J790" s="95"/>
      <c r="K790" s="95"/>
      <c r="L790" s="95"/>
      <c r="M790" s="95"/>
      <c r="N790" s="95"/>
      <c r="O790" s="93"/>
    </row>
    <row r="791" spans="1:15" ht="30" x14ac:dyDescent="0.25">
      <c r="A791" s="325">
        <v>10</v>
      </c>
      <c r="B791" s="326" t="s">
        <v>516</v>
      </c>
      <c r="C791" s="325" t="s">
        <v>802</v>
      </c>
      <c r="D791" s="329">
        <v>1.3</v>
      </c>
      <c r="E791" s="326" t="s">
        <v>64</v>
      </c>
      <c r="F791" s="325">
        <v>1</v>
      </c>
      <c r="G791" s="325"/>
      <c r="H791" s="325"/>
      <c r="I791" s="293">
        <f>IF(H791="",D791*F791,D791*F791*H791)</f>
        <v>1.3</v>
      </c>
      <c r="J791" s="142"/>
      <c r="K791" s="142"/>
      <c r="L791" s="142"/>
      <c r="M791" s="142"/>
      <c r="N791" s="142"/>
      <c r="O791" s="120"/>
    </row>
    <row r="792" spans="1:15" x14ac:dyDescent="0.25">
      <c r="A792" s="328">
        <v>20</v>
      </c>
      <c r="B792" s="326" t="s">
        <v>541</v>
      </c>
      <c r="C792" s="328" t="s">
        <v>834</v>
      </c>
      <c r="D792" s="329">
        <v>0.01</v>
      </c>
      <c r="E792" s="328" t="s">
        <v>101</v>
      </c>
      <c r="F792" s="328">
        <v>74</v>
      </c>
      <c r="G792" s="326" t="s">
        <v>846</v>
      </c>
      <c r="H792" s="325">
        <v>1</v>
      </c>
      <c r="I792" s="293">
        <f>IF(H792="",D792*F792,D792*F792*H792)</f>
        <v>0.74</v>
      </c>
      <c r="J792" s="94"/>
      <c r="K792" s="94"/>
      <c r="L792" s="94"/>
      <c r="M792" s="94"/>
      <c r="N792" s="94"/>
      <c r="O792" s="93"/>
    </row>
    <row r="793" spans="1:15" x14ac:dyDescent="0.25">
      <c r="A793" s="325">
        <v>30</v>
      </c>
      <c r="B793" s="309" t="s">
        <v>165</v>
      </c>
      <c r="C793" s="328" t="s">
        <v>845</v>
      </c>
      <c r="D793" s="329">
        <v>0.06</v>
      </c>
      <c r="E793" s="328" t="s">
        <v>64</v>
      </c>
      <c r="F793" s="328">
        <v>2</v>
      </c>
      <c r="G793" s="326"/>
      <c r="H793" s="433"/>
      <c r="I793" s="293">
        <f>IF(H793="",D793*F793,D793*F793*H793)</f>
        <v>0.12</v>
      </c>
      <c r="J793" s="94"/>
      <c r="K793" s="94"/>
      <c r="L793" s="94"/>
      <c r="M793" s="94"/>
      <c r="N793" s="94"/>
      <c r="O793" s="93"/>
    </row>
    <row r="794" spans="1:15" x14ac:dyDescent="0.25">
      <c r="A794" s="328">
        <v>40</v>
      </c>
      <c r="B794" s="326" t="s">
        <v>372</v>
      </c>
      <c r="C794" s="434" t="s">
        <v>844</v>
      </c>
      <c r="D794" s="329">
        <v>0.02</v>
      </c>
      <c r="E794" s="328" t="s">
        <v>101</v>
      </c>
      <c r="F794" s="328">
        <v>31</v>
      </c>
      <c r="G794" s="326"/>
      <c r="H794" s="433"/>
      <c r="I794" s="293">
        <f>IF(H794="",D794*F794,D794*F794*H794)</f>
        <v>0.62</v>
      </c>
      <c r="J794" s="94"/>
      <c r="K794" s="94"/>
      <c r="L794" s="94"/>
      <c r="M794" s="94"/>
      <c r="N794" s="94"/>
      <c r="O794" s="93"/>
    </row>
    <row r="795" spans="1:15" x14ac:dyDescent="0.25">
      <c r="A795" s="98"/>
      <c r="B795" s="95"/>
      <c r="C795" s="95"/>
      <c r="D795" s="95"/>
      <c r="E795" s="95"/>
      <c r="F795" s="95"/>
      <c r="G795" s="95"/>
      <c r="H795" s="256" t="s">
        <v>58</v>
      </c>
      <c r="I795" s="255">
        <f>SUM(I791:I794)</f>
        <v>2.7800000000000002</v>
      </c>
      <c r="J795" s="95"/>
      <c r="K795" s="95"/>
      <c r="L795" s="95"/>
      <c r="M795" s="95"/>
      <c r="N795" s="95"/>
      <c r="O795" s="93"/>
    </row>
    <row r="796" spans="1:15" x14ac:dyDescent="0.25">
      <c r="A796" s="107"/>
      <c r="B796" s="94"/>
      <c r="C796" s="94"/>
      <c r="D796" s="94"/>
      <c r="E796" s="94"/>
      <c r="F796" s="94"/>
      <c r="G796" s="94"/>
      <c r="H796" s="94"/>
      <c r="I796" s="99"/>
      <c r="J796" s="94"/>
      <c r="K796" s="94"/>
      <c r="L796" s="94"/>
      <c r="M796" s="94"/>
      <c r="N796" s="94"/>
      <c r="O796" s="93"/>
    </row>
    <row r="797" spans="1:15" ht="15.75" thickBot="1" x14ac:dyDescent="0.3">
      <c r="A797" s="92"/>
      <c r="B797" s="91"/>
      <c r="C797" s="91"/>
      <c r="D797" s="91"/>
      <c r="E797" s="91"/>
      <c r="F797" s="91"/>
      <c r="G797" s="91"/>
      <c r="H797" s="91"/>
      <c r="I797" s="91"/>
      <c r="J797" s="91"/>
      <c r="K797" s="91"/>
      <c r="L797" s="91"/>
      <c r="M797" s="91"/>
      <c r="N797" s="91"/>
      <c r="O797" s="90"/>
    </row>
    <row r="798" spans="1:15" ht="15.75" thickBot="1" x14ac:dyDescent="0.3"/>
    <row r="799" spans="1:15" x14ac:dyDescent="0.25">
      <c r="A799" s="141"/>
      <c r="B799" s="140"/>
      <c r="C799" s="140"/>
      <c r="D799" s="140"/>
      <c r="E799" s="140"/>
      <c r="F799" s="140"/>
      <c r="G799" s="140"/>
      <c r="H799" s="140"/>
      <c r="I799" s="140"/>
      <c r="J799" s="272"/>
      <c r="K799" s="140"/>
      <c r="L799" s="140"/>
      <c r="M799" s="140"/>
      <c r="N799" s="140"/>
      <c r="O799" s="139"/>
    </row>
    <row r="800" spans="1:15" x14ac:dyDescent="0.25">
      <c r="A800" s="267" t="s">
        <v>57</v>
      </c>
      <c r="B800" s="133" t="s">
        <v>523</v>
      </c>
      <c r="C800" s="94"/>
      <c r="D800" s="94"/>
      <c r="E800" s="94"/>
      <c r="F800" s="94"/>
      <c r="G800" s="94"/>
      <c r="H800" s="94"/>
      <c r="I800" s="94"/>
      <c r="J800" s="271" t="s">
        <v>51</v>
      </c>
      <c r="K800" s="138">
        <v>81</v>
      </c>
      <c r="L800" s="94"/>
      <c r="M800" s="267" t="s">
        <v>113</v>
      </c>
      <c r="N800" s="100">
        <f>EN_06001_m+EN_06001_p</f>
        <v>5.1784480000000004</v>
      </c>
      <c r="O800" s="93"/>
    </row>
    <row r="801" spans="1:15" x14ac:dyDescent="0.25">
      <c r="A801" s="267" t="s">
        <v>125</v>
      </c>
      <c r="B801" s="133" t="s">
        <v>21</v>
      </c>
      <c r="C801" s="94"/>
      <c r="D801" s="267" t="s">
        <v>122</v>
      </c>
      <c r="E801" s="94"/>
      <c r="F801" s="94"/>
      <c r="G801" s="94"/>
      <c r="H801" s="94"/>
      <c r="I801" s="94"/>
      <c r="J801" s="94"/>
      <c r="K801" s="94"/>
      <c r="L801" s="94"/>
      <c r="M801" s="267" t="s">
        <v>124</v>
      </c>
      <c r="N801" s="136">
        <v>1</v>
      </c>
      <c r="O801" s="93"/>
    </row>
    <row r="802" spans="1:15" x14ac:dyDescent="0.25">
      <c r="A802" s="267" t="s">
        <v>123</v>
      </c>
      <c r="B802" s="270" t="str">
        <f>'EN Assemblies'!B281</f>
        <v>Throttle body</v>
      </c>
      <c r="C802" s="94"/>
      <c r="D802" s="267" t="s">
        <v>119</v>
      </c>
      <c r="E802" s="94"/>
      <c r="F802" s="94"/>
      <c r="G802" s="94"/>
      <c r="H802" s="94"/>
      <c r="I802" s="94"/>
      <c r="J802" s="268" t="s">
        <v>122</v>
      </c>
      <c r="K802" s="94"/>
      <c r="L802" s="94"/>
      <c r="M802" s="94"/>
      <c r="N802" s="94"/>
      <c r="O802" s="93"/>
    </row>
    <row r="803" spans="1:15" x14ac:dyDescent="0.25">
      <c r="A803" s="267" t="s">
        <v>114</v>
      </c>
      <c r="B803" s="135" t="s">
        <v>843</v>
      </c>
      <c r="C803" s="94"/>
      <c r="D803" s="267" t="s">
        <v>116</v>
      </c>
      <c r="E803" s="94"/>
      <c r="F803" s="94"/>
      <c r="G803" s="94"/>
      <c r="H803" s="94"/>
      <c r="I803" s="94"/>
      <c r="J803" s="268" t="s">
        <v>119</v>
      </c>
      <c r="K803" s="94"/>
      <c r="L803" s="94"/>
      <c r="M803" s="267" t="s">
        <v>118</v>
      </c>
      <c r="N803" s="100">
        <f>N801*N800</f>
        <v>5.1784480000000004</v>
      </c>
      <c r="O803" s="93"/>
    </row>
    <row r="804" spans="1:15" x14ac:dyDescent="0.25">
      <c r="A804" s="267" t="s">
        <v>121</v>
      </c>
      <c r="B804" s="269" t="s">
        <v>842</v>
      </c>
      <c r="C804" s="94"/>
      <c r="D804" s="94"/>
      <c r="E804" s="94"/>
      <c r="F804" s="94"/>
      <c r="G804" s="94"/>
      <c r="H804" s="94"/>
      <c r="I804" s="94"/>
      <c r="J804" s="268" t="s">
        <v>116</v>
      </c>
      <c r="K804" s="94"/>
      <c r="L804" s="94"/>
      <c r="M804" s="94"/>
      <c r="N804" s="94"/>
      <c r="O804" s="93"/>
    </row>
    <row r="805" spans="1:15" x14ac:dyDescent="0.25">
      <c r="A805" s="267" t="s">
        <v>117</v>
      </c>
      <c r="B805" s="133" t="s">
        <v>23</v>
      </c>
      <c r="C805" s="94"/>
      <c r="D805" s="94"/>
      <c r="E805" s="94"/>
      <c r="F805" s="94"/>
      <c r="G805" s="94"/>
      <c r="H805" s="94"/>
      <c r="I805" s="94"/>
      <c r="J805" s="94"/>
      <c r="K805" s="94"/>
      <c r="L805" s="94"/>
      <c r="M805" s="94"/>
      <c r="N805" s="94"/>
      <c r="O805" s="93"/>
    </row>
    <row r="806" spans="1:15" x14ac:dyDescent="0.25">
      <c r="A806" s="267" t="s">
        <v>115</v>
      </c>
      <c r="B806" s="133"/>
      <c r="C806" s="94"/>
      <c r="D806" s="94"/>
      <c r="E806" s="94"/>
      <c r="F806" s="94"/>
      <c r="G806" s="94"/>
      <c r="H806" s="94"/>
      <c r="I806" s="94"/>
      <c r="J806" s="94"/>
      <c r="K806" s="94"/>
      <c r="L806" s="94"/>
      <c r="M806" s="94"/>
      <c r="N806" s="94"/>
      <c r="O806" s="93"/>
    </row>
    <row r="807" spans="1:15" x14ac:dyDescent="0.25">
      <c r="A807" s="266"/>
      <c r="B807" s="265"/>
      <c r="C807" s="265"/>
      <c r="D807" s="265"/>
      <c r="E807" s="265"/>
      <c r="F807" s="94"/>
      <c r="G807" s="94"/>
      <c r="H807" s="94"/>
      <c r="I807" s="94"/>
      <c r="J807" s="94"/>
      <c r="K807" s="94"/>
      <c r="L807" s="94"/>
      <c r="M807" s="94"/>
      <c r="N807" s="94"/>
      <c r="O807" s="93"/>
    </row>
    <row r="808" spans="1:15" x14ac:dyDescent="0.25">
      <c r="A808" s="264" t="s">
        <v>67</v>
      </c>
      <c r="B808" s="263" t="s">
        <v>112</v>
      </c>
      <c r="C808" s="263" t="s">
        <v>66</v>
      </c>
      <c r="D808" s="263" t="s">
        <v>65</v>
      </c>
      <c r="E808" s="263" t="s">
        <v>81</v>
      </c>
      <c r="F808" s="274" t="s">
        <v>80</v>
      </c>
      <c r="G808" s="274" t="s">
        <v>79</v>
      </c>
      <c r="H808" s="274" t="s">
        <v>78</v>
      </c>
      <c r="I808" s="274" t="s">
        <v>111</v>
      </c>
      <c r="J808" s="274" t="s">
        <v>110</v>
      </c>
      <c r="K808" s="274" t="s">
        <v>109</v>
      </c>
      <c r="L808" s="274" t="s">
        <v>108</v>
      </c>
      <c r="M808" s="274" t="s">
        <v>40</v>
      </c>
      <c r="N808" s="274" t="s">
        <v>58</v>
      </c>
      <c r="O808" s="93"/>
    </row>
    <row r="809" spans="1:15" x14ac:dyDescent="0.25">
      <c r="A809" s="315">
        <v>10</v>
      </c>
      <c r="B809" s="370" t="s">
        <v>683</v>
      </c>
      <c r="C809" s="315" t="s">
        <v>841</v>
      </c>
      <c r="D809" s="324">
        <v>4.2</v>
      </c>
      <c r="E809" s="315">
        <v>40</v>
      </c>
      <c r="F809" s="315" t="s">
        <v>68</v>
      </c>
      <c r="G809" s="315">
        <v>20</v>
      </c>
      <c r="H809" s="314" t="s">
        <v>68</v>
      </c>
      <c r="I809" s="281" t="s">
        <v>840</v>
      </c>
      <c r="J809" s="432">
        <f>0.04*0.02</f>
        <v>8.0000000000000004E-4</v>
      </c>
      <c r="K809" s="320">
        <v>0.08</v>
      </c>
      <c r="L809" s="319">
        <v>2710</v>
      </c>
      <c r="M809" s="318">
        <v>1</v>
      </c>
      <c r="N809" s="431">
        <f>IF(J809="",D809*M809,D809*J809*K809*L809*M809)</f>
        <v>0.7284480000000001</v>
      </c>
      <c r="O809" s="143"/>
    </row>
    <row r="810" spans="1:15" x14ac:dyDescent="0.25">
      <c r="A810" s="98"/>
      <c r="B810" s="95"/>
      <c r="C810" s="95"/>
      <c r="D810" s="95"/>
      <c r="E810" s="95"/>
      <c r="F810" s="95"/>
      <c r="G810" s="95"/>
      <c r="H810" s="95"/>
      <c r="I810" s="95"/>
      <c r="J810" s="95"/>
      <c r="K810" s="95"/>
      <c r="L810" s="95"/>
      <c r="M810" s="256" t="s">
        <v>58</v>
      </c>
      <c r="N810" s="255">
        <f>SUM(N809:N809)</f>
        <v>0.7284480000000001</v>
      </c>
      <c r="O810" s="93"/>
    </row>
    <row r="811" spans="1:15" x14ac:dyDescent="0.25">
      <c r="A811" s="107"/>
      <c r="B811" s="94"/>
      <c r="C811" s="94"/>
      <c r="D811" s="94"/>
      <c r="E811" s="94"/>
      <c r="F811" s="94"/>
      <c r="G811" s="94"/>
      <c r="H811" s="94"/>
      <c r="I811" s="94"/>
      <c r="J811" s="94"/>
      <c r="K811" s="94"/>
      <c r="L811" s="94"/>
      <c r="M811" s="94"/>
      <c r="N811" s="94"/>
      <c r="O811" s="93"/>
    </row>
    <row r="812" spans="1:15" x14ac:dyDescent="0.25">
      <c r="A812" s="418" t="s">
        <v>67</v>
      </c>
      <c r="B812" s="274" t="s">
        <v>106</v>
      </c>
      <c r="C812" s="274" t="s">
        <v>66</v>
      </c>
      <c r="D812" s="274" t="s">
        <v>65</v>
      </c>
      <c r="E812" s="274" t="s">
        <v>64</v>
      </c>
      <c r="F812" s="274" t="s">
        <v>40</v>
      </c>
      <c r="G812" s="274" t="s">
        <v>105</v>
      </c>
      <c r="H812" s="274" t="s">
        <v>104</v>
      </c>
      <c r="I812" s="274" t="s">
        <v>58</v>
      </c>
      <c r="J812" s="95"/>
      <c r="K812" s="95"/>
      <c r="L812" s="95"/>
      <c r="M812" s="95"/>
      <c r="N812" s="95"/>
      <c r="O812" s="93"/>
    </row>
    <row r="813" spans="1:15" ht="30" x14ac:dyDescent="0.25">
      <c r="A813" s="331">
        <v>10</v>
      </c>
      <c r="B813" s="326" t="s">
        <v>516</v>
      </c>
      <c r="C813" s="331"/>
      <c r="D813" s="334">
        <v>1.3</v>
      </c>
      <c r="E813" s="326" t="s">
        <v>64</v>
      </c>
      <c r="F813" s="331">
        <v>1</v>
      </c>
      <c r="G813" s="331"/>
      <c r="H813" s="331"/>
      <c r="I813" s="293">
        <f>IF(H813="",D813*F813,D813*F813*H813)</f>
        <v>1.3</v>
      </c>
      <c r="J813" s="142"/>
      <c r="K813" s="142"/>
      <c r="L813" s="142"/>
      <c r="M813" s="142"/>
      <c r="N813" s="142"/>
      <c r="O813" s="120"/>
    </row>
    <row r="814" spans="1:15" x14ac:dyDescent="0.25">
      <c r="A814" s="328">
        <v>20</v>
      </c>
      <c r="B814" s="326" t="s">
        <v>839</v>
      </c>
      <c r="C814" s="328"/>
      <c r="D814" s="329">
        <v>0.35</v>
      </c>
      <c r="E814" s="328" t="s">
        <v>294</v>
      </c>
      <c r="F814" s="333">
        <v>5</v>
      </c>
      <c r="G814" s="326"/>
      <c r="H814" s="325"/>
      <c r="I814" s="293">
        <f>IF(H814="",D814*F814,D814*F814*H814)</f>
        <v>1.75</v>
      </c>
      <c r="J814" s="94"/>
      <c r="K814" s="94"/>
      <c r="L814" s="94"/>
      <c r="M814" s="94"/>
      <c r="N814" s="94"/>
      <c r="O814" s="93"/>
    </row>
    <row r="815" spans="1:15" x14ac:dyDescent="0.25">
      <c r="A815" s="325">
        <v>30</v>
      </c>
      <c r="B815" s="326" t="s">
        <v>514</v>
      </c>
      <c r="C815" s="325"/>
      <c r="D815" s="329">
        <v>0.04</v>
      </c>
      <c r="E815" s="326" t="s">
        <v>512</v>
      </c>
      <c r="F815" s="325">
        <v>35</v>
      </c>
      <c r="G815" s="325" t="s">
        <v>838</v>
      </c>
      <c r="H815" s="325">
        <v>1</v>
      </c>
      <c r="I815" s="276">
        <f>IF(H815="",D815*F815,D815*F815*H815)</f>
        <v>1.4000000000000001</v>
      </c>
      <c r="J815" s="99"/>
      <c r="K815" s="99"/>
      <c r="L815" s="99"/>
      <c r="M815" s="99"/>
      <c r="N815" s="99"/>
      <c r="O815" s="130"/>
    </row>
    <row r="816" spans="1:15" x14ac:dyDescent="0.25">
      <c r="A816" s="98"/>
      <c r="B816" s="95"/>
      <c r="C816" s="95"/>
      <c r="D816" s="95"/>
      <c r="E816" s="95"/>
      <c r="F816" s="95"/>
      <c r="G816" s="95"/>
      <c r="H816" s="256" t="s">
        <v>58</v>
      </c>
      <c r="I816" s="255">
        <f>SUM(I813:I815)</f>
        <v>4.45</v>
      </c>
      <c r="J816" s="95"/>
      <c r="K816" s="95"/>
      <c r="L816" s="95"/>
      <c r="M816" s="95"/>
      <c r="N816" s="95"/>
      <c r="O816" s="93"/>
    </row>
    <row r="817" spans="1:15" x14ac:dyDescent="0.25">
      <c r="A817" s="107"/>
      <c r="B817" s="94"/>
      <c r="C817" s="94"/>
      <c r="D817" s="94"/>
      <c r="E817" s="94"/>
      <c r="F817" s="94"/>
      <c r="G817" s="94"/>
      <c r="H817" s="94"/>
      <c r="I817" s="99"/>
      <c r="J817" s="94"/>
      <c r="K817" s="94"/>
      <c r="L817" s="94"/>
      <c r="M817" s="94"/>
      <c r="N817" s="94"/>
      <c r="O817" s="93"/>
    </row>
    <row r="818" spans="1:15" ht="15.75" thickBot="1" x14ac:dyDescent="0.3">
      <c r="A818" s="92"/>
      <c r="B818" s="91"/>
      <c r="C818" s="91"/>
      <c r="D818" s="91"/>
      <c r="E818" s="91"/>
      <c r="F818" s="91"/>
      <c r="G818" s="91"/>
      <c r="H818" s="91"/>
      <c r="I818" s="91"/>
      <c r="J818" s="91"/>
      <c r="K818" s="91"/>
      <c r="L818" s="91"/>
      <c r="M818" s="91"/>
      <c r="N818" s="91"/>
      <c r="O818" s="90"/>
    </row>
    <row r="819" spans="1:15" ht="15.75" thickBot="1" x14ac:dyDescent="0.3"/>
    <row r="820" spans="1:15" x14ac:dyDescent="0.25">
      <c r="A820" s="141"/>
      <c r="B820" s="140"/>
      <c r="C820" s="140"/>
      <c r="D820" s="140"/>
      <c r="E820" s="140"/>
      <c r="F820" s="140"/>
      <c r="G820" s="140"/>
      <c r="H820" s="140"/>
      <c r="I820" s="140"/>
      <c r="J820" s="272"/>
      <c r="K820" s="140"/>
      <c r="L820" s="140"/>
      <c r="M820" s="140"/>
      <c r="N820" s="140"/>
      <c r="O820" s="139"/>
    </row>
    <row r="821" spans="1:15" x14ac:dyDescent="0.25">
      <c r="A821" s="267" t="s">
        <v>57</v>
      </c>
      <c r="B821" s="133" t="s">
        <v>523</v>
      </c>
      <c r="C821" s="94"/>
      <c r="D821" s="94"/>
      <c r="E821" s="94"/>
      <c r="F821" s="94"/>
      <c r="G821" s="94"/>
      <c r="H821" s="94"/>
      <c r="I821" s="94"/>
      <c r="J821" s="271" t="s">
        <v>51</v>
      </c>
      <c r="K821" s="138">
        <v>81</v>
      </c>
      <c r="L821" s="94"/>
      <c r="M821" s="267" t="s">
        <v>113</v>
      </c>
      <c r="N821" s="100">
        <f>EN_06002_m+EN_06002_p</f>
        <v>5.7261110680000007</v>
      </c>
      <c r="O821" s="93"/>
    </row>
    <row r="822" spans="1:15" x14ac:dyDescent="0.25">
      <c r="A822" s="267" t="s">
        <v>125</v>
      </c>
      <c r="B822" s="133" t="s">
        <v>21</v>
      </c>
      <c r="C822" s="94"/>
      <c r="D822" s="267" t="s">
        <v>122</v>
      </c>
      <c r="E822" s="94"/>
      <c r="F822" s="94"/>
      <c r="G822" s="94"/>
      <c r="H822" s="94"/>
      <c r="I822" s="94"/>
      <c r="J822" s="94"/>
      <c r="K822" s="94"/>
      <c r="L822" s="94"/>
      <c r="M822" s="267" t="s">
        <v>124</v>
      </c>
      <c r="N822" s="136">
        <v>1</v>
      </c>
      <c r="O822" s="93"/>
    </row>
    <row r="823" spans="1:15" x14ac:dyDescent="0.25">
      <c r="A823" s="267" t="s">
        <v>123</v>
      </c>
      <c r="B823" s="270" t="str">
        <f>'EN Assemblies'!B281</f>
        <v>Throttle body</v>
      </c>
      <c r="C823" s="94"/>
      <c r="D823" s="267" t="s">
        <v>119</v>
      </c>
      <c r="E823" s="94"/>
      <c r="F823" s="94"/>
      <c r="G823" s="94"/>
      <c r="H823" s="94"/>
      <c r="I823" s="94"/>
      <c r="J823" s="268" t="s">
        <v>122</v>
      </c>
      <c r="K823" s="94"/>
      <c r="L823" s="94"/>
      <c r="M823" s="94"/>
      <c r="N823" s="94"/>
      <c r="O823" s="93"/>
    </row>
    <row r="824" spans="1:15" x14ac:dyDescent="0.25">
      <c r="A824" s="267" t="s">
        <v>114</v>
      </c>
      <c r="B824" s="135" t="s">
        <v>837</v>
      </c>
      <c r="C824" s="94"/>
      <c r="D824" s="267" t="s">
        <v>116</v>
      </c>
      <c r="E824" s="94"/>
      <c r="F824" s="94"/>
      <c r="G824" s="94"/>
      <c r="H824" s="94"/>
      <c r="I824" s="94"/>
      <c r="J824" s="268" t="s">
        <v>119</v>
      </c>
      <c r="K824" s="94"/>
      <c r="L824" s="94"/>
      <c r="M824" s="267" t="s">
        <v>118</v>
      </c>
      <c r="N824" s="100">
        <f>N822*N821</f>
        <v>5.7261110680000007</v>
      </c>
      <c r="O824" s="93"/>
    </row>
    <row r="825" spans="1:15" x14ac:dyDescent="0.25">
      <c r="A825" s="267" t="s">
        <v>121</v>
      </c>
      <c r="B825" s="269" t="s">
        <v>836</v>
      </c>
      <c r="C825" s="94"/>
      <c r="D825" s="94"/>
      <c r="E825" s="94"/>
      <c r="F825" s="94"/>
      <c r="G825" s="94"/>
      <c r="H825" s="94"/>
      <c r="I825" s="94"/>
      <c r="J825" s="268" t="s">
        <v>116</v>
      </c>
      <c r="K825" s="94"/>
      <c r="L825" s="94"/>
      <c r="M825" s="94"/>
      <c r="N825" s="94"/>
      <c r="O825" s="93"/>
    </row>
    <row r="826" spans="1:15" x14ac:dyDescent="0.25">
      <c r="A826" s="267" t="s">
        <v>117</v>
      </c>
      <c r="B826" s="133" t="s">
        <v>23</v>
      </c>
      <c r="C826" s="94"/>
      <c r="D826" s="94"/>
      <c r="E826" s="94"/>
      <c r="F826" s="94"/>
      <c r="G826" s="94"/>
      <c r="H826" s="94"/>
      <c r="I826" s="94"/>
      <c r="J826" s="94"/>
      <c r="K826" s="94"/>
      <c r="L826" s="94"/>
      <c r="M826" s="94"/>
      <c r="N826" s="94"/>
      <c r="O826" s="93"/>
    </row>
    <row r="827" spans="1:15" x14ac:dyDescent="0.25">
      <c r="A827" s="267" t="s">
        <v>115</v>
      </c>
      <c r="B827" s="133"/>
      <c r="C827" s="94"/>
      <c r="D827" s="94"/>
      <c r="E827" s="94"/>
      <c r="F827" s="94"/>
      <c r="G827" s="94"/>
      <c r="H827" s="94"/>
      <c r="I827" s="94"/>
      <c r="J827" s="94"/>
      <c r="K827" s="94"/>
      <c r="L827" s="94"/>
      <c r="M827" s="94"/>
      <c r="N827" s="94"/>
      <c r="O827" s="93"/>
    </row>
    <row r="828" spans="1:15" x14ac:dyDescent="0.25">
      <c r="A828" s="266"/>
      <c r="B828" s="265"/>
      <c r="C828" s="265"/>
      <c r="D828" s="265"/>
      <c r="E828" s="265"/>
      <c r="F828" s="94"/>
      <c r="G828" s="94"/>
      <c r="H828" s="94"/>
      <c r="I828" s="94"/>
      <c r="J828" s="94"/>
      <c r="K828" s="94"/>
      <c r="L828" s="94"/>
      <c r="M828" s="94"/>
      <c r="N828" s="94"/>
      <c r="O828" s="93"/>
    </row>
    <row r="829" spans="1:15" x14ac:dyDescent="0.25">
      <c r="A829" s="264" t="s">
        <v>67</v>
      </c>
      <c r="B829" s="263" t="s">
        <v>112</v>
      </c>
      <c r="C829" s="263" t="s">
        <v>66</v>
      </c>
      <c r="D829" s="263" t="s">
        <v>65</v>
      </c>
      <c r="E829" s="263" t="s">
        <v>81</v>
      </c>
      <c r="F829" s="274" t="s">
        <v>80</v>
      </c>
      <c r="G829" s="274" t="s">
        <v>79</v>
      </c>
      <c r="H829" s="274" t="s">
        <v>78</v>
      </c>
      <c r="I829" s="274" t="s">
        <v>111</v>
      </c>
      <c r="J829" s="274" t="s">
        <v>110</v>
      </c>
      <c r="K829" s="274" t="s">
        <v>109</v>
      </c>
      <c r="L829" s="274" t="s">
        <v>108</v>
      </c>
      <c r="M829" s="274" t="s">
        <v>40</v>
      </c>
      <c r="N829" s="274" t="s">
        <v>58</v>
      </c>
      <c r="O829" s="93"/>
    </row>
    <row r="830" spans="1:15" x14ac:dyDescent="0.25">
      <c r="A830" s="315">
        <v>10</v>
      </c>
      <c r="B830" s="354" t="s">
        <v>683</v>
      </c>
      <c r="C830" s="292"/>
      <c r="D830" s="324">
        <v>4.2</v>
      </c>
      <c r="E830" s="315">
        <v>42</v>
      </c>
      <c r="F830" s="315" t="s">
        <v>68</v>
      </c>
      <c r="G830" s="315"/>
      <c r="H830" s="314"/>
      <c r="I830" s="357" t="s">
        <v>835</v>
      </c>
      <c r="J830" s="356">
        <f>(E830*10^-3)^2*3.14/4</f>
        <v>1.3847400000000002E-3</v>
      </c>
      <c r="K830" s="320">
        <v>0.1</v>
      </c>
      <c r="L830" s="355">
        <v>2710</v>
      </c>
      <c r="M830" s="299">
        <v>1</v>
      </c>
      <c r="N830" s="276">
        <f>IF(J830="",D830*M830,D830*J830*K830*L830*M830)</f>
        <v>1.5761110680000001</v>
      </c>
      <c r="O830" s="143"/>
    </row>
    <row r="831" spans="1:15" x14ac:dyDescent="0.25">
      <c r="A831" s="98"/>
      <c r="B831" s="95"/>
      <c r="C831" s="95"/>
      <c r="D831" s="95"/>
      <c r="E831" s="95"/>
      <c r="F831" s="95"/>
      <c r="G831" s="95"/>
      <c r="H831" s="95"/>
      <c r="I831" s="95"/>
      <c r="J831" s="95"/>
      <c r="K831" s="95"/>
      <c r="L831" s="95"/>
      <c r="M831" s="256" t="s">
        <v>58</v>
      </c>
      <c r="N831" s="255">
        <f>SUM(N830:N830)</f>
        <v>1.5761110680000001</v>
      </c>
      <c r="O831" s="93"/>
    </row>
    <row r="832" spans="1:15" x14ac:dyDescent="0.25">
      <c r="A832" s="107"/>
      <c r="B832" s="94"/>
      <c r="C832" s="94"/>
      <c r="D832" s="94"/>
      <c r="E832" s="94"/>
      <c r="F832" s="94"/>
      <c r="G832" s="94"/>
      <c r="H832" s="94"/>
      <c r="I832" s="94"/>
      <c r="J832" s="94"/>
      <c r="K832" s="94"/>
      <c r="L832" s="94"/>
      <c r="M832" s="94"/>
      <c r="N832" s="94"/>
      <c r="O832" s="93"/>
    </row>
    <row r="833" spans="1:15" x14ac:dyDescent="0.25">
      <c r="A833" s="418" t="s">
        <v>67</v>
      </c>
      <c r="B833" s="274" t="s">
        <v>106</v>
      </c>
      <c r="C833" s="274" t="s">
        <v>66</v>
      </c>
      <c r="D833" s="274" t="s">
        <v>65</v>
      </c>
      <c r="E833" s="274" t="s">
        <v>64</v>
      </c>
      <c r="F833" s="274" t="s">
        <v>40</v>
      </c>
      <c r="G833" s="274" t="s">
        <v>105</v>
      </c>
      <c r="H833" s="274" t="s">
        <v>104</v>
      </c>
      <c r="I833" s="274" t="s">
        <v>58</v>
      </c>
      <c r="J833" s="95"/>
      <c r="K833" s="95"/>
      <c r="L833" s="95"/>
      <c r="M833" s="95"/>
      <c r="N833" s="95"/>
      <c r="O833" s="93"/>
    </row>
    <row r="834" spans="1:15" ht="30" x14ac:dyDescent="0.25">
      <c r="A834" s="325">
        <v>10</v>
      </c>
      <c r="B834" s="326" t="s">
        <v>516</v>
      </c>
      <c r="C834" s="325"/>
      <c r="D834" s="329">
        <v>1.3</v>
      </c>
      <c r="E834" s="326" t="s">
        <v>64</v>
      </c>
      <c r="F834" s="325">
        <v>1</v>
      </c>
      <c r="G834" s="325"/>
      <c r="H834" s="325"/>
      <c r="I834" s="293">
        <f>IF(H834="",D834*F834,D834*F834*H834)</f>
        <v>1.3</v>
      </c>
      <c r="J834" s="142"/>
      <c r="K834" s="142"/>
      <c r="L834" s="142"/>
      <c r="M834" s="142"/>
      <c r="N834" s="142"/>
      <c r="O834" s="120"/>
    </row>
    <row r="835" spans="1:15" x14ac:dyDescent="0.25">
      <c r="A835" s="328">
        <v>20</v>
      </c>
      <c r="B835" s="326" t="s">
        <v>514</v>
      </c>
      <c r="C835" s="328" t="s">
        <v>834</v>
      </c>
      <c r="D835" s="329">
        <v>0.04</v>
      </c>
      <c r="E835" s="328" t="s">
        <v>512</v>
      </c>
      <c r="F835" s="328">
        <v>35</v>
      </c>
      <c r="G835" s="326" t="s">
        <v>629</v>
      </c>
      <c r="H835" s="325">
        <v>1</v>
      </c>
      <c r="I835" s="293">
        <f>IF(H835="",D835*F835,D835*F835*H835)</f>
        <v>1.4000000000000001</v>
      </c>
      <c r="J835" s="94"/>
      <c r="K835" s="94"/>
      <c r="L835" s="94"/>
      <c r="M835" s="94"/>
      <c r="N835" s="94"/>
      <c r="O835" s="93"/>
    </row>
    <row r="836" spans="1:15" x14ac:dyDescent="0.25">
      <c r="A836" s="325">
        <v>30</v>
      </c>
      <c r="B836" s="326" t="s">
        <v>833</v>
      </c>
      <c r="C836" s="325"/>
      <c r="D836" s="329">
        <v>0.65</v>
      </c>
      <c r="E836" s="326" t="s">
        <v>64</v>
      </c>
      <c r="F836" s="325">
        <v>1</v>
      </c>
      <c r="G836" s="325"/>
      <c r="H836" s="325"/>
      <c r="I836" s="276">
        <f>IF(H836="",D836*F836,D836*F836*H836)</f>
        <v>0.65</v>
      </c>
      <c r="J836" s="99"/>
      <c r="K836" s="99"/>
      <c r="L836" s="99"/>
      <c r="M836" s="99"/>
      <c r="N836" s="99"/>
      <c r="O836" s="130"/>
    </row>
    <row r="837" spans="1:15" x14ac:dyDescent="0.25">
      <c r="A837" s="328">
        <v>40</v>
      </c>
      <c r="B837" s="326" t="s">
        <v>514</v>
      </c>
      <c r="C837" s="328"/>
      <c r="D837" s="329">
        <v>0.04</v>
      </c>
      <c r="E837" s="328" t="s">
        <v>512</v>
      </c>
      <c r="F837" s="328">
        <v>20</v>
      </c>
      <c r="G837" s="326" t="s">
        <v>629</v>
      </c>
      <c r="H837" s="325">
        <v>1</v>
      </c>
      <c r="I837" s="276">
        <f>IF(H837="",D837*F837,D837*F837*H837)</f>
        <v>0.8</v>
      </c>
      <c r="J837" s="94"/>
      <c r="K837" s="94"/>
      <c r="L837" s="94"/>
      <c r="M837" s="94"/>
      <c r="N837" s="94"/>
      <c r="O837" s="93"/>
    </row>
    <row r="838" spans="1:15" x14ac:dyDescent="0.25">
      <c r="A838" s="98"/>
      <c r="B838" s="95"/>
      <c r="C838" s="95"/>
      <c r="D838" s="95"/>
      <c r="E838" s="95"/>
      <c r="F838" s="95"/>
      <c r="G838" s="95"/>
      <c r="H838" s="256" t="s">
        <v>58</v>
      </c>
      <c r="I838" s="255">
        <f>SUM(I834:I837)</f>
        <v>4.1500000000000004</v>
      </c>
      <c r="J838" s="95"/>
      <c r="K838" s="95"/>
      <c r="L838" s="95"/>
      <c r="M838" s="95"/>
      <c r="N838" s="95"/>
      <c r="O838" s="93"/>
    </row>
    <row r="839" spans="1:15" x14ac:dyDescent="0.25">
      <c r="A839" s="107"/>
      <c r="B839" s="94"/>
      <c r="C839" s="94"/>
      <c r="D839" s="94"/>
      <c r="E839" s="94"/>
      <c r="F839" s="94"/>
      <c r="G839" s="94"/>
      <c r="H839" s="94"/>
      <c r="I839" s="99"/>
      <c r="J839" s="94"/>
      <c r="K839" s="94"/>
      <c r="L839" s="94"/>
      <c r="M839" s="94"/>
      <c r="N839" s="94"/>
      <c r="O839" s="93"/>
    </row>
    <row r="840" spans="1:15" ht="15.75" thickBot="1" x14ac:dyDescent="0.3">
      <c r="A840" s="92"/>
      <c r="B840" s="91"/>
      <c r="C840" s="91"/>
      <c r="D840" s="91"/>
      <c r="E840" s="91"/>
      <c r="F840" s="91"/>
      <c r="G840" s="91"/>
      <c r="H840" s="91"/>
      <c r="I840" s="91"/>
      <c r="J840" s="91"/>
      <c r="K840" s="91"/>
      <c r="L840" s="91"/>
      <c r="M840" s="91"/>
      <c r="N840" s="91"/>
      <c r="O840" s="90"/>
    </row>
    <row r="841" spans="1:15" ht="15.75" thickBot="1" x14ac:dyDescent="0.3"/>
    <row r="842" spans="1:15" x14ac:dyDescent="0.25">
      <c r="A842" s="141"/>
      <c r="B842" s="140"/>
      <c r="C842" s="140"/>
      <c r="D842" s="140"/>
      <c r="E842" s="140"/>
      <c r="F842" s="140"/>
      <c r="G842" s="140"/>
      <c r="H842" s="140"/>
      <c r="I842" s="140"/>
      <c r="J842" s="272"/>
      <c r="K842" s="140"/>
      <c r="L842" s="140"/>
      <c r="M842" s="140"/>
      <c r="N842" s="140"/>
      <c r="O842" s="139"/>
    </row>
    <row r="843" spans="1:15" x14ac:dyDescent="0.25">
      <c r="A843" s="267" t="s">
        <v>57</v>
      </c>
      <c r="B843" s="133" t="s">
        <v>523</v>
      </c>
      <c r="C843" s="94"/>
      <c r="D843" s="94"/>
      <c r="E843" s="94"/>
      <c r="F843" s="94"/>
      <c r="G843" s="94"/>
      <c r="H843" s="94"/>
      <c r="I843" s="94"/>
      <c r="J843" s="271" t="s">
        <v>51</v>
      </c>
      <c r="K843" s="138">
        <v>81</v>
      </c>
      <c r="L843" s="94"/>
      <c r="M843" s="267" t="s">
        <v>113</v>
      </c>
      <c r="N843" s="100">
        <f>EN_06003_m+EN_06003_p</f>
        <v>4.2751134999999998</v>
      </c>
      <c r="O843" s="93"/>
    </row>
    <row r="844" spans="1:15" x14ac:dyDescent="0.25">
      <c r="A844" s="267" t="s">
        <v>125</v>
      </c>
      <c r="B844" s="133" t="s">
        <v>21</v>
      </c>
      <c r="C844" s="94"/>
      <c r="D844" s="267" t="s">
        <v>122</v>
      </c>
      <c r="E844" s="94"/>
      <c r="F844" s="94"/>
      <c r="G844" s="94"/>
      <c r="H844" s="94"/>
      <c r="I844" s="94"/>
      <c r="J844" s="94"/>
      <c r="K844" s="94"/>
      <c r="L844" s="94"/>
      <c r="M844" s="267" t="s">
        <v>124</v>
      </c>
      <c r="N844" s="136">
        <v>1</v>
      </c>
      <c r="O844" s="93"/>
    </row>
    <row r="845" spans="1:15" x14ac:dyDescent="0.25">
      <c r="A845" s="267" t="s">
        <v>123</v>
      </c>
      <c r="B845" s="270" t="str">
        <f>'EN Assemblies'!B281</f>
        <v>Throttle body</v>
      </c>
      <c r="C845" s="94"/>
      <c r="D845" s="267" t="s">
        <v>119</v>
      </c>
      <c r="E845" s="94"/>
      <c r="F845" s="94"/>
      <c r="G845" s="94"/>
      <c r="H845" s="94"/>
      <c r="I845" s="94"/>
      <c r="J845" s="268" t="s">
        <v>122</v>
      </c>
      <c r="K845" s="94"/>
      <c r="L845" s="94"/>
      <c r="M845" s="94"/>
      <c r="N845" s="94"/>
      <c r="O845" s="93"/>
    </row>
    <row r="846" spans="1:15" x14ac:dyDescent="0.25">
      <c r="A846" s="267" t="s">
        <v>114</v>
      </c>
      <c r="B846" s="135" t="s">
        <v>832</v>
      </c>
      <c r="C846" s="94"/>
      <c r="D846" s="267" t="s">
        <v>116</v>
      </c>
      <c r="E846" s="94"/>
      <c r="F846" s="94"/>
      <c r="G846" s="94"/>
      <c r="H846" s="94"/>
      <c r="I846" s="94"/>
      <c r="J846" s="268" t="s">
        <v>119</v>
      </c>
      <c r="K846" s="94"/>
      <c r="L846" s="94"/>
      <c r="M846" s="267" t="s">
        <v>118</v>
      </c>
      <c r="N846" s="100">
        <f>N844*N843</f>
        <v>4.2751134999999998</v>
      </c>
      <c r="O846" s="93"/>
    </row>
    <row r="847" spans="1:15" x14ac:dyDescent="0.25">
      <c r="A847" s="267" t="s">
        <v>121</v>
      </c>
      <c r="B847" s="269" t="s">
        <v>831</v>
      </c>
      <c r="C847" s="94"/>
      <c r="D847" s="94"/>
      <c r="E847" s="94"/>
      <c r="F847" s="94"/>
      <c r="G847" s="94"/>
      <c r="H847" s="94"/>
      <c r="I847" s="94"/>
      <c r="J847" s="268" t="s">
        <v>116</v>
      </c>
      <c r="K847" s="94"/>
      <c r="L847" s="94"/>
      <c r="M847" s="94"/>
      <c r="N847" s="94"/>
      <c r="O847" s="93"/>
    </row>
    <row r="848" spans="1:15" x14ac:dyDescent="0.25">
      <c r="A848" s="267" t="s">
        <v>117</v>
      </c>
      <c r="B848" s="133" t="s">
        <v>23</v>
      </c>
      <c r="C848" s="94"/>
      <c r="D848" s="94"/>
      <c r="E848" s="94"/>
      <c r="F848" s="94"/>
      <c r="G848" s="94"/>
      <c r="H848" s="94"/>
      <c r="I848" s="94"/>
      <c r="J848" s="94"/>
      <c r="K848" s="94"/>
      <c r="L848" s="94"/>
      <c r="M848" s="94"/>
      <c r="N848" s="94"/>
      <c r="O848" s="93"/>
    </row>
    <row r="849" spans="1:15" x14ac:dyDescent="0.25">
      <c r="A849" s="267" t="s">
        <v>115</v>
      </c>
      <c r="B849" s="133"/>
      <c r="C849" s="94"/>
      <c r="D849" s="94"/>
      <c r="E849" s="94"/>
      <c r="F849" s="94"/>
      <c r="G849" s="94"/>
      <c r="H849" s="94"/>
      <c r="I849" s="94"/>
      <c r="J849" s="94"/>
      <c r="K849" s="94"/>
      <c r="L849" s="94"/>
      <c r="M849" s="94"/>
      <c r="N849" s="94"/>
      <c r="O849" s="93"/>
    </row>
    <row r="850" spans="1:15" x14ac:dyDescent="0.25">
      <c r="A850" s="266"/>
      <c r="B850" s="265"/>
      <c r="C850" s="265"/>
      <c r="D850" s="265"/>
      <c r="E850" s="265"/>
      <c r="F850" s="94"/>
      <c r="G850" s="94"/>
      <c r="H850" s="94"/>
      <c r="I850" s="94"/>
      <c r="J850" s="94"/>
      <c r="K850" s="94"/>
      <c r="L850" s="94"/>
      <c r="M850" s="94"/>
      <c r="N850" s="94"/>
      <c r="O850" s="93"/>
    </row>
    <row r="851" spans="1:15" x14ac:dyDescent="0.25">
      <c r="A851" s="264" t="s">
        <v>67</v>
      </c>
      <c r="B851" s="263" t="s">
        <v>112</v>
      </c>
      <c r="C851" s="263" t="s">
        <v>66</v>
      </c>
      <c r="D851" s="263" t="s">
        <v>65</v>
      </c>
      <c r="E851" s="263" t="s">
        <v>81</v>
      </c>
      <c r="F851" s="274" t="s">
        <v>80</v>
      </c>
      <c r="G851" s="274" t="s">
        <v>79</v>
      </c>
      <c r="H851" s="274" t="s">
        <v>78</v>
      </c>
      <c r="I851" s="274" t="s">
        <v>111</v>
      </c>
      <c r="J851" s="274" t="s">
        <v>110</v>
      </c>
      <c r="K851" s="274" t="s">
        <v>109</v>
      </c>
      <c r="L851" s="274" t="s">
        <v>108</v>
      </c>
      <c r="M851" s="274" t="s">
        <v>40</v>
      </c>
      <c r="N851" s="274" t="s">
        <v>58</v>
      </c>
      <c r="O851" s="93"/>
    </row>
    <row r="852" spans="1:15" x14ac:dyDescent="0.25">
      <c r="A852" s="282">
        <v>10</v>
      </c>
      <c r="B852" s="354" t="s">
        <v>683</v>
      </c>
      <c r="C852" s="378"/>
      <c r="D852" s="337">
        <v>4.2</v>
      </c>
      <c r="E852" s="282">
        <v>45</v>
      </c>
      <c r="F852" s="282" t="s">
        <v>68</v>
      </c>
      <c r="G852" s="282">
        <v>30</v>
      </c>
      <c r="H852" s="278" t="s">
        <v>68</v>
      </c>
      <c r="I852" s="281" t="s">
        <v>830</v>
      </c>
      <c r="J852" s="403">
        <f>0.045*0.03</f>
        <v>1.3499999999999999E-3</v>
      </c>
      <c r="K852" s="278">
        <v>5.5E-2</v>
      </c>
      <c r="L852" s="278">
        <v>2710</v>
      </c>
      <c r="M852" s="302">
        <v>1</v>
      </c>
      <c r="N852" s="276">
        <f>IF(J852="",D852*M852,D852*J852*K852*L852*M852)</f>
        <v>0.84511349999999985</v>
      </c>
      <c r="O852" s="143"/>
    </row>
    <row r="853" spans="1:15" x14ac:dyDescent="0.25">
      <c r="A853" s="98"/>
      <c r="B853" s="95"/>
      <c r="C853" s="95"/>
      <c r="D853" s="95"/>
      <c r="E853" s="95"/>
      <c r="F853" s="95"/>
      <c r="G853" s="95"/>
      <c r="H853" s="95"/>
      <c r="I853" s="95"/>
      <c r="J853" s="95"/>
      <c r="K853" s="95"/>
      <c r="L853" s="95"/>
      <c r="M853" s="256" t="s">
        <v>58</v>
      </c>
      <c r="N853" s="255">
        <f>SUM(N852:N852)</f>
        <v>0.84511349999999985</v>
      </c>
      <c r="O853" s="93"/>
    </row>
    <row r="854" spans="1:15" x14ac:dyDescent="0.25">
      <c r="A854" s="107"/>
      <c r="B854" s="94"/>
      <c r="C854" s="94"/>
      <c r="D854" s="94"/>
      <c r="E854" s="94"/>
      <c r="F854" s="94"/>
      <c r="G854" s="94"/>
      <c r="H854" s="94"/>
      <c r="I854" s="94"/>
      <c r="J854" s="94"/>
      <c r="K854" s="94"/>
      <c r="L854" s="94"/>
      <c r="M854" s="94"/>
      <c r="N854" s="94"/>
      <c r="O854" s="93"/>
    </row>
    <row r="855" spans="1:15" x14ac:dyDescent="0.25">
      <c r="A855" s="418" t="s">
        <v>67</v>
      </c>
      <c r="B855" s="274" t="s">
        <v>106</v>
      </c>
      <c r="C855" s="274" t="s">
        <v>66</v>
      </c>
      <c r="D855" s="274" t="s">
        <v>65</v>
      </c>
      <c r="E855" s="274" t="s">
        <v>64</v>
      </c>
      <c r="F855" s="274" t="s">
        <v>40</v>
      </c>
      <c r="G855" s="274" t="s">
        <v>105</v>
      </c>
      <c r="H855" s="274" t="s">
        <v>104</v>
      </c>
      <c r="I855" s="274" t="s">
        <v>58</v>
      </c>
      <c r="J855" s="95"/>
      <c r="K855" s="95"/>
      <c r="L855" s="95"/>
      <c r="M855" s="95"/>
      <c r="N855" s="95"/>
      <c r="O855" s="93"/>
    </row>
    <row r="856" spans="1:15" ht="18" customHeight="1" x14ac:dyDescent="0.25">
      <c r="A856" s="325">
        <v>10</v>
      </c>
      <c r="B856" s="326" t="s">
        <v>829</v>
      </c>
      <c r="C856" s="325"/>
      <c r="D856" s="329">
        <v>1.3</v>
      </c>
      <c r="E856" s="326" t="s">
        <v>64</v>
      </c>
      <c r="F856" s="325">
        <v>1</v>
      </c>
      <c r="G856" s="325"/>
      <c r="H856" s="325"/>
      <c r="I856" s="293">
        <f>IF(H856="",D856*F856,D856*F856*H856)</f>
        <v>1.3</v>
      </c>
      <c r="J856" s="142"/>
      <c r="K856" s="142"/>
      <c r="L856" s="142"/>
      <c r="M856" s="142"/>
      <c r="N856" s="142"/>
      <c r="O856" s="120"/>
    </row>
    <row r="857" spans="1:15" x14ac:dyDescent="0.25">
      <c r="A857" s="328">
        <v>20</v>
      </c>
      <c r="B857" s="328" t="s">
        <v>514</v>
      </c>
      <c r="C857" s="328"/>
      <c r="D857" s="329">
        <v>0.04</v>
      </c>
      <c r="E857" s="328" t="s">
        <v>512</v>
      </c>
      <c r="F857" s="333">
        <v>28</v>
      </c>
      <c r="G857" s="326" t="s">
        <v>629</v>
      </c>
      <c r="H857" s="325">
        <v>1</v>
      </c>
      <c r="I857" s="293">
        <f>IF(H857="",D857*F857,D857*F857*H857)</f>
        <v>1.1200000000000001</v>
      </c>
      <c r="J857" s="94"/>
      <c r="K857" s="94"/>
      <c r="L857" s="94"/>
      <c r="M857" s="94"/>
      <c r="N857" s="94"/>
      <c r="O857" s="93"/>
    </row>
    <row r="858" spans="1:15" x14ac:dyDescent="0.25">
      <c r="A858" s="325">
        <v>30</v>
      </c>
      <c r="B858" s="326" t="s">
        <v>822</v>
      </c>
      <c r="C858" s="325"/>
      <c r="D858" s="329">
        <v>0.65</v>
      </c>
      <c r="E858" s="326" t="s">
        <v>64</v>
      </c>
      <c r="F858" s="325">
        <v>1</v>
      </c>
      <c r="G858" s="325"/>
      <c r="H858" s="325"/>
      <c r="I858" s="276">
        <f>IF(H858="",D858*F858,D858*F858*H858)</f>
        <v>0.65</v>
      </c>
      <c r="J858" s="99"/>
      <c r="K858" s="99"/>
      <c r="L858" s="99"/>
      <c r="M858" s="99"/>
      <c r="N858" s="99"/>
      <c r="O858" s="130"/>
    </row>
    <row r="859" spans="1:15" x14ac:dyDescent="0.25">
      <c r="A859" s="328">
        <v>40</v>
      </c>
      <c r="B859" s="326" t="s">
        <v>514</v>
      </c>
      <c r="C859" s="325"/>
      <c r="D859" s="329">
        <v>0.04</v>
      </c>
      <c r="E859" s="326" t="s">
        <v>512</v>
      </c>
      <c r="F859" s="328">
        <v>9</v>
      </c>
      <c r="G859" s="325" t="s">
        <v>629</v>
      </c>
      <c r="H859" s="325"/>
      <c r="I859" s="276">
        <f>IF(H859="",D859*F859,D859*F859*H859)</f>
        <v>0.36</v>
      </c>
      <c r="J859" s="94"/>
      <c r="K859" s="94"/>
      <c r="L859" s="94"/>
      <c r="M859" s="94"/>
      <c r="N859" s="94"/>
      <c r="O859" s="93"/>
    </row>
    <row r="860" spans="1:15" x14ac:dyDescent="0.25">
      <c r="A860" s="98"/>
      <c r="B860" s="95"/>
      <c r="C860" s="95"/>
      <c r="D860" s="95"/>
      <c r="E860" s="95"/>
      <c r="F860" s="95"/>
      <c r="G860" s="95"/>
      <c r="H860" s="256" t="s">
        <v>58</v>
      </c>
      <c r="I860" s="255">
        <f>SUM(I856:I859)</f>
        <v>3.4299999999999997</v>
      </c>
      <c r="J860" s="95"/>
      <c r="K860" s="95"/>
      <c r="L860" s="95"/>
      <c r="M860" s="95"/>
      <c r="N860" s="95"/>
      <c r="O860" s="93"/>
    </row>
    <row r="861" spans="1:15" x14ac:dyDescent="0.25">
      <c r="A861" s="107"/>
      <c r="B861" s="94"/>
      <c r="C861" s="94"/>
      <c r="D861" s="94"/>
      <c r="E861" s="94"/>
      <c r="F861" s="94"/>
      <c r="G861" s="94"/>
      <c r="H861" s="94"/>
      <c r="I861" s="99"/>
      <c r="J861" s="94"/>
      <c r="K861" s="94"/>
      <c r="L861" s="94"/>
      <c r="M861" s="94"/>
      <c r="N861" s="94"/>
      <c r="O861" s="93"/>
    </row>
    <row r="862" spans="1:15" ht="15.75" thickBot="1" x14ac:dyDescent="0.3">
      <c r="A862" s="92"/>
      <c r="B862" s="91"/>
      <c r="C862" s="91"/>
      <c r="D862" s="91"/>
      <c r="E862" s="91"/>
      <c r="F862" s="91"/>
      <c r="G862" s="91"/>
      <c r="H862" s="91"/>
      <c r="I862" s="91"/>
      <c r="J862" s="91"/>
      <c r="K862" s="91"/>
      <c r="L862" s="91"/>
      <c r="M862" s="91"/>
      <c r="N862" s="91"/>
      <c r="O862" s="90"/>
    </row>
    <row r="863" spans="1:15" ht="15.75" thickBot="1" x14ac:dyDescent="0.3"/>
    <row r="864" spans="1:15" x14ac:dyDescent="0.25">
      <c r="A864" s="141"/>
      <c r="B864" s="140"/>
      <c r="C864" s="140"/>
      <c r="D864" s="140"/>
      <c r="E864" s="140"/>
      <c r="F864" s="140"/>
      <c r="G864" s="140"/>
      <c r="H864" s="140"/>
      <c r="I864" s="140"/>
      <c r="J864" s="272"/>
      <c r="K864" s="140"/>
      <c r="L864" s="140"/>
      <c r="M864" s="140"/>
      <c r="N864" s="140"/>
      <c r="O864" s="139"/>
    </row>
    <row r="865" spans="1:15" x14ac:dyDescent="0.25">
      <c r="A865" s="267" t="s">
        <v>57</v>
      </c>
      <c r="B865" s="133" t="s">
        <v>523</v>
      </c>
      <c r="C865" s="94"/>
      <c r="D865" s="94"/>
      <c r="E865" s="94"/>
      <c r="F865" s="94"/>
      <c r="G865" s="94"/>
      <c r="H865" s="94"/>
      <c r="I865" s="94"/>
      <c r="J865" s="271" t="s">
        <v>51</v>
      </c>
      <c r="K865" s="138">
        <v>81</v>
      </c>
      <c r="L865" s="94"/>
      <c r="M865" s="267" t="s">
        <v>113</v>
      </c>
      <c r="N865" s="100">
        <f>EN_06004_m+EN_06004_p</f>
        <v>2.7255590660787354</v>
      </c>
      <c r="O865" s="93"/>
    </row>
    <row r="866" spans="1:15" x14ac:dyDescent="0.25">
      <c r="A866" s="267" t="s">
        <v>125</v>
      </c>
      <c r="B866" s="133" t="s">
        <v>21</v>
      </c>
      <c r="C866" s="94"/>
      <c r="D866" s="267" t="s">
        <v>122</v>
      </c>
      <c r="E866" s="94"/>
      <c r="F866" s="94"/>
      <c r="G866" s="94"/>
      <c r="H866" s="94"/>
      <c r="I866" s="94"/>
      <c r="J866" s="94"/>
      <c r="K866" s="94"/>
      <c r="L866" s="94"/>
      <c r="M866" s="267" t="s">
        <v>124</v>
      </c>
      <c r="N866" s="136">
        <v>1</v>
      </c>
      <c r="O866" s="93"/>
    </row>
    <row r="867" spans="1:15" x14ac:dyDescent="0.25">
      <c r="A867" s="267" t="s">
        <v>123</v>
      </c>
      <c r="B867" s="270" t="str">
        <f>'EN Assemblies'!B281</f>
        <v>Throttle body</v>
      </c>
      <c r="C867" s="94"/>
      <c r="D867" s="267" t="s">
        <v>119</v>
      </c>
      <c r="E867" s="94"/>
      <c r="F867" s="94"/>
      <c r="G867" s="94"/>
      <c r="H867" s="94"/>
      <c r="I867" s="94"/>
      <c r="J867" s="268" t="s">
        <v>122</v>
      </c>
      <c r="K867" s="94"/>
      <c r="L867" s="94"/>
      <c r="M867" s="94"/>
      <c r="N867" s="94"/>
      <c r="O867" s="93"/>
    </row>
    <row r="868" spans="1:15" x14ac:dyDescent="0.25">
      <c r="A868" s="267" t="s">
        <v>114</v>
      </c>
      <c r="B868" s="135" t="s">
        <v>828</v>
      </c>
      <c r="C868" s="94"/>
      <c r="D868" s="267" t="s">
        <v>116</v>
      </c>
      <c r="E868" s="94"/>
      <c r="F868" s="94"/>
      <c r="G868" s="94"/>
      <c r="H868" s="94"/>
      <c r="I868" s="94"/>
      <c r="J868" s="268" t="s">
        <v>119</v>
      </c>
      <c r="K868" s="94"/>
      <c r="L868" s="94"/>
      <c r="M868" s="267" t="s">
        <v>118</v>
      </c>
      <c r="N868" s="100">
        <f>N866*N865</f>
        <v>2.7255590660787354</v>
      </c>
      <c r="O868" s="93"/>
    </row>
    <row r="869" spans="1:15" x14ac:dyDescent="0.25">
      <c r="A869" s="267" t="s">
        <v>121</v>
      </c>
      <c r="B869" s="269" t="s">
        <v>827</v>
      </c>
      <c r="C869" s="94"/>
      <c r="D869" s="94"/>
      <c r="E869" s="94"/>
      <c r="F869" s="94"/>
      <c r="G869" s="94"/>
      <c r="H869" s="94"/>
      <c r="I869" s="94"/>
      <c r="J869" s="268" t="s">
        <v>116</v>
      </c>
      <c r="K869" s="94"/>
      <c r="L869" s="94"/>
      <c r="M869" s="94"/>
      <c r="N869" s="94"/>
      <c r="O869" s="93"/>
    </row>
    <row r="870" spans="1:15" x14ac:dyDescent="0.25">
      <c r="A870" s="267" t="s">
        <v>117</v>
      </c>
      <c r="B870" s="133" t="s">
        <v>23</v>
      </c>
      <c r="C870" s="94"/>
      <c r="D870" s="94"/>
      <c r="E870" s="94"/>
      <c r="F870" s="94"/>
      <c r="G870" s="94"/>
      <c r="H870" s="94"/>
      <c r="I870" s="94"/>
      <c r="J870" s="94"/>
      <c r="K870" s="94"/>
      <c r="L870" s="94"/>
      <c r="M870" s="94"/>
      <c r="N870" s="94"/>
      <c r="O870" s="93"/>
    </row>
    <row r="871" spans="1:15" x14ac:dyDescent="0.25">
      <c r="A871" s="267" t="s">
        <v>115</v>
      </c>
      <c r="B871" s="133"/>
      <c r="C871" s="94"/>
      <c r="D871" s="94"/>
      <c r="E871" s="94"/>
      <c r="F871" s="94"/>
      <c r="G871" s="94"/>
      <c r="H871" s="94"/>
      <c r="I871" s="94"/>
      <c r="J871" s="94"/>
      <c r="K871" s="94"/>
      <c r="L871" s="94"/>
      <c r="M871" s="94"/>
      <c r="N871" s="94"/>
      <c r="O871" s="93"/>
    </row>
    <row r="872" spans="1:15" x14ac:dyDescent="0.25">
      <c r="A872" s="266"/>
      <c r="B872" s="265"/>
      <c r="C872" s="265"/>
      <c r="D872" s="265"/>
      <c r="E872" s="265"/>
      <c r="F872" s="94"/>
      <c r="G872" s="94"/>
      <c r="H872" s="94"/>
      <c r="I872" s="94"/>
      <c r="J872" s="94"/>
      <c r="K872" s="94"/>
      <c r="L872" s="94"/>
      <c r="M872" s="94"/>
      <c r="N872" s="94"/>
      <c r="O872" s="93"/>
    </row>
    <row r="873" spans="1:15" x14ac:dyDescent="0.25">
      <c r="A873" s="264" t="s">
        <v>67</v>
      </c>
      <c r="B873" s="263" t="s">
        <v>112</v>
      </c>
      <c r="C873" s="263" t="s">
        <v>66</v>
      </c>
      <c r="D873" s="263" t="s">
        <v>65</v>
      </c>
      <c r="E873" s="263" t="s">
        <v>81</v>
      </c>
      <c r="F873" s="417" t="s">
        <v>80</v>
      </c>
      <c r="G873" s="417" t="s">
        <v>79</v>
      </c>
      <c r="H873" s="417" t="s">
        <v>78</v>
      </c>
      <c r="I873" s="417" t="s">
        <v>111</v>
      </c>
      <c r="J873" s="417" t="s">
        <v>110</v>
      </c>
      <c r="K873" s="417" t="s">
        <v>109</v>
      </c>
      <c r="L873" s="417" t="s">
        <v>108</v>
      </c>
      <c r="M873" s="417" t="s">
        <v>40</v>
      </c>
      <c r="N873" s="417" t="s">
        <v>58</v>
      </c>
      <c r="O873" s="93"/>
    </row>
    <row r="874" spans="1:15" x14ac:dyDescent="0.25">
      <c r="A874" s="416">
        <v>10</v>
      </c>
      <c r="B874" s="416" t="s">
        <v>519</v>
      </c>
      <c r="C874" s="416" t="s">
        <v>824</v>
      </c>
      <c r="D874" s="425">
        <v>2.25</v>
      </c>
      <c r="E874" s="416">
        <v>10</v>
      </c>
      <c r="F874" s="416" t="s">
        <v>68</v>
      </c>
      <c r="G874" s="416"/>
      <c r="H874" s="421"/>
      <c r="I874" s="424" t="s">
        <v>823</v>
      </c>
      <c r="J874" s="430">
        <f>PI()*E874*(E874/4)*10^-6</f>
        <v>7.8539816339744827E-5</v>
      </c>
      <c r="K874" s="422">
        <v>0.04</v>
      </c>
      <c r="L874" s="421">
        <v>7860</v>
      </c>
      <c r="M874" s="420">
        <v>1</v>
      </c>
      <c r="N874" s="419">
        <f>IF(J874="",D874*M874,D874*J874*K874*L874*M874)</f>
        <v>5.5559066078735488E-2</v>
      </c>
      <c r="O874" s="143"/>
    </row>
    <row r="875" spans="1:15" x14ac:dyDescent="0.25">
      <c r="A875" s="98"/>
      <c r="B875" s="95"/>
      <c r="C875" s="95"/>
      <c r="D875" s="95"/>
      <c r="E875" s="95"/>
      <c r="F875" s="95"/>
      <c r="G875" s="95"/>
      <c r="H875" s="95"/>
      <c r="I875" s="95"/>
      <c r="J875" s="95"/>
      <c r="K875" s="95"/>
      <c r="L875" s="95"/>
      <c r="M875" s="256" t="s">
        <v>58</v>
      </c>
      <c r="N875" s="255">
        <f>SUM(N874:N874)</f>
        <v>5.5559066078735488E-2</v>
      </c>
      <c r="O875" s="93"/>
    </row>
    <row r="876" spans="1:15" x14ac:dyDescent="0.25">
      <c r="A876" s="107"/>
      <c r="B876" s="94"/>
      <c r="C876" s="94"/>
      <c r="D876" s="94"/>
      <c r="E876" s="94"/>
      <c r="F876" s="94"/>
      <c r="G876" s="94"/>
      <c r="H876" s="94"/>
      <c r="I876" s="94"/>
      <c r="J876" s="94"/>
      <c r="K876" s="94"/>
      <c r="L876" s="94"/>
      <c r="M876" s="94"/>
      <c r="N876" s="94"/>
      <c r="O876" s="93"/>
    </row>
    <row r="877" spans="1:15" x14ac:dyDescent="0.25">
      <c r="A877" s="418" t="s">
        <v>67</v>
      </c>
      <c r="B877" s="417" t="s">
        <v>106</v>
      </c>
      <c r="C877" s="417" t="s">
        <v>66</v>
      </c>
      <c r="D877" s="417" t="s">
        <v>65</v>
      </c>
      <c r="E877" s="417" t="s">
        <v>64</v>
      </c>
      <c r="F877" s="417" t="s">
        <v>40</v>
      </c>
      <c r="G877" s="417" t="s">
        <v>105</v>
      </c>
      <c r="H877" s="417" t="s">
        <v>104</v>
      </c>
      <c r="I877" s="417" t="s">
        <v>58</v>
      </c>
      <c r="J877" s="95"/>
      <c r="K877" s="95"/>
      <c r="L877" s="95"/>
      <c r="M877" s="95"/>
      <c r="N877" s="95"/>
      <c r="O877" s="93"/>
    </row>
    <row r="878" spans="1:15" ht="30" x14ac:dyDescent="0.25">
      <c r="A878" s="416">
        <v>10</v>
      </c>
      <c r="B878" s="415" t="s">
        <v>516</v>
      </c>
      <c r="C878" s="285"/>
      <c r="D878" s="283">
        <v>1.3</v>
      </c>
      <c r="E878" s="282" t="s">
        <v>64</v>
      </c>
      <c r="F878" s="282">
        <v>1</v>
      </c>
      <c r="G878" s="282"/>
      <c r="H878" s="282"/>
      <c r="I878" s="293">
        <f>IF(H878="",D878*F878,D878*F878*H878)</f>
        <v>1.3</v>
      </c>
      <c r="J878" s="142"/>
      <c r="K878" s="142"/>
      <c r="L878" s="142"/>
      <c r="M878" s="142"/>
      <c r="N878" s="142"/>
      <c r="O878" s="120"/>
    </row>
    <row r="879" spans="1:15" x14ac:dyDescent="0.25">
      <c r="A879" s="282">
        <v>20</v>
      </c>
      <c r="B879" s="285" t="s">
        <v>514</v>
      </c>
      <c r="C879" s="285"/>
      <c r="D879" s="283">
        <v>0.04</v>
      </c>
      <c r="E879" s="282" t="s">
        <v>512</v>
      </c>
      <c r="F879" s="282">
        <v>4</v>
      </c>
      <c r="G879" s="282" t="s">
        <v>525</v>
      </c>
      <c r="H879" s="282">
        <v>3</v>
      </c>
      <c r="I879" s="293">
        <f>IF(H879="",D879*F879,D879*F879*H879)</f>
        <v>0.48</v>
      </c>
      <c r="J879" s="94"/>
      <c r="K879" s="94"/>
      <c r="L879" s="94"/>
      <c r="M879" s="94"/>
      <c r="N879" s="94"/>
      <c r="O879" s="93"/>
    </row>
    <row r="880" spans="1:15" ht="30" x14ac:dyDescent="0.25">
      <c r="A880" s="416">
        <v>30</v>
      </c>
      <c r="B880" s="415" t="s">
        <v>822</v>
      </c>
      <c r="C880" s="429" t="s">
        <v>821</v>
      </c>
      <c r="D880" s="425">
        <v>0.65</v>
      </c>
      <c r="E880" s="416" t="s">
        <v>64</v>
      </c>
      <c r="F880" s="416">
        <v>1</v>
      </c>
      <c r="G880" s="416"/>
      <c r="H880" s="416"/>
      <c r="I880" s="419">
        <f>IF(H880="",D880*F880,D880*F880*H880)</f>
        <v>0.65</v>
      </c>
      <c r="J880" s="99"/>
      <c r="K880" s="99"/>
      <c r="L880" s="99"/>
      <c r="M880" s="99"/>
      <c r="N880" s="99"/>
      <c r="O880" s="130"/>
    </row>
    <row r="881" spans="1:15" x14ac:dyDescent="0.25">
      <c r="A881" s="416">
        <v>40</v>
      </c>
      <c r="B881" s="427" t="s">
        <v>514</v>
      </c>
      <c r="C881" s="427" t="s">
        <v>820</v>
      </c>
      <c r="D881" s="425">
        <v>0.04</v>
      </c>
      <c r="E881" s="416" t="s">
        <v>512</v>
      </c>
      <c r="F881" s="416">
        <v>2</v>
      </c>
      <c r="G881" s="416" t="s">
        <v>525</v>
      </c>
      <c r="H881" s="416">
        <v>3</v>
      </c>
      <c r="I881" s="419">
        <f>IF(H881="",D881*F881,D881*F881*H881)</f>
        <v>0.24</v>
      </c>
      <c r="J881" s="94"/>
      <c r="K881" s="94"/>
      <c r="L881" s="94"/>
      <c r="M881" s="94"/>
      <c r="N881" s="94"/>
      <c r="O881" s="93"/>
    </row>
    <row r="882" spans="1:15" x14ac:dyDescent="0.25">
      <c r="A882" s="98"/>
      <c r="B882" s="95"/>
      <c r="C882" s="95"/>
      <c r="D882" s="95"/>
      <c r="E882" s="95"/>
      <c r="F882" s="95"/>
      <c r="G882" s="95"/>
      <c r="H882" s="256" t="s">
        <v>58</v>
      </c>
      <c r="I882" s="255">
        <f>SUM(I878:I881)</f>
        <v>2.67</v>
      </c>
      <c r="J882" s="95"/>
      <c r="K882" s="95"/>
      <c r="L882" s="95"/>
      <c r="M882" s="95"/>
      <c r="N882" s="95"/>
      <c r="O882" s="93"/>
    </row>
    <row r="883" spans="1:15" x14ac:dyDescent="0.25">
      <c r="A883" s="107"/>
      <c r="B883" s="94"/>
      <c r="C883" s="94"/>
      <c r="D883" s="94"/>
      <c r="E883" s="94"/>
      <c r="F883" s="94"/>
      <c r="G883" s="94"/>
      <c r="H883" s="94"/>
      <c r="I883" s="99"/>
      <c r="J883" s="94"/>
      <c r="K883" s="94"/>
      <c r="L883" s="94"/>
      <c r="M883" s="94"/>
      <c r="N883" s="94"/>
      <c r="O883" s="93"/>
    </row>
    <row r="884" spans="1:15" ht="15.75" thickBot="1" x14ac:dyDescent="0.3">
      <c r="A884" s="92"/>
      <c r="B884" s="91"/>
      <c r="C884" s="91"/>
      <c r="D884" s="91"/>
      <c r="E884" s="91"/>
      <c r="F884" s="91"/>
      <c r="G884" s="91"/>
      <c r="H884" s="91"/>
      <c r="I884" s="91"/>
      <c r="J884" s="91"/>
      <c r="K884" s="91"/>
      <c r="L884" s="91"/>
      <c r="M884" s="91"/>
      <c r="N884" s="91"/>
      <c r="O884" s="90"/>
    </row>
    <row r="885" spans="1:15" ht="15.75" thickBot="1" x14ac:dyDescent="0.3"/>
    <row r="886" spans="1:15" x14ac:dyDescent="0.25">
      <c r="A886" s="141"/>
      <c r="B886" s="140"/>
      <c r="C886" s="140"/>
      <c r="D886" s="140"/>
      <c r="E886" s="140"/>
      <c r="F886" s="140"/>
      <c r="G886" s="140"/>
      <c r="H886" s="140"/>
      <c r="I886" s="140"/>
      <c r="J886" s="272"/>
      <c r="K886" s="140"/>
      <c r="L886" s="140"/>
      <c r="M886" s="140"/>
      <c r="N886" s="140"/>
      <c r="O886" s="139"/>
    </row>
    <row r="887" spans="1:15" x14ac:dyDescent="0.25">
      <c r="A887" s="267" t="s">
        <v>57</v>
      </c>
      <c r="B887" s="133" t="s">
        <v>523</v>
      </c>
      <c r="C887" s="94"/>
      <c r="D887" s="94"/>
      <c r="E887" s="94"/>
      <c r="F887" s="94"/>
      <c r="G887" s="94"/>
      <c r="H887" s="94"/>
      <c r="I887" s="94"/>
      <c r="J887" s="271" t="s">
        <v>51</v>
      </c>
      <c r="K887" s="138">
        <v>81</v>
      </c>
      <c r="L887" s="94"/>
      <c r="M887" s="267" t="s">
        <v>113</v>
      </c>
      <c r="N887" s="100">
        <f>EN_06005_m+EN_06005_p</f>
        <v>2.7116692995590514</v>
      </c>
      <c r="O887" s="93"/>
    </row>
    <row r="888" spans="1:15" x14ac:dyDescent="0.25">
      <c r="A888" s="267" t="s">
        <v>125</v>
      </c>
      <c r="B888" s="133" t="s">
        <v>21</v>
      </c>
      <c r="C888" s="94"/>
      <c r="D888" s="267" t="s">
        <v>122</v>
      </c>
      <c r="E888" s="94"/>
      <c r="F888" s="94"/>
      <c r="G888" s="94"/>
      <c r="H888" s="94"/>
      <c r="I888" s="94"/>
      <c r="J888" s="94"/>
      <c r="K888" s="94"/>
      <c r="L888" s="94"/>
      <c r="M888" s="267" t="s">
        <v>124</v>
      </c>
      <c r="N888" s="136">
        <v>1</v>
      </c>
      <c r="O888" s="93"/>
    </row>
    <row r="889" spans="1:15" x14ac:dyDescent="0.25">
      <c r="A889" s="267" t="s">
        <v>123</v>
      </c>
      <c r="B889" s="270" t="str">
        <f>'EN Assemblies'!B281</f>
        <v>Throttle body</v>
      </c>
      <c r="C889" s="94"/>
      <c r="D889" s="267" t="s">
        <v>119</v>
      </c>
      <c r="E889" s="94"/>
      <c r="F889" s="94"/>
      <c r="G889" s="94"/>
      <c r="H889" s="94"/>
      <c r="I889" s="94"/>
      <c r="J889" s="268" t="s">
        <v>122</v>
      </c>
      <c r="K889" s="94"/>
      <c r="L889" s="94"/>
      <c r="M889" s="94"/>
      <c r="N889" s="94"/>
      <c r="O889" s="93"/>
    </row>
    <row r="890" spans="1:15" x14ac:dyDescent="0.25">
      <c r="A890" s="267" t="s">
        <v>114</v>
      </c>
      <c r="B890" s="135" t="s">
        <v>826</v>
      </c>
      <c r="C890" s="94"/>
      <c r="D890" s="267" t="s">
        <v>116</v>
      </c>
      <c r="E890" s="94"/>
      <c r="F890" s="94"/>
      <c r="G890" s="94"/>
      <c r="H890" s="94"/>
      <c r="I890" s="94"/>
      <c r="J890" s="268" t="s">
        <v>119</v>
      </c>
      <c r="K890" s="94"/>
      <c r="L890" s="94"/>
      <c r="M890" s="267" t="s">
        <v>118</v>
      </c>
      <c r="N890" s="100">
        <f>N888*N887</f>
        <v>2.7116692995590514</v>
      </c>
      <c r="O890" s="93"/>
    </row>
    <row r="891" spans="1:15" x14ac:dyDescent="0.25">
      <c r="A891" s="267" t="s">
        <v>121</v>
      </c>
      <c r="B891" s="269" t="s">
        <v>825</v>
      </c>
      <c r="C891" s="94"/>
      <c r="D891" s="94"/>
      <c r="E891" s="94"/>
      <c r="F891" s="94"/>
      <c r="G891" s="94"/>
      <c r="H891" s="94"/>
      <c r="I891" s="94"/>
      <c r="J891" s="268" t="s">
        <v>116</v>
      </c>
      <c r="K891" s="94"/>
      <c r="L891" s="94"/>
      <c r="M891" s="94"/>
      <c r="N891" s="94"/>
      <c r="O891" s="93"/>
    </row>
    <row r="892" spans="1:15" x14ac:dyDescent="0.25">
      <c r="A892" s="267" t="s">
        <v>117</v>
      </c>
      <c r="B892" s="133" t="s">
        <v>23</v>
      </c>
      <c r="C892" s="94"/>
      <c r="D892" s="94"/>
      <c r="E892" s="94"/>
      <c r="F892" s="94"/>
      <c r="G892" s="94"/>
      <c r="H892" s="94"/>
      <c r="I892" s="94"/>
      <c r="J892" s="94"/>
      <c r="K892" s="94"/>
      <c r="L892" s="94"/>
      <c r="M892" s="94"/>
      <c r="N892" s="94"/>
      <c r="O892" s="93"/>
    </row>
    <row r="893" spans="1:15" x14ac:dyDescent="0.25">
      <c r="A893" s="267" t="s">
        <v>115</v>
      </c>
      <c r="B893" s="133"/>
      <c r="C893" s="94"/>
      <c r="D893" s="94"/>
      <c r="E893" s="94"/>
      <c r="F893" s="94"/>
      <c r="G893" s="94"/>
      <c r="H893" s="94"/>
      <c r="I893" s="94"/>
      <c r="J893" s="94"/>
      <c r="K893" s="94"/>
      <c r="L893" s="94"/>
      <c r="M893" s="94"/>
      <c r="N893" s="94"/>
      <c r="O893" s="93"/>
    </row>
    <row r="894" spans="1:15" x14ac:dyDescent="0.25">
      <c r="A894" s="266"/>
      <c r="B894" s="265"/>
      <c r="C894" s="265"/>
      <c r="D894" s="265"/>
      <c r="E894" s="265"/>
      <c r="F894" s="94"/>
      <c r="G894" s="94"/>
      <c r="H894" s="94"/>
      <c r="I894" s="94"/>
      <c r="J894" s="94"/>
      <c r="K894" s="94"/>
      <c r="L894" s="94"/>
      <c r="M894" s="94"/>
      <c r="N894" s="94"/>
      <c r="O894" s="93"/>
    </row>
    <row r="895" spans="1:15" x14ac:dyDescent="0.25">
      <c r="A895" s="264" t="s">
        <v>67</v>
      </c>
      <c r="B895" s="263" t="s">
        <v>112</v>
      </c>
      <c r="C895" s="263" t="s">
        <v>66</v>
      </c>
      <c r="D895" s="263" t="s">
        <v>65</v>
      </c>
      <c r="E895" s="263" t="s">
        <v>81</v>
      </c>
      <c r="F895" s="417" t="s">
        <v>80</v>
      </c>
      <c r="G895" s="417" t="s">
        <v>79</v>
      </c>
      <c r="H895" s="417" t="s">
        <v>78</v>
      </c>
      <c r="I895" s="417" t="s">
        <v>111</v>
      </c>
      <c r="J895" s="417" t="s">
        <v>110</v>
      </c>
      <c r="K895" s="417" t="s">
        <v>109</v>
      </c>
      <c r="L895" s="417" t="s">
        <v>108</v>
      </c>
      <c r="M895" s="417" t="s">
        <v>40</v>
      </c>
      <c r="N895" s="417" t="s">
        <v>58</v>
      </c>
      <c r="O895" s="93"/>
    </row>
    <row r="896" spans="1:15" x14ac:dyDescent="0.25">
      <c r="A896" s="416">
        <v>10</v>
      </c>
      <c r="B896" s="416" t="s">
        <v>519</v>
      </c>
      <c r="C896" s="416" t="s">
        <v>824</v>
      </c>
      <c r="D896" s="425">
        <v>2.25</v>
      </c>
      <c r="E896" s="416">
        <v>10</v>
      </c>
      <c r="F896" s="416" t="s">
        <v>68</v>
      </c>
      <c r="G896" s="416"/>
      <c r="H896" s="421"/>
      <c r="I896" s="424" t="s">
        <v>823</v>
      </c>
      <c r="J896" s="428">
        <f>PI()*E896*(E896/4)*10^-6</f>
        <v>7.8539816339744827E-5</v>
      </c>
      <c r="K896" s="422">
        <v>0.03</v>
      </c>
      <c r="L896" s="421">
        <v>7860</v>
      </c>
      <c r="M896" s="420">
        <v>1</v>
      </c>
      <c r="N896" s="419">
        <f>IF(J896="",D896*M896,D896*J896*K896*L896*M896)</f>
        <v>4.166929955905161E-2</v>
      </c>
      <c r="O896" s="143"/>
    </row>
    <row r="897" spans="1:15" x14ac:dyDescent="0.25">
      <c r="A897" s="98"/>
      <c r="B897" s="95"/>
      <c r="C897" s="95"/>
      <c r="D897" s="95"/>
      <c r="E897" s="95"/>
      <c r="F897" s="95"/>
      <c r="G897" s="95"/>
      <c r="H897" s="95"/>
      <c r="I897" s="95"/>
      <c r="J897" s="95"/>
      <c r="K897" s="95"/>
      <c r="L897" s="95"/>
      <c r="M897" s="256" t="s">
        <v>58</v>
      </c>
      <c r="N897" s="255">
        <f>SUM(N896:N896)</f>
        <v>4.166929955905161E-2</v>
      </c>
      <c r="O897" s="93"/>
    </row>
    <row r="898" spans="1:15" x14ac:dyDescent="0.25">
      <c r="A898" s="107"/>
      <c r="B898" s="94"/>
      <c r="C898" s="94"/>
      <c r="D898" s="94"/>
      <c r="E898" s="94"/>
      <c r="F898" s="94"/>
      <c r="G898" s="94"/>
      <c r="H898" s="94"/>
      <c r="I898" s="94"/>
      <c r="J898" s="94"/>
      <c r="K898" s="94"/>
      <c r="L898" s="94"/>
      <c r="M898" s="94"/>
      <c r="N898" s="94"/>
      <c r="O898" s="93"/>
    </row>
    <row r="899" spans="1:15" x14ac:dyDescent="0.25">
      <c r="A899" s="418" t="s">
        <v>67</v>
      </c>
      <c r="B899" s="417" t="s">
        <v>106</v>
      </c>
      <c r="C899" s="417" t="s">
        <v>66</v>
      </c>
      <c r="D899" s="417" t="s">
        <v>65</v>
      </c>
      <c r="E899" s="417" t="s">
        <v>64</v>
      </c>
      <c r="F899" s="417" t="s">
        <v>40</v>
      </c>
      <c r="G899" s="417" t="s">
        <v>105</v>
      </c>
      <c r="H899" s="417" t="s">
        <v>104</v>
      </c>
      <c r="I899" s="417" t="s">
        <v>58</v>
      </c>
      <c r="J899" s="95"/>
      <c r="K899" s="95"/>
      <c r="L899" s="95"/>
      <c r="M899" s="95"/>
      <c r="N899" s="95"/>
      <c r="O899" s="93"/>
    </row>
    <row r="900" spans="1:15" ht="18.75" customHeight="1" x14ac:dyDescent="0.25">
      <c r="A900" s="416">
        <v>10</v>
      </c>
      <c r="B900" s="415" t="s">
        <v>516</v>
      </c>
      <c r="C900" s="427"/>
      <c r="D900" s="425">
        <v>1.3</v>
      </c>
      <c r="E900" s="416" t="s">
        <v>64</v>
      </c>
      <c r="F900" s="416">
        <v>1</v>
      </c>
      <c r="G900" s="416"/>
      <c r="H900" s="416"/>
      <c r="I900" s="426">
        <f>IF(H900="",D900*F900,D900*F900*H900)</f>
        <v>1.3</v>
      </c>
      <c r="J900" s="142"/>
      <c r="K900" s="142"/>
      <c r="L900" s="142"/>
      <c r="M900" s="142"/>
      <c r="N900" s="142"/>
      <c r="O900" s="120"/>
    </row>
    <row r="901" spans="1:15" x14ac:dyDescent="0.25">
      <c r="A901" s="416">
        <v>20</v>
      </c>
      <c r="B901" s="427" t="s">
        <v>514</v>
      </c>
      <c r="C901" s="427"/>
      <c r="D901" s="425">
        <v>0.04</v>
      </c>
      <c r="E901" s="416" t="s">
        <v>512</v>
      </c>
      <c r="F901" s="416">
        <v>4</v>
      </c>
      <c r="G901" s="416" t="s">
        <v>525</v>
      </c>
      <c r="H901" s="416">
        <v>3</v>
      </c>
      <c r="I901" s="426">
        <f>IF(H901="",D901*F901,D901*F901*H901)</f>
        <v>0.48</v>
      </c>
      <c r="J901" s="94"/>
      <c r="K901" s="94"/>
      <c r="L901" s="94"/>
      <c r="M901" s="94"/>
      <c r="N901" s="94"/>
      <c r="O901" s="93"/>
    </row>
    <row r="902" spans="1:15" ht="30" x14ac:dyDescent="0.25">
      <c r="A902" s="416">
        <v>30</v>
      </c>
      <c r="B902" s="415" t="s">
        <v>822</v>
      </c>
      <c r="C902" s="376" t="s">
        <v>821</v>
      </c>
      <c r="D902" s="283">
        <v>0.65</v>
      </c>
      <c r="E902" s="282" t="s">
        <v>64</v>
      </c>
      <c r="F902" s="282">
        <v>1</v>
      </c>
      <c r="G902" s="282"/>
      <c r="H902" s="282"/>
      <c r="I902" s="276">
        <f>IF(H902="",D902*F902,D902*F902*H902)</f>
        <v>0.65</v>
      </c>
      <c r="J902" s="99"/>
      <c r="K902" s="99"/>
      <c r="L902" s="99"/>
      <c r="M902" s="99"/>
      <c r="N902" s="99"/>
      <c r="O902" s="130"/>
    </row>
    <row r="903" spans="1:15" x14ac:dyDescent="0.25">
      <c r="A903" s="282">
        <v>40</v>
      </c>
      <c r="B903" s="285" t="s">
        <v>514</v>
      </c>
      <c r="C903" s="285" t="s">
        <v>820</v>
      </c>
      <c r="D903" s="283">
        <v>0.04</v>
      </c>
      <c r="E903" s="282" t="s">
        <v>512</v>
      </c>
      <c r="F903" s="282">
        <v>2</v>
      </c>
      <c r="G903" s="282" t="s">
        <v>525</v>
      </c>
      <c r="H903" s="282">
        <v>3</v>
      </c>
      <c r="I903" s="276">
        <f>IF(H903="",D903*F903,D903*F903*H903)</f>
        <v>0.24</v>
      </c>
      <c r="J903" s="94"/>
      <c r="K903" s="94"/>
      <c r="L903" s="94"/>
      <c r="M903" s="94"/>
      <c r="N903" s="94"/>
      <c r="O903" s="93"/>
    </row>
    <row r="904" spans="1:15" x14ac:dyDescent="0.25">
      <c r="A904" s="98"/>
      <c r="B904" s="95"/>
      <c r="C904" s="95"/>
      <c r="D904" s="95"/>
      <c r="E904" s="95"/>
      <c r="F904" s="95"/>
      <c r="G904" s="95"/>
      <c r="H904" s="256" t="s">
        <v>58</v>
      </c>
      <c r="I904" s="255">
        <f>SUM(I900:I903)</f>
        <v>2.67</v>
      </c>
      <c r="J904" s="95"/>
      <c r="K904" s="95"/>
      <c r="L904" s="95"/>
      <c r="M904" s="95"/>
      <c r="N904" s="95"/>
      <c r="O904" s="93"/>
    </row>
    <row r="905" spans="1:15" x14ac:dyDescent="0.25">
      <c r="A905" s="107"/>
      <c r="B905" s="94"/>
      <c r="C905" s="94"/>
      <c r="D905" s="94"/>
      <c r="E905" s="94"/>
      <c r="F905" s="94"/>
      <c r="G905" s="94"/>
      <c r="H905" s="94"/>
      <c r="I905" s="99"/>
      <c r="J905" s="94"/>
      <c r="K905" s="94"/>
      <c r="L905" s="94"/>
      <c r="M905" s="94"/>
      <c r="N905" s="94"/>
      <c r="O905" s="93"/>
    </row>
    <row r="906" spans="1:15" ht="15.75" thickBot="1" x14ac:dyDescent="0.3">
      <c r="A906" s="92"/>
      <c r="B906" s="91"/>
      <c r="C906" s="91"/>
      <c r="D906" s="91"/>
      <c r="E906" s="91"/>
      <c r="F906" s="91"/>
      <c r="G906" s="91"/>
      <c r="H906" s="91"/>
      <c r="I906" s="91"/>
      <c r="J906" s="91"/>
      <c r="K906" s="91"/>
      <c r="L906" s="91"/>
      <c r="M906" s="91"/>
      <c r="N906" s="91"/>
      <c r="O906" s="90"/>
    </row>
    <row r="907" spans="1:15" ht="15.75" thickBot="1" x14ac:dyDescent="0.3"/>
    <row r="908" spans="1:15" x14ac:dyDescent="0.25">
      <c r="A908" s="141"/>
      <c r="B908" s="140"/>
      <c r="C908" s="140"/>
      <c r="D908" s="140"/>
      <c r="E908" s="140"/>
      <c r="F908" s="140"/>
      <c r="G908" s="140"/>
      <c r="H908" s="140"/>
      <c r="I908" s="140"/>
      <c r="J908" s="272"/>
      <c r="K908" s="140"/>
      <c r="L908" s="140"/>
      <c r="M908" s="140"/>
      <c r="N908" s="140"/>
      <c r="O908" s="139"/>
    </row>
    <row r="909" spans="1:15" x14ac:dyDescent="0.25">
      <c r="A909" s="267" t="s">
        <v>57</v>
      </c>
      <c r="B909" s="133" t="s">
        <v>523</v>
      </c>
      <c r="C909" s="94"/>
      <c r="D909" s="94"/>
      <c r="E909" s="94"/>
      <c r="F909" s="94"/>
      <c r="G909" s="94"/>
      <c r="H909" s="94"/>
      <c r="I909" s="94"/>
      <c r="J909" s="271" t="s">
        <v>51</v>
      </c>
      <c r="K909" s="138">
        <v>81</v>
      </c>
      <c r="L909" s="94"/>
      <c r="M909" s="267" t="s">
        <v>113</v>
      </c>
      <c r="N909" s="100">
        <f>EN_06006_m+EN_06006_p</f>
        <v>1.4911156045807814</v>
      </c>
      <c r="O909" s="93"/>
    </row>
    <row r="910" spans="1:15" x14ac:dyDescent="0.25">
      <c r="A910" s="267" t="s">
        <v>125</v>
      </c>
      <c r="B910" s="133" t="s">
        <v>21</v>
      </c>
      <c r="C910" s="94"/>
      <c r="D910" s="267" t="s">
        <v>122</v>
      </c>
      <c r="E910" s="94"/>
      <c r="F910" s="94"/>
      <c r="G910" s="94"/>
      <c r="H910" s="94"/>
      <c r="I910" s="94"/>
      <c r="J910" s="94"/>
      <c r="K910" s="94"/>
      <c r="L910" s="94"/>
      <c r="M910" s="267" t="s">
        <v>124</v>
      </c>
      <c r="N910" s="136">
        <v>1</v>
      </c>
      <c r="O910" s="93"/>
    </row>
    <row r="911" spans="1:15" x14ac:dyDescent="0.25">
      <c r="A911" s="267" t="s">
        <v>123</v>
      </c>
      <c r="B911" s="270" t="str">
        <f>'EN Assemblies'!B281</f>
        <v>Throttle body</v>
      </c>
      <c r="C911" s="94"/>
      <c r="D911" s="267" t="s">
        <v>119</v>
      </c>
      <c r="E911" s="94"/>
      <c r="F911" s="94"/>
      <c r="G911" s="94"/>
      <c r="H911" s="94"/>
      <c r="I911" s="94"/>
      <c r="J911" s="268" t="s">
        <v>122</v>
      </c>
      <c r="K911" s="94"/>
      <c r="L911" s="94"/>
      <c r="M911" s="94"/>
      <c r="N911" s="94"/>
      <c r="O911" s="93"/>
    </row>
    <row r="912" spans="1:15" x14ac:dyDescent="0.25">
      <c r="A912" s="267" t="s">
        <v>114</v>
      </c>
      <c r="B912" s="135" t="s">
        <v>819</v>
      </c>
      <c r="C912" s="94"/>
      <c r="D912" s="267" t="s">
        <v>116</v>
      </c>
      <c r="E912" s="94"/>
      <c r="F912" s="94"/>
      <c r="G912" s="94"/>
      <c r="H912" s="94"/>
      <c r="I912" s="94"/>
      <c r="J912" s="268" t="s">
        <v>119</v>
      </c>
      <c r="K912" s="94"/>
      <c r="L912" s="94"/>
      <c r="M912" s="267" t="s">
        <v>118</v>
      </c>
      <c r="N912" s="100">
        <f>N910*N909</f>
        <v>1.4911156045807814</v>
      </c>
      <c r="O912" s="93"/>
    </row>
    <row r="913" spans="1:15" x14ac:dyDescent="0.25">
      <c r="A913" s="267" t="s">
        <v>121</v>
      </c>
      <c r="B913" s="269" t="s">
        <v>818</v>
      </c>
      <c r="C913" s="94"/>
      <c r="D913" s="94"/>
      <c r="E913" s="94"/>
      <c r="F913" s="94"/>
      <c r="G913" s="94"/>
      <c r="H913" s="94"/>
      <c r="I913" s="94"/>
      <c r="J913" s="268" t="s">
        <v>116</v>
      </c>
      <c r="K913" s="94"/>
      <c r="L913" s="94"/>
      <c r="M913" s="94"/>
      <c r="N913" s="94"/>
      <c r="O913" s="93"/>
    </row>
    <row r="914" spans="1:15" x14ac:dyDescent="0.25">
      <c r="A914" s="267" t="s">
        <v>117</v>
      </c>
      <c r="B914" s="133" t="s">
        <v>23</v>
      </c>
      <c r="C914" s="94"/>
      <c r="D914" s="94"/>
      <c r="E914" s="94"/>
      <c r="F914" s="94"/>
      <c r="G914" s="94"/>
      <c r="H914" s="94"/>
      <c r="I914" s="94"/>
      <c r="J914" s="94"/>
      <c r="K914" s="94"/>
      <c r="L914" s="94"/>
      <c r="M914" s="94"/>
      <c r="N914" s="94"/>
      <c r="O914" s="93"/>
    </row>
    <row r="915" spans="1:15" x14ac:dyDescent="0.25">
      <c r="A915" s="267" t="s">
        <v>115</v>
      </c>
      <c r="B915" s="133"/>
      <c r="C915" s="94"/>
      <c r="D915" s="94"/>
      <c r="E915" s="94"/>
      <c r="F915" s="94"/>
      <c r="G915" s="94"/>
      <c r="H915" s="94"/>
      <c r="I915" s="94"/>
      <c r="J915" s="94"/>
      <c r="K915" s="94"/>
      <c r="L915" s="94"/>
      <c r="M915" s="94"/>
      <c r="N915" s="94"/>
      <c r="O915" s="93"/>
    </row>
    <row r="916" spans="1:15" x14ac:dyDescent="0.25">
      <c r="A916" s="266"/>
      <c r="B916" s="265"/>
      <c r="C916" s="265"/>
      <c r="D916" s="265"/>
      <c r="E916" s="265"/>
      <c r="F916" s="94"/>
      <c r="G916" s="94"/>
      <c r="H916" s="94"/>
      <c r="I916" s="94"/>
      <c r="J916" s="94"/>
      <c r="K916" s="94"/>
      <c r="L916" s="94"/>
      <c r="M916" s="94"/>
      <c r="N916" s="94"/>
      <c r="O916" s="93"/>
    </row>
    <row r="917" spans="1:15" x14ac:dyDescent="0.25">
      <c r="A917" s="264" t="s">
        <v>67</v>
      </c>
      <c r="B917" s="263" t="s">
        <v>112</v>
      </c>
      <c r="C917" s="263" t="s">
        <v>66</v>
      </c>
      <c r="D917" s="263" t="s">
        <v>65</v>
      </c>
      <c r="E917" s="263" t="s">
        <v>81</v>
      </c>
      <c r="F917" s="417" t="s">
        <v>80</v>
      </c>
      <c r="G917" s="417" t="s">
        <v>79</v>
      </c>
      <c r="H917" s="417" t="s">
        <v>78</v>
      </c>
      <c r="I917" s="417" t="s">
        <v>111</v>
      </c>
      <c r="J917" s="417" t="s">
        <v>110</v>
      </c>
      <c r="K917" s="417" t="s">
        <v>109</v>
      </c>
      <c r="L917" s="417" t="s">
        <v>108</v>
      </c>
      <c r="M917" s="417" t="s">
        <v>40</v>
      </c>
      <c r="N917" s="417" t="s">
        <v>58</v>
      </c>
      <c r="O917" s="93"/>
    </row>
    <row r="918" spans="1:15" x14ac:dyDescent="0.25">
      <c r="A918" s="416">
        <v>10</v>
      </c>
      <c r="B918" s="416" t="s">
        <v>519</v>
      </c>
      <c r="C918" s="416"/>
      <c r="D918" s="425">
        <v>2.25</v>
      </c>
      <c r="E918" s="416">
        <v>32</v>
      </c>
      <c r="F918" s="416" t="s">
        <v>68</v>
      </c>
      <c r="G918" s="416"/>
      <c r="H918" s="421"/>
      <c r="I918" s="424" t="s">
        <v>817</v>
      </c>
      <c r="J918" s="423">
        <f>PI()*E918*(E918/4)*10^-6</f>
        <v>8.0424771931898698E-4</v>
      </c>
      <c r="K918" s="422">
        <v>5.0000000000000001E-3</v>
      </c>
      <c r="L918" s="421">
        <v>7860</v>
      </c>
      <c r="M918" s="420">
        <v>1</v>
      </c>
      <c r="N918" s="419">
        <f>IF(J918="",D918*M918,D918*J918*K918*L918*M918)</f>
        <v>7.1115604580781436E-2</v>
      </c>
      <c r="O918" s="143"/>
    </row>
    <row r="919" spans="1:15" x14ac:dyDescent="0.25">
      <c r="A919" s="98"/>
      <c r="B919" s="95"/>
      <c r="C919" s="95"/>
      <c r="D919" s="95"/>
      <c r="E919" s="95"/>
      <c r="F919" s="95"/>
      <c r="G919" s="95"/>
      <c r="H919" s="95"/>
      <c r="I919" s="95"/>
      <c r="J919" s="95"/>
      <c r="K919" s="95"/>
      <c r="L919" s="95"/>
      <c r="M919" s="256" t="s">
        <v>58</v>
      </c>
      <c r="N919" s="255">
        <f>SUM(N918:N918)</f>
        <v>7.1115604580781436E-2</v>
      </c>
      <c r="O919" s="93"/>
    </row>
    <row r="920" spans="1:15" x14ac:dyDescent="0.25">
      <c r="A920" s="107"/>
      <c r="B920" s="94"/>
      <c r="C920" s="94"/>
      <c r="D920" s="94"/>
      <c r="E920" s="94"/>
      <c r="F920" s="94"/>
      <c r="G920" s="94"/>
      <c r="H920" s="94"/>
      <c r="I920" s="94"/>
      <c r="J920" s="94"/>
      <c r="K920" s="94"/>
      <c r="L920" s="94"/>
      <c r="M920" s="94"/>
      <c r="N920" s="94"/>
      <c r="O920" s="93"/>
    </row>
    <row r="921" spans="1:15" x14ac:dyDescent="0.25">
      <c r="A921" s="418" t="s">
        <v>67</v>
      </c>
      <c r="B921" s="417" t="s">
        <v>106</v>
      </c>
      <c r="C921" s="417" t="s">
        <v>66</v>
      </c>
      <c r="D921" s="417" t="s">
        <v>65</v>
      </c>
      <c r="E921" s="417" t="s">
        <v>64</v>
      </c>
      <c r="F921" s="417" t="s">
        <v>40</v>
      </c>
      <c r="G921" s="417" t="s">
        <v>105</v>
      </c>
      <c r="H921" s="417" t="s">
        <v>104</v>
      </c>
      <c r="I921" s="417" t="s">
        <v>58</v>
      </c>
      <c r="J921" s="95"/>
      <c r="K921" s="95"/>
      <c r="L921" s="95"/>
      <c r="M921" s="95"/>
      <c r="N921" s="95"/>
      <c r="O921" s="93"/>
    </row>
    <row r="922" spans="1:15" ht="30" x14ac:dyDescent="0.25">
      <c r="A922" s="416">
        <v>10</v>
      </c>
      <c r="B922" s="415" t="s">
        <v>516</v>
      </c>
      <c r="C922" s="285"/>
      <c r="D922" s="283">
        <v>1.3</v>
      </c>
      <c r="E922" s="282" t="s">
        <v>64</v>
      </c>
      <c r="F922" s="282">
        <v>1</v>
      </c>
      <c r="G922" s="282"/>
      <c r="H922" s="282"/>
      <c r="I922" s="293">
        <f>IF(H922="",D922*F922,D922*F922*H922)</f>
        <v>1.3</v>
      </c>
      <c r="J922" s="142"/>
      <c r="K922" s="142"/>
      <c r="L922" s="142"/>
      <c r="M922" s="142"/>
      <c r="N922" s="142"/>
      <c r="O922" s="120"/>
    </row>
    <row r="923" spans="1:15" x14ac:dyDescent="0.25">
      <c r="A923" s="282">
        <v>20</v>
      </c>
      <c r="B923" s="285" t="s">
        <v>514</v>
      </c>
      <c r="C923" s="285"/>
      <c r="D923" s="283">
        <v>0.04</v>
      </c>
      <c r="E923" s="282" t="s">
        <v>512</v>
      </c>
      <c r="F923" s="282">
        <v>1</v>
      </c>
      <c r="G923" s="282" t="s">
        <v>525</v>
      </c>
      <c r="H923" s="282">
        <v>3</v>
      </c>
      <c r="I923" s="293">
        <f>IF(H923="",D923*F923,D923*F923*H923)</f>
        <v>0.12</v>
      </c>
      <c r="J923" s="94"/>
      <c r="K923" s="94"/>
      <c r="L923" s="94"/>
      <c r="M923" s="94"/>
      <c r="N923" s="94"/>
      <c r="O923" s="93"/>
    </row>
    <row r="924" spans="1:15" x14ac:dyDescent="0.25">
      <c r="A924" s="98"/>
      <c r="B924" s="95"/>
      <c r="C924" s="95"/>
      <c r="D924" s="95"/>
      <c r="E924" s="95"/>
      <c r="F924" s="95"/>
      <c r="G924" s="95"/>
      <c r="H924" s="256" t="s">
        <v>58</v>
      </c>
      <c r="I924" s="255">
        <f>SUM(I922:I923)</f>
        <v>1.42</v>
      </c>
      <c r="J924" s="95"/>
      <c r="K924" s="95"/>
      <c r="L924" s="95"/>
      <c r="M924" s="95"/>
      <c r="N924" s="95"/>
      <c r="O924" s="93"/>
    </row>
    <row r="925" spans="1:15" x14ac:dyDescent="0.25">
      <c r="A925" s="107"/>
      <c r="B925" s="94"/>
      <c r="C925" s="94"/>
      <c r="D925" s="94"/>
      <c r="E925" s="94"/>
      <c r="F925" s="94"/>
      <c r="G925" s="94"/>
      <c r="H925" s="94"/>
      <c r="I925" s="99"/>
      <c r="J925" s="94"/>
      <c r="K925" s="94"/>
      <c r="L925" s="94"/>
      <c r="M925" s="94"/>
      <c r="N925" s="94"/>
      <c r="O925" s="93"/>
    </row>
    <row r="926" spans="1:15" ht="15.75" thickBot="1" x14ac:dyDescent="0.3">
      <c r="A926" s="92"/>
      <c r="B926" s="91"/>
      <c r="C926" s="91"/>
      <c r="D926" s="91"/>
      <c r="E926" s="91"/>
      <c r="F926" s="91"/>
      <c r="G926" s="91"/>
      <c r="H926" s="91"/>
      <c r="I926" s="91"/>
      <c r="J926" s="91"/>
      <c r="K926" s="91"/>
      <c r="L926" s="91"/>
      <c r="M926" s="91"/>
      <c r="N926" s="91"/>
      <c r="O926" s="90"/>
    </row>
    <row r="927" spans="1:15" ht="15.75" thickBot="1" x14ac:dyDescent="0.3"/>
    <row r="928" spans="1:15" x14ac:dyDescent="0.25">
      <c r="A928" s="141"/>
      <c r="B928" s="140"/>
      <c r="C928" s="140"/>
      <c r="D928" s="140"/>
      <c r="E928" s="140"/>
      <c r="F928" s="140"/>
      <c r="G928" s="140"/>
      <c r="H928" s="140"/>
      <c r="I928" s="140"/>
      <c r="J928" s="272"/>
      <c r="K928" s="140"/>
      <c r="L928" s="140"/>
      <c r="M928" s="140"/>
      <c r="N928" s="140"/>
      <c r="O928" s="139"/>
    </row>
    <row r="929" spans="1:15" x14ac:dyDescent="0.25">
      <c r="A929" s="267" t="s">
        <v>57</v>
      </c>
      <c r="B929" s="133" t="s">
        <v>523</v>
      </c>
      <c r="C929" s="94"/>
      <c r="D929" s="94"/>
      <c r="E929" s="94"/>
      <c r="F929" s="94"/>
      <c r="G929" s="94"/>
      <c r="H929" s="94"/>
      <c r="I929" s="94"/>
      <c r="J929" s="271" t="s">
        <v>51</v>
      </c>
      <c r="K929" s="138">
        <v>81</v>
      </c>
      <c r="L929" s="94"/>
      <c r="M929" s="267" t="s">
        <v>113</v>
      </c>
      <c r="N929" s="100">
        <f>EN_06007_m+En_06007_p+EN_06007_t</f>
        <v>4.5697760000000001</v>
      </c>
      <c r="O929" s="93"/>
    </row>
    <row r="930" spans="1:15" x14ac:dyDescent="0.25">
      <c r="A930" s="267" t="s">
        <v>125</v>
      </c>
      <c r="B930" s="133" t="s">
        <v>21</v>
      </c>
      <c r="C930" s="94"/>
      <c r="D930" s="267" t="s">
        <v>122</v>
      </c>
      <c r="E930" s="94"/>
      <c r="F930" s="94"/>
      <c r="G930" s="94"/>
      <c r="H930" s="94"/>
      <c r="I930" s="94"/>
      <c r="J930" s="94"/>
      <c r="K930" s="94"/>
      <c r="L930" s="94"/>
      <c r="M930" s="267" t="s">
        <v>124</v>
      </c>
      <c r="N930" s="136">
        <v>1</v>
      </c>
      <c r="O930" s="93"/>
    </row>
    <row r="931" spans="1:15" x14ac:dyDescent="0.25">
      <c r="A931" s="267" t="s">
        <v>123</v>
      </c>
      <c r="B931" s="270" t="str">
        <f>'EN Assemblies'!B281</f>
        <v>Throttle body</v>
      </c>
      <c r="C931" s="94"/>
      <c r="D931" s="267" t="s">
        <v>119</v>
      </c>
      <c r="E931" s="94"/>
      <c r="F931" s="94"/>
      <c r="G931" s="94"/>
      <c r="H931" s="94"/>
      <c r="I931" s="94"/>
      <c r="J931" s="268" t="s">
        <v>122</v>
      </c>
      <c r="K931" s="94"/>
      <c r="L931" s="94"/>
      <c r="M931" s="94"/>
      <c r="N931" s="94"/>
      <c r="O931" s="93"/>
    </row>
    <row r="932" spans="1:15" x14ac:dyDescent="0.25">
      <c r="A932" s="267" t="s">
        <v>114</v>
      </c>
      <c r="B932" s="135" t="s">
        <v>816</v>
      </c>
      <c r="C932" s="94"/>
      <c r="D932" s="267" t="s">
        <v>116</v>
      </c>
      <c r="E932" s="94"/>
      <c r="F932" s="94"/>
      <c r="G932" s="94"/>
      <c r="H932" s="94"/>
      <c r="I932" s="94"/>
      <c r="J932" s="268" t="s">
        <v>119</v>
      </c>
      <c r="K932" s="94"/>
      <c r="L932" s="94"/>
      <c r="M932" s="267" t="s">
        <v>118</v>
      </c>
      <c r="N932" s="100">
        <f>N930*N929</f>
        <v>4.5697760000000001</v>
      </c>
      <c r="O932" s="93"/>
    </row>
    <row r="933" spans="1:15" x14ac:dyDescent="0.25">
      <c r="A933" s="267" t="s">
        <v>121</v>
      </c>
      <c r="B933" s="269" t="s">
        <v>815</v>
      </c>
      <c r="C933" s="94"/>
      <c r="D933" s="94"/>
      <c r="E933" s="94"/>
      <c r="F933" s="94"/>
      <c r="G933" s="94"/>
      <c r="H933" s="94"/>
      <c r="I933" s="94"/>
      <c r="J933" s="268" t="s">
        <v>116</v>
      </c>
      <c r="K933" s="94"/>
      <c r="L933" s="94"/>
      <c r="M933" s="94"/>
      <c r="N933" s="94"/>
      <c r="O933" s="93"/>
    </row>
    <row r="934" spans="1:15" x14ac:dyDescent="0.25">
      <c r="A934" s="267" t="s">
        <v>117</v>
      </c>
      <c r="B934" s="133" t="s">
        <v>23</v>
      </c>
      <c r="C934" s="94"/>
      <c r="D934" s="94"/>
      <c r="E934" s="94"/>
      <c r="F934" s="94"/>
      <c r="G934" s="94"/>
      <c r="H934" s="94"/>
      <c r="I934" s="94"/>
      <c r="J934" s="94"/>
      <c r="K934" s="94"/>
      <c r="L934" s="94"/>
      <c r="M934" s="94"/>
      <c r="N934" s="94"/>
      <c r="O934" s="93"/>
    </row>
    <row r="935" spans="1:15" x14ac:dyDescent="0.25">
      <c r="A935" s="267" t="s">
        <v>115</v>
      </c>
      <c r="B935" s="133"/>
      <c r="C935" s="94"/>
      <c r="D935" s="94"/>
      <c r="E935" s="94"/>
      <c r="F935" s="94"/>
      <c r="G935" s="94"/>
      <c r="H935" s="94"/>
      <c r="I935" s="94"/>
      <c r="J935" s="94"/>
      <c r="K935" s="94"/>
      <c r="L935" s="94"/>
      <c r="M935" s="94"/>
      <c r="N935" s="94"/>
      <c r="O935" s="93"/>
    </row>
    <row r="936" spans="1:15" x14ac:dyDescent="0.25">
      <c r="A936" s="266"/>
      <c r="B936" s="265"/>
      <c r="C936" s="265"/>
      <c r="D936" s="265"/>
      <c r="E936" s="265"/>
      <c r="F936" s="94"/>
      <c r="G936" s="94"/>
      <c r="H936" s="94"/>
      <c r="I936" s="94"/>
      <c r="J936" s="94"/>
      <c r="K936" s="94"/>
      <c r="L936" s="94"/>
      <c r="M936" s="94"/>
      <c r="N936" s="94"/>
      <c r="O936" s="93"/>
    </row>
    <row r="937" spans="1:15" x14ac:dyDescent="0.25">
      <c r="A937" s="264" t="s">
        <v>67</v>
      </c>
      <c r="B937" s="263" t="s">
        <v>112</v>
      </c>
      <c r="C937" s="263" t="s">
        <v>66</v>
      </c>
      <c r="D937" s="263" t="s">
        <v>65</v>
      </c>
      <c r="E937" s="263" t="s">
        <v>81</v>
      </c>
      <c r="F937" s="274" t="s">
        <v>80</v>
      </c>
      <c r="G937" s="274" t="s">
        <v>79</v>
      </c>
      <c r="H937" s="274" t="s">
        <v>78</v>
      </c>
      <c r="I937" s="274" t="s">
        <v>111</v>
      </c>
      <c r="J937" s="274" t="s">
        <v>110</v>
      </c>
      <c r="K937" s="274" t="s">
        <v>109</v>
      </c>
      <c r="L937" s="274" t="s">
        <v>108</v>
      </c>
      <c r="M937" s="274" t="s">
        <v>40</v>
      </c>
      <c r="N937" s="274" t="s">
        <v>58</v>
      </c>
      <c r="O937" s="93"/>
    </row>
    <row r="938" spans="1:15" x14ac:dyDescent="0.25">
      <c r="A938" s="282">
        <v>10</v>
      </c>
      <c r="B938" s="282" t="s">
        <v>519</v>
      </c>
      <c r="C938" s="282"/>
      <c r="D938" s="283">
        <v>2.25</v>
      </c>
      <c r="E938" s="282">
        <v>60</v>
      </c>
      <c r="F938" s="282" t="s">
        <v>68</v>
      </c>
      <c r="G938" s="282">
        <v>2</v>
      </c>
      <c r="H938" s="278" t="s">
        <v>68</v>
      </c>
      <c r="I938" s="281" t="s">
        <v>814</v>
      </c>
      <c r="J938" s="403">
        <f>0.06*0.002</f>
        <v>1.2E-4</v>
      </c>
      <c r="K938" s="279">
        <v>0.08</v>
      </c>
      <c r="L938" s="278">
        <v>7860</v>
      </c>
      <c r="M938" s="284">
        <v>1</v>
      </c>
      <c r="N938" s="276">
        <f>IF(J938="",D938*M938,D938*J938*K938*L938*M938)</f>
        <v>0.16977600000000001</v>
      </c>
      <c r="O938" s="143"/>
    </row>
    <row r="939" spans="1:15" x14ac:dyDescent="0.25">
      <c r="A939" s="98"/>
      <c r="B939" s="95"/>
      <c r="C939" s="95"/>
      <c r="D939" s="95"/>
      <c r="E939" s="95"/>
      <c r="F939" s="95"/>
      <c r="G939" s="95"/>
      <c r="H939" s="95"/>
      <c r="I939" s="95"/>
      <c r="J939" s="95"/>
      <c r="K939" s="95"/>
      <c r="L939" s="95"/>
      <c r="M939" s="256" t="s">
        <v>58</v>
      </c>
      <c r="N939" s="255">
        <f>SUM(N938:N938)</f>
        <v>0.16977600000000001</v>
      </c>
      <c r="O939" s="93"/>
    </row>
    <row r="940" spans="1:15" x14ac:dyDescent="0.25">
      <c r="A940" s="107"/>
      <c r="B940" s="94"/>
      <c r="C940" s="94"/>
      <c r="D940" s="94"/>
      <c r="E940" s="94"/>
      <c r="F940" s="94"/>
      <c r="G940" s="94"/>
      <c r="H940" s="94"/>
      <c r="I940" s="94"/>
      <c r="J940" s="94"/>
      <c r="K940" s="94"/>
      <c r="L940" s="94"/>
      <c r="M940" s="94"/>
      <c r="N940" s="94"/>
      <c r="O940" s="93"/>
    </row>
    <row r="941" spans="1:15" x14ac:dyDescent="0.25">
      <c r="A941" s="407" t="s">
        <v>67</v>
      </c>
      <c r="B941" s="274" t="s">
        <v>106</v>
      </c>
      <c r="C941" s="274" t="s">
        <v>66</v>
      </c>
      <c r="D941" s="274" t="s">
        <v>65</v>
      </c>
      <c r="E941" s="274" t="s">
        <v>64</v>
      </c>
      <c r="F941" s="274" t="s">
        <v>40</v>
      </c>
      <c r="G941" s="274" t="s">
        <v>105</v>
      </c>
      <c r="H941" s="274" t="s">
        <v>104</v>
      </c>
      <c r="I941" s="274" t="s">
        <v>58</v>
      </c>
      <c r="J941" s="95"/>
      <c r="K941" s="95"/>
      <c r="L941" s="95"/>
      <c r="M941" s="95"/>
      <c r="N941" s="95"/>
      <c r="O941" s="93"/>
    </row>
    <row r="942" spans="1:15" ht="30" x14ac:dyDescent="0.25">
      <c r="A942" s="416">
        <v>10</v>
      </c>
      <c r="B942" s="415" t="s">
        <v>516</v>
      </c>
      <c r="C942" s="285"/>
      <c r="D942" s="283">
        <v>1.3</v>
      </c>
      <c r="E942" s="282" t="s">
        <v>64</v>
      </c>
      <c r="F942" s="282">
        <v>1</v>
      </c>
      <c r="G942" s="282"/>
      <c r="H942" s="282"/>
      <c r="I942" s="293">
        <f>IF(H942="",D942*F942,D942*F942*H942)</f>
        <v>1.3</v>
      </c>
      <c r="J942" s="142"/>
      <c r="K942" s="142"/>
      <c r="L942" s="142"/>
      <c r="M942" s="142"/>
      <c r="N942" s="142"/>
      <c r="O942" s="120"/>
    </row>
    <row r="943" spans="1:15" x14ac:dyDescent="0.25">
      <c r="A943" s="282">
        <v>20</v>
      </c>
      <c r="B943" s="285" t="s">
        <v>527</v>
      </c>
      <c r="C943" s="285"/>
      <c r="D943" s="283">
        <v>0.01</v>
      </c>
      <c r="E943" s="282" t="s">
        <v>101</v>
      </c>
      <c r="F943" s="282">
        <v>35</v>
      </c>
      <c r="G943" s="282" t="s">
        <v>525</v>
      </c>
      <c r="H943" s="282">
        <v>3</v>
      </c>
      <c r="I943" s="293">
        <f>IF(H943="",D943*F943,D943*F943*H943)</f>
        <v>1.05</v>
      </c>
      <c r="J943" s="94"/>
      <c r="K943" s="94"/>
      <c r="L943" s="94"/>
      <c r="M943" s="94"/>
      <c r="N943" s="94"/>
      <c r="O943" s="93"/>
    </row>
    <row r="944" spans="1:15" x14ac:dyDescent="0.25">
      <c r="A944" s="282">
        <v>30</v>
      </c>
      <c r="B944" s="285" t="s">
        <v>539</v>
      </c>
      <c r="C944" s="285"/>
      <c r="D944" s="283">
        <v>0.25</v>
      </c>
      <c r="E944" s="282" t="s">
        <v>537</v>
      </c>
      <c r="F944" s="282">
        <v>3</v>
      </c>
      <c r="G944" s="282"/>
      <c r="H944" s="282"/>
      <c r="I944" s="276">
        <f>IF(H944="",D944*F944,D944*F944*H944)</f>
        <v>0.75</v>
      </c>
      <c r="J944" s="99"/>
      <c r="K944" s="99"/>
      <c r="L944" s="99"/>
      <c r="M944" s="99"/>
      <c r="N944" s="99"/>
      <c r="O944" s="130"/>
    </row>
    <row r="945" spans="1:15" x14ac:dyDescent="0.25">
      <c r="A945" s="282">
        <v>40</v>
      </c>
      <c r="B945" s="285" t="s">
        <v>103</v>
      </c>
      <c r="C945" s="285"/>
      <c r="D945" s="283">
        <v>0.15</v>
      </c>
      <c r="E945" s="282" t="s">
        <v>101</v>
      </c>
      <c r="F945" s="282">
        <v>2</v>
      </c>
      <c r="G945" s="282"/>
      <c r="H945" s="282"/>
      <c r="I945" s="276">
        <f>IF(H945="",D945*F945,D945*F945*H945)</f>
        <v>0.3</v>
      </c>
      <c r="J945" s="94"/>
      <c r="K945" s="94"/>
      <c r="L945" s="94"/>
      <c r="M945" s="94"/>
      <c r="N945" s="94"/>
      <c r="O945" s="93"/>
    </row>
    <row r="946" spans="1:15" x14ac:dyDescent="0.25">
      <c r="A946" s="98"/>
      <c r="B946" s="95"/>
      <c r="C946" s="95"/>
      <c r="D946" s="95"/>
      <c r="E946" s="95"/>
      <c r="F946" s="95"/>
      <c r="G946" s="95"/>
      <c r="H946" s="256" t="s">
        <v>58</v>
      </c>
      <c r="I946" s="255">
        <f>SUM(I942:I945)</f>
        <v>3.4</v>
      </c>
      <c r="J946" s="95"/>
      <c r="K946" s="95"/>
      <c r="L946" s="95"/>
      <c r="M946" s="95"/>
      <c r="N946" s="95"/>
      <c r="O946" s="93"/>
    </row>
    <row r="947" spans="1:15" x14ac:dyDescent="0.25">
      <c r="A947" s="360"/>
      <c r="B947" s="99"/>
      <c r="C947" s="99"/>
      <c r="D947" s="99"/>
      <c r="E947" s="99"/>
      <c r="F947" s="99"/>
      <c r="G947" s="99"/>
      <c r="H947" s="359"/>
      <c r="I947" s="358"/>
      <c r="J947" s="99"/>
      <c r="K947" s="94"/>
      <c r="L947" s="94"/>
      <c r="M947" s="94"/>
      <c r="N947" s="94"/>
      <c r="O947" s="93"/>
    </row>
    <row r="948" spans="1:15" x14ac:dyDescent="0.25">
      <c r="A948" s="407" t="s">
        <v>67</v>
      </c>
      <c r="B948" s="274" t="s">
        <v>13</v>
      </c>
      <c r="C948" s="274" t="s">
        <v>66</v>
      </c>
      <c r="D948" s="274" t="s">
        <v>65</v>
      </c>
      <c r="E948" s="274" t="s">
        <v>64</v>
      </c>
      <c r="F948" s="274" t="s">
        <v>40</v>
      </c>
      <c r="G948" s="274" t="s">
        <v>63</v>
      </c>
      <c r="H948" s="274" t="s">
        <v>741</v>
      </c>
      <c r="I948" s="274" t="s">
        <v>58</v>
      </c>
      <c r="J948" s="95"/>
      <c r="K948" s="94"/>
      <c r="L948" s="94"/>
      <c r="M948" s="94"/>
      <c r="N948" s="94"/>
      <c r="O948" s="93"/>
    </row>
    <row r="949" spans="1:15" x14ac:dyDescent="0.25">
      <c r="A949" s="282">
        <v>10</v>
      </c>
      <c r="B949" s="282" t="s">
        <v>61</v>
      </c>
      <c r="C949" s="282"/>
      <c r="D949" s="283">
        <v>500</v>
      </c>
      <c r="E949" s="282" t="s">
        <v>59</v>
      </c>
      <c r="F949" s="282">
        <v>6</v>
      </c>
      <c r="G949" s="282">
        <v>3000</v>
      </c>
      <c r="H949" s="282">
        <v>1</v>
      </c>
      <c r="I949" s="276">
        <f>D949*F949/G949*H949</f>
        <v>1</v>
      </c>
      <c r="J949" s="99"/>
      <c r="K949" s="99"/>
      <c r="L949" s="99"/>
      <c r="M949" s="99"/>
      <c r="N949" s="99"/>
      <c r="O949" s="130"/>
    </row>
    <row r="950" spans="1:15" x14ac:dyDescent="0.25">
      <c r="A950" s="98"/>
      <c r="B950" s="95"/>
      <c r="C950" s="95"/>
      <c r="D950" s="95"/>
      <c r="E950" s="95"/>
      <c r="F950" s="95"/>
      <c r="G950" s="95"/>
      <c r="H950" s="256" t="s">
        <v>58</v>
      </c>
      <c r="I950" s="255">
        <f>SUM(I949:I949)</f>
        <v>1</v>
      </c>
      <c r="J950" s="95"/>
      <c r="K950" s="94"/>
      <c r="L950" s="94"/>
      <c r="M950" s="94"/>
      <c r="N950" s="94"/>
      <c r="O950" s="93"/>
    </row>
    <row r="951" spans="1:15" ht="15.75" thickBot="1" x14ac:dyDescent="0.3">
      <c r="A951" s="92"/>
      <c r="B951" s="91"/>
      <c r="C951" s="91"/>
      <c r="D951" s="91"/>
      <c r="E951" s="91"/>
      <c r="F951" s="91"/>
      <c r="G951" s="91"/>
      <c r="H951" s="91"/>
      <c r="I951" s="91"/>
      <c r="J951" s="91"/>
      <c r="K951" s="91"/>
      <c r="L951" s="91"/>
      <c r="M951" s="91"/>
      <c r="N951" s="91"/>
      <c r="O951" s="90"/>
    </row>
    <row r="952" spans="1:15" ht="15.75" thickBot="1" x14ac:dyDescent="0.3"/>
    <row r="953" spans="1:15" x14ac:dyDescent="0.25">
      <c r="A953" s="141"/>
      <c r="B953" s="140"/>
      <c r="C953" s="140"/>
      <c r="D953" s="140"/>
      <c r="E953" s="140"/>
      <c r="F953" s="140"/>
      <c r="G953" s="140"/>
      <c r="H953" s="140"/>
      <c r="I953" s="140"/>
      <c r="J953" s="272"/>
      <c r="K953" s="140"/>
      <c r="L953" s="140"/>
      <c r="M953" s="140"/>
      <c r="N953" s="140"/>
      <c r="O953" s="139"/>
    </row>
    <row r="954" spans="1:15" x14ac:dyDescent="0.25">
      <c r="A954" s="267" t="s">
        <v>57</v>
      </c>
      <c r="B954" s="133" t="s">
        <v>523</v>
      </c>
      <c r="C954" s="94"/>
      <c r="D954" s="94"/>
      <c r="E954" s="94"/>
      <c r="F954" s="94"/>
      <c r="G954" s="94"/>
      <c r="H954" s="94"/>
      <c r="I954" s="94"/>
      <c r="J954" s="271" t="s">
        <v>51</v>
      </c>
      <c r="K954" s="138">
        <v>81</v>
      </c>
      <c r="L954" s="94"/>
      <c r="M954" s="267" t="s">
        <v>113</v>
      </c>
      <c r="N954" s="100">
        <f>EN_06008_m+EN_06008_p</f>
        <v>2.0404331222440728</v>
      </c>
      <c r="O954" s="93"/>
    </row>
    <row r="955" spans="1:15" x14ac:dyDescent="0.25">
      <c r="A955" s="267" t="s">
        <v>125</v>
      </c>
      <c r="B955" s="133" t="s">
        <v>21</v>
      </c>
      <c r="C955" s="94"/>
      <c r="D955" s="267" t="s">
        <v>122</v>
      </c>
      <c r="E955" s="94"/>
      <c r="F955" s="94"/>
      <c r="G955" s="94"/>
      <c r="H955" s="94"/>
      <c r="I955" s="94"/>
      <c r="J955" s="94"/>
      <c r="K955" s="94"/>
      <c r="L955" s="94"/>
      <c r="M955" s="267" t="s">
        <v>124</v>
      </c>
      <c r="N955" s="136">
        <v>1</v>
      </c>
      <c r="O955" s="93"/>
    </row>
    <row r="956" spans="1:15" x14ac:dyDescent="0.25">
      <c r="A956" s="267" t="s">
        <v>123</v>
      </c>
      <c r="B956" s="270" t="str">
        <f>'EN Assemblies'!B281</f>
        <v>Throttle body</v>
      </c>
      <c r="C956" s="94"/>
      <c r="D956" s="267" t="s">
        <v>119</v>
      </c>
      <c r="E956" s="94"/>
      <c r="F956" s="94"/>
      <c r="G956" s="94"/>
      <c r="H956" s="94"/>
      <c r="I956" s="94"/>
      <c r="J956" s="268" t="s">
        <v>122</v>
      </c>
      <c r="K956" s="94"/>
      <c r="L956" s="94"/>
      <c r="M956" s="94"/>
      <c r="N956" s="94"/>
      <c r="O956" s="93"/>
    </row>
    <row r="957" spans="1:15" x14ac:dyDescent="0.25">
      <c r="A957" s="267" t="s">
        <v>114</v>
      </c>
      <c r="B957" s="135" t="s">
        <v>813</v>
      </c>
      <c r="C957" s="94"/>
      <c r="D957" s="267" t="s">
        <v>116</v>
      </c>
      <c r="E957" s="94"/>
      <c r="F957" s="94"/>
      <c r="G957" s="94"/>
      <c r="H957" s="94"/>
      <c r="I957" s="94"/>
      <c r="J957" s="268" t="s">
        <v>119</v>
      </c>
      <c r="K957" s="94"/>
      <c r="L957" s="94"/>
      <c r="M957" s="267" t="s">
        <v>118</v>
      </c>
      <c r="N957" s="100">
        <f>N955*N954</f>
        <v>2.0404331222440728</v>
      </c>
      <c r="O957" s="93"/>
    </row>
    <row r="958" spans="1:15" x14ac:dyDescent="0.25">
      <c r="A958" s="267" t="s">
        <v>121</v>
      </c>
      <c r="B958" s="269" t="s">
        <v>812</v>
      </c>
      <c r="C958" s="94"/>
      <c r="D958" s="94"/>
      <c r="E958" s="94"/>
      <c r="F958" s="94"/>
      <c r="G958" s="94"/>
      <c r="H958" s="94"/>
      <c r="I958" s="94"/>
      <c r="J958" s="268" t="s">
        <v>116</v>
      </c>
      <c r="K958" s="94"/>
      <c r="L958" s="94"/>
      <c r="M958" s="94"/>
      <c r="N958" s="94"/>
      <c r="O958" s="93"/>
    </row>
    <row r="959" spans="1:15" x14ac:dyDescent="0.25">
      <c r="A959" s="267" t="s">
        <v>117</v>
      </c>
      <c r="B959" s="133" t="s">
        <v>23</v>
      </c>
      <c r="C959" s="94"/>
      <c r="D959" s="94"/>
      <c r="E959" s="94"/>
      <c r="F959" s="94"/>
      <c r="G959" s="94"/>
      <c r="H959" s="94"/>
      <c r="I959" s="94"/>
      <c r="J959" s="94"/>
      <c r="K959" s="94"/>
      <c r="L959" s="94"/>
      <c r="M959" s="94"/>
      <c r="N959" s="94"/>
      <c r="O959" s="93"/>
    </row>
    <row r="960" spans="1:15" x14ac:dyDescent="0.25">
      <c r="A960" s="267" t="s">
        <v>115</v>
      </c>
      <c r="B960" s="133"/>
      <c r="C960" s="94"/>
      <c r="D960" s="94"/>
      <c r="E960" s="94"/>
      <c r="F960" s="94"/>
      <c r="G960" s="94"/>
      <c r="H960" s="94"/>
      <c r="I960" s="94"/>
      <c r="J960" s="94"/>
      <c r="K960" s="94"/>
      <c r="L960" s="94"/>
      <c r="M960" s="94"/>
      <c r="N960" s="94"/>
      <c r="O960" s="93"/>
    </row>
    <row r="961" spans="1:15" x14ac:dyDescent="0.25">
      <c r="A961" s="266"/>
      <c r="B961" s="265"/>
      <c r="C961" s="265"/>
      <c r="D961" s="265"/>
      <c r="E961" s="265"/>
      <c r="F961" s="94"/>
      <c r="G961" s="94"/>
      <c r="H961" s="94"/>
      <c r="I961" s="94"/>
      <c r="J961" s="94"/>
      <c r="K961" s="94"/>
      <c r="L961" s="94"/>
      <c r="M961" s="94"/>
      <c r="N961" s="94"/>
      <c r="O961" s="93"/>
    </row>
    <row r="962" spans="1:15" x14ac:dyDescent="0.25">
      <c r="A962" s="264" t="s">
        <v>67</v>
      </c>
      <c r="B962" s="263" t="s">
        <v>112</v>
      </c>
      <c r="C962" s="263" t="s">
        <v>66</v>
      </c>
      <c r="D962" s="263" t="s">
        <v>65</v>
      </c>
      <c r="E962" s="263" t="s">
        <v>81</v>
      </c>
      <c r="F962" s="406" t="s">
        <v>80</v>
      </c>
      <c r="G962" s="406" t="s">
        <v>79</v>
      </c>
      <c r="H962" s="406" t="s">
        <v>78</v>
      </c>
      <c r="I962" s="406" t="s">
        <v>111</v>
      </c>
      <c r="J962" s="406" t="s">
        <v>110</v>
      </c>
      <c r="K962" s="406" t="s">
        <v>109</v>
      </c>
      <c r="L962" s="406" t="s">
        <v>108</v>
      </c>
      <c r="M962" s="406" t="s">
        <v>40</v>
      </c>
      <c r="N962" s="406" t="s">
        <v>58</v>
      </c>
      <c r="O962" s="93"/>
    </row>
    <row r="963" spans="1:15" x14ac:dyDescent="0.25">
      <c r="A963" s="405">
        <v>10</v>
      </c>
      <c r="B963" s="405" t="s">
        <v>519</v>
      </c>
      <c r="C963" s="405"/>
      <c r="D963" s="414">
        <v>2.25</v>
      </c>
      <c r="E963" s="405">
        <v>25</v>
      </c>
      <c r="F963" s="405" t="s">
        <v>68</v>
      </c>
      <c r="G963" s="405"/>
      <c r="H963" s="410"/>
      <c r="I963" s="413" t="s">
        <v>811</v>
      </c>
      <c r="J963" s="412">
        <f>PI()*0.0125*0.0125</f>
        <v>4.9087385212340522E-4</v>
      </c>
      <c r="K963" s="411">
        <v>0.03</v>
      </c>
      <c r="L963" s="410">
        <v>7860</v>
      </c>
      <c r="M963" s="409">
        <v>1</v>
      </c>
      <c r="N963" s="408">
        <f>IF(J963="",D963*M963,D963*J963*K963*L963*M963)</f>
        <v>0.26043312224407261</v>
      </c>
      <c r="O963" s="143"/>
    </row>
    <row r="964" spans="1:15" x14ac:dyDescent="0.25">
      <c r="A964" s="98"/>
      <c r="B964" s="95"/>
      <c r="C964" s="95"/>
      <c r="D964" s="95"/>
      <c r="E964" s="95"/>
      <c r="F964" s="95"/>
      <c r="G964" s="95"/>
      <c r="H964" s="95"/>
      <c r="I964" s="95"/>
      <c r="J964" s="95"/>
      <c r="K964" s="95"/>
      <c r="L964" s="95"/>
      <c r="M964" s="256" t="s">
        <v>58</v>
      </c>
      <c r="N964" s="255">
        <f>SUM(N963:N963)</f>
        <v>0.26043312224407261</v>
      </c>
      <c r="O964" s="93"/>
    </row>
    <row r="965" spans="1:15" x14ac:dyDescent="0.25">
      <c r="A965" s="107"/>
      <c r="B965" s="94"/>
      <c r="C965" s="94"/>
      <c r="D965" s="94"/>
      <c r="E965" s="94"/>
      <c r="F965" s="94"/>
      <c r="G965" s="94"/>
      <c r="H965" s="94"/>
      <c r="I965" s="94"/>
      <c r="J965" s="94"/>
      <c r="K965" s="94"/>
      <c r="L965" s="94"/>
      <c r="M965" s="94"/>
      <c r="N965" s="94"/>
      <c r="O965" s="93"/>
    </row>
    <row r="966" spans="1:15" x14ac:dyDescent="0.25">
      <c r="A966" s="407" t="s">
        <v>67</v>
      </c>
      <c r="B966" s="406" t="s">
        <v>106</v>
      </c>
      <c r="C966" s="406" t="s">
        <v>66</v>
      </c>
      <c r="D966" s="406" t="s">
        <v>65</v>
      </c>
      <c r="E966" s="406" t="s">
        <v>64</v>
      </c>
      <c r="F966" s="406" t="s">
        <v>40</v>
      </c>
      <c r="G966" s="406" t="s">
        <v>105</v>
      </c>
      <c r="H966" s="406" t="s">
        <v>104</v>
      </c>
      <c r="I966" s="406" t="s">
        <v>58</v>
      </c>
      <c r="J966" s="95"/>
      <c r="K966" s="95"/>
      <c r="L966" s="95"/>
      <c r="M966" s="95"/>
      <c r="N966" s="95"/>
      <c r="O966" s="93"/>
    </row>
    <row r="967" spans="1:15" ht="18.75" customHeight="1" x14ac:dyDescent="0.25">
      <c r="A967" s="405">
        <v>10</v>
      </c>
      <c r="B967" s="404" t="s">
        <v>516</v>
      </c>
      <c r="C967" s="285"/>
      <c r="D967" s="283">
        <v>1.3</v>
      </c>
      <c r="E967" s="282" t="s">
        <v>64</v>
      </c>
      <c r="F967" s="282">
        <v>1</v>
      </c>
      <c r="G967" s="282"/>
      <c r="H967" s="282"/>
      <c r="I967" s="293">
        <f>IF(H967="",D967*F967,D967*F967*H967)</f>
        <v>1.3</v>
      </c>
      <c r="J967" s="142"/>
      <c r="K967" s="142"/>
      <c r="L967" s="142"/>
      <c r="M967" s="142"/>
      <c r="N967" s="142"/>
      <c r="O967" s="120"/>
    </row>
    <row r="968" spans="1:15" x14ac:dyDescent="0.25">
      <c r="A968" s="282">
        <v>20</v>
      </c>
      <c r="B968" s="285" t="s">
        <v>514</v>
      </c>
      <c r="C968" s="285"/>
      <c r="D968" s="283">
        <v>0.04</v>
      </c>
      <c r="E968" s="282" t="s">
        <v>512</v>
      </c>
      <c r="F968" s="282">
        <v>4</v>
      </c>
      <c r="G968" s="282" t="s">
        <v>525</v>
      </c>
      <c r="H968" s="282">
        <v>3</v>
      </c>
      <c r="I968" s="293">
        <f>IF(H968="",D968*F968,D968*F968*H968)</f>
        <v>0.48</v>
      </c>
      <c r="J968" s="94"/>
      <c r="K968" s="94"/>
      <c r="L968" s="94"/>
      <c r="M968" s="94"/>
      <c r="N968" s="94"/>
      <c r="O968" s="93"/>
    </row>
    <row r="969" spans="1:15" x14ac:dyDescent="0.25">
      <c r="A969" s="98"/>
      <c r="B969" s="95"/>
      <c r="C969" s="95"/>
      <c r="D969" s="95"/>
      <c r="E969" s="95"/>
      <c r="F969" s="95"/>
      <c r="G969" s="95"/>
      <c r="H969" s="256" t="s">
        <v>58</v>
      </c>
      <c r="I969" s="255">
        <f>SUM(I967:I968)</f>
        <v>1.78</v>
      </c>
      <c r="J969" s="95"/>
      <c r="K969" s="95"/>
      <c r="L969" s="95"/>
      <c r="M969" s="95"/>
      <c r="N969" s="95"/>
      <c r="O969" s="93"/>
    </row>
    <row r="970" spans="1:15" x14ac:dyDescent="0.25">
      <c r="A970" s="107"/>
      <c r="B970" s="94"/>
      <c r="C970" s="94"/>
      <c r="D970" s="94"/>
      <c r="E970" s="94"/>
      <c r="F970" s="94"/>
      <c r="G970" s="94"/>
      <c r="H970" s="94"/>
      <c r="I970" s="99"/>
      <c r="J970" s="94"/>
      <c r="K970" s="94"/>
      <c r="L970" s="94"/>
      <c r="M970" s="94"/>
      <c r="N970" s="94"/>
      <c r="O970" s="93"/>
    </row>
    <row r="971" spans="1:15" ht="15.75" thickBot="1" x14ac:dyDescent="0.3">
      <c r="A971" s="92"/>
      <c r="B971" s="91"/>
      <c r="C971" s="91"/>
      <c r="D971" s="91"/>
      <c r="E971" s="91"/>
      <c r="F971" s="91"/>
      <c r="G971" s="91"/>
      <c r="H971" s="91"/>
      <c r="I971" s="91"/>
      <c r="J971" s="91"/>
      <c r="K971" s="91"/>
      <c r="L971" s="91"/>
      <c r="M971" s="91"/>
      <c r="N971" s="91"/>
      <c r="O971" s="90"/>
    </row>
    <row r="972" spans="1:15" ht="15.75" thickBot="1" x14ac:dyDescent="0.3"/>
    <row r="973" spans="1:15" x14ac:dyDescent="0.25">
      <c r="A973" s="141"/>
      <c r="B973" s="140"/>
      <c r="C973" s="140"/>
      <c r="D973" s="140"/>
      <c r="E973" s="140"/>
      <c r="F973" s="140"/>
      <c r="G973" s="140"/>
      <c r="H973" s="140"/>
      <c r="I973" s="140"/>
      <c r="J973" s="272"/>
      <c r="K973" s="140"/>
      <c r="L973" s="140"/>
      <c r="M973" s="140"/>
      <c r="N973" s="140"/>
      <c r="O973" s="139"/>
    </row>
    <row r="974" spans="1:15" x14ac:dyDescent="0.25">
      <c r="A974" s="267" t="s">
        <v>57</v>
      </c>
      <c r="B974" s="133" t="s">
        <v>523</v>
      </c>
      <c r="C974" s="94"/>
      <c r="D974" s="94"/>
      <c r="E974" s="94"/>
      <c r="F974" s="94"/>
      <c r="G974" s="94"/>
      <c r="H974" s="94"/>
      <c r="I974" s="94"/>
      <c r="J974" s="271" t="s">
        <v>51</v>
      </c>
      <c r="K974" s="138">
        <v>81</v>
      </c>
      <c r="L974" s="94"/>
      <c r="M974" s="267" t="s">
        <v>113</v>
      </c>
      <c r="N974" s="100">
        <f>EN_06009_m+EN_06009_p</f>
        <v>12.504852049313811</v>
      </c>
      <c r="O974" s="93"/>
    </row>
    <row r="975" spans="1:15" x14ac:dyDescent="0.25">
      <c r="A975" s="267" t="s">
        <v>125</v>
      </c>
      <c r="B975" s="133" t="s">
        <v>21</v>
      </c>
      <c r="D975" s="267" t="s">
        <v>122</v>
      </c>
      <c r="E975" s="94"/>
      <c r="F975" s="94"/>
      <c r="G975" s="94"/>
      <c r="H975" s="94"/>
      <c r="I975" s="94"/>
      <c r="J975" s="94"/>
      <c r="K975" s="94"/>
      <c r="L975" s="94"/>
      <c r="M975" s="267" t="s">
        <v>124</v>
      </c>
      <c r="N975" s="136">
        <v>1</v>
      </c>
      <c r="O975" s="93"/>
    </row>
    <row r="976" spans="1:15" x14ac:dyDescent="0.25">
      <c r="A976" s="267" t="s">
        <v>123</v>
      </c>
      <c r="B976" s="270" t="str">
        <f>'EN Assemblies'!B281</f>
        <v>Throttle body</v>
      </c>
      <c r="C976" s="94"/>
      <c r="D976" s="267" t="s">
        <v>119</v>
      </c>
      <c r="E976" s="94"/>
      <c r="F976" s="94"/>
      <c r="G976" s="94"/>
      <c r="H976" s="94"/>
      <c r="I976" s="94"/>
      <c r="J976" s="268" t="s">
        <v>122</v>
      </c>
      <c r="K976" s="94"/>
      <c r="L976" s="94"/>
      <c r="M976" s="94"/>
      <c r="N976" s="94"/>
      <c r="O976" s="93"/>
    </row>
    <row r="977" spans="1:15" x14ac:dyDescent="0.25">
      <c r="A977" s="267" t="s">
        <v>114</v>
      </c>
      <c r="B977" s="135" t="s">
        <v>810</v>
      </c>
      <c r="C977" s="94"/>
      <c r="D977" s="267" t="s">
        <v>116</v>
      </c>
      <c r="E977" s="94"/>
      <c r="F977" s="94"/>
      <c r="G977" s="94"/>
      <c r="H977" s="94"/>
      <c r="I977" s="94"/>
      <c r="J977" s="268" t="s">
        <v>119</v>
      </c>
      <c r="K977" s="94"/>
      <c r="L977" s="94"/>
      <c r="M977" s="267" t="s">
        <v>118</v>
      </c>
      <c r="N977" s="100">
        <f>N975*N974</f>
        <v>12.504852049313811</v>
      </c>
      <c r="O977" s="93"/>
    </row>
    <row r="978" spans="1:15" x14ac:dyDescent="0.25">
      <c r="A978" s="267" t="s">
        <v>121</v>
      </c>
      <c r="B978" s="269" t="s">
        <v>809</v>
      </c>
      <c r="C978" s="94"/>
      <c r="D978" s="94"/>
      <c r="E978" s="94"/>
      <c r="F978" s="94"/>
      <c r="G978" s="94"/>
      <c r="H978" s="94"/>
      <c r="I978" s="94"/>
      <c r="J978" s="268" t="s">
        <v>116</v>
      </c>
      <c r="K978" s="94"/>
      <c r="L978" s="94"/>
      <c r="M978" s="94"/>
      <c r="N978" s="94"/>
      <c r="O978" s="93"/>
    </row>
    <row r="979" spans="1:15" x14ac:dyDescent="0.25">
      <c r="A979" s="267" t="s">
        <v>117</v>
      </c>
      <c r="B979" s="133" t="s">
        <v>23</v>
      </c>
      <c r="C979" s="94"/>
      <c r="D979" s="94"/>
      <c r="E979" s="94"/>
      <c r="F979" s="94"/>
      <c r="G979" s="94"/>
      <c r="H979" s="94"/>
      <c r="I979" s="94"/>
      <c r="J979" s="94"/>
      <c r="K979" s="94"/>
      <c r="L979" s="94"/>
      <c r="M979" s="94"/>
      <c r="N979" s="94"/>
      <c r="O979" s="93"/>
    </row>
    <row r="980" spans="1:15" x14ac:dyDescent="0.25">
      <c r="A980" s="267" t="s">
        <v>115</v>
      </c>
      <c r="B980" s="133"/>
      <c r="C980" s="94"/>
      <c r="D980" s="94"/>
      <c r="E980" s="94"/>
      <c r="F980" s="94"/>
      <c r="G980" s="94"/>
      <c r="H980" s="94"/>
      <c r="I980" s="94"/>
      <c r="J980" s="94"/>
      <c r="K980" s="94"/>
      <c r="L980" s="94"/>
      <c r="M980" s="94"/>
      <c r="N980" s="94"/>
      <c r="O980" s="93"/>
    </row>
    <row r="981" spans="1:15" x14ac:dyDescent="0.25">
      <c r="A981" s="266"/>
      <c r="B981" s="265"/>
      <c r="C981" s="265"/>
      <c r="D981" s="265"/>
      <c r="E981" s="265"/>
      <c r="F981" s="94"/>
      <c r="G981" s="94"/>
      <c r="H981" s="94"/>
      <c r="I981" s="94"/>
      <c r="J981" s="94"/>
      <c r="K981" s="94"/>
      <c r="L981" s="94"/>
      <c r="M981" s="94"/>
      <c r="N981" s="94"/>
      <c r="O981" s="93"/>
    </row>
    <row r="982" spans="1:15" x14ac:dyDescent="0.25">
      <c r="A982" s="264" t="s">
        <v>67</v>
      </c>
      <c r="B982" s="263" t="s">
        <v>112</v>
      </c>
      <c r="C982" s="263" t="s">
        <v>66</v>
      </c>
      <c r="D982" s="263" t="s">
        <v>65</v>
      </c>
      <c r="E982" s="263" t="s">
        <v>81</v>
      </c>
      <c r="F982" s="274" t="s">
        <v>80</v>
      </c>
      <c r="G982" s="274" t="s">
        <v>79</v>
      </c>
      <c r="H982" s="274" t="s">
        <v>78</v>
      </c>
      <c r="I982" s="274" t="s">
        <v>111</v>
      </c>
      <c r="J982" s="274" t="s">
        <v>110</v>
      </c>
      <c r="K982" s="274" t="s">
        <v>109</v>
      </c>
      <c r="L982" s="274" t="s">
        <v>108</v>
      </c>
      <c r="M982" s="274" t="s">
        <v>40</v>
      </c>
      <c r="N982" s="274" t="s">
        <v>58</v>
      </c>
      <c r="O982" s="93"/>
    </row>
    <row r="983" spans="1:15" x14ac:dyDescent="0.25">
      <c r="A983" s="282">
        <v>10</v>
      </c>
      <c r="B983" s="282" t="s">
        <v>683</v>
      </c>
      <c r="C983" s="282"/>
      <c r="D983" s="283">
        <v>4.2</v>
      </c>
      <c r="E983" s="282">
        <v>80</v>
      </c>
      <c r="F983" s="282" t="s">
        <v>68</v>
      </c>
      <c r="G983" s="282"/>
      <c r="H983" s="278"/>
      <c r="I983" s="281" t="s">
        <v>808</v>
      </c>
      <c r="J983" s="403">
        <f>PI()*0.04*0.04</f>
        <v>5.0265482457436698E-3</v>
      </c>
      <c r="K983" s="279">
        <v>7.0000000000000007E-2</v>
      </c>
      <c r="L983" s="278">
        <v>2710</v>
      </c>
      <c r="M983" s="284">
        <v>1</v>
      </c>
      <c r="N983" s="276">
        <f>IF(J983="",D983*M983,D983*J983*K983*L983*M983)</f>
        <v>4.0048520493138122</v>
      </c>
      <c r="O983" s="143"/>
    </row>
    <row r="984" spans="1:15" x14ac:dyDescent="0.25">
      <c r="A984" s="98"/>
      <c r="B984" s="95"/>
      <c r="C984" s="95"/>
      <c r="D984" s="95"/>
      <c r="E984" s="95"/>
      <c r="F984" s="95"/>
      <c r="G984" s="95"/>
      <c r="H984" s="95"/>
      <c r="I984" s="95"/>
      <c r="J984" s="95"/>
      <c r="K984" s="95"/>
      <c r="L984" s="95"/>
      <c r="M984" s="256" t="s">
        <v>58</v>
      </c>
      <c r="N984" s="255">
        <f>SUM(N983:N983)</f>
        <v>4.0048520493138122</v>
      </c>
      <c r="O984" s="93"/>
    </row>
    <row r="985" spans="1:15" x14ac:dyDescent="0.25">
      <c r="A985" s="107"/>
      <c r="B985" s="94"/>
      <c r="C985" s="94"/>
      <c r="D985" s="94"/>
      <c r="E985" s="94"/>
      <c r="F985" s="94"/>
      <c r="G985" s="94"/>
      <c r="H985" s="94"/>
      <c r="I985" s="94"/>
      <c r="J985" s="94"/>
      <c r="K985" s="94"/>
      <c r="L985" s="94"/>
      <c r="M985" s="94"/>
      <c r="N985" s="94"/>
      <c r="O985" s="93"/>
    </row>
    <row r="986" spans="1:15" x14ac:dyDescent="0.25">
      <c r="A986" s="342" t="s">
        <v>67</v>
      </c>
      <c r="B986" s="274" t="s">
        <v>106</v>
      </c>
      <c r="C986" s="274" t="s">
        <v>66</v>
      </c>
      <c r="D986" s="274" t="s">
        <v>65</v>
      </c>
      <c r="E986" s="274" t="s">
        <v>64</v>
      </c>
      <c r="F986" s="274" t="s">
        <v>40</v>
      </c>
      <c r="G986" s="274" t="s">
        <v>105</v>
      </c>
      <c r="H986" s="274" t="s">
        <v>104</v>
      </c>
      <c r="I986" s="274" t="s">
        <v>58</v>
      </c>
      <c r="J986" s="95"/>
      <c r="K986" s="95"/>
      <c r="L986" s="95"/>
      <c r="M986" s="95"/>
      <c r="N986" s="95"/>
      <c r="O986" s="93"/>
    </row>
    <row r="987" spans="1:15" ht="30" x14ac:dyDescent="0.25">
      <c r="A987" s="405">
        <v>10</v>
      </c>
      <c r="B987" s="404" t="s">
        <v>516</v>
      </c>
      <c r="C987" s="285"/>
      <c r="D987" s="283">
        <v>1.3</v>
      </c>
      <c r="E987" s="282" t="s">
        <v>64</v>
      </c>
      <c r="F987" s="282">
        <v>1</v>
      </c>
      <c r="G987" s="282"/>
      <c r="H987" s="282"/>
      <c r="I987" s="293">
        <f>IF(H987="",D987*F987,D987*F987*H987)</f>
        <v>1.3</v>
      </c>
      <c r="J987" s="142"/>
      <c r="K987" s="142"/>
      <c r="L987" s="142"/>
      <c r="M987" s="142"/>
      <c r="N987" s="142"/>
      <c r="O987" s="120"/>
    </row>
    <row r="988" spans="1:15" x14ac:dyDescent="0.25">
      <c r="A988" s="282">
        <v>20</v>
      </c>
      <c r="B988" s="285" t="s">
        <v>514</v>
      </c>
      <c r="C988" s="285"/>
      <c r="D988" s="283">
        <v>0.04</v>
      </c>
      <c r="E988" s="282" t="s">
        <v>512</v>
      </c>
      <c r="F988" s="282">
        <v>180</v>
      </c>
      <c r="G988" s="282" t="s">
        <v>629</v>
      </c>
      <c r="H988" s="282">
        <v>1</v>
      </c>
      <c r="I988" s="293">
        <f>IF(H988="",D988*F988,D988*F988*H988)</f>
        <v>7.2</v>
      </c>
      <c r="J988" s="94"/>
      <c r="K988" s="94"/>
      <c r="L988" s="94"/>
      <c r="M988" s="94"/>
      <c r="N988" s="94"/>
      <c r="O988" s="93"/>
    </row>
    <row r="989" spans="1:15" x14ac:dyDescent="0.25">
      <c r="A989" s="98"/>
      <c r="B989" s="95"/>
      <c r="C989" s="95"/>
      <c r="D989" s="95"/>
      <c r="E989" s="95"/>
      <c r="F989" s="95"/>
      <c r="G989" s="95"/>
      <c r="H989" s="256" t="s">
        <v>58</v>
      </c>
      <c r="I989" s="255">
        <f>SUM(I987:I988)</f>
        <v>8.5</v>
      </c>
      <c r="J989" s="95"/>
      <c r="K989" s="95"/>
      <c r="L989" s="95"/>
      <c r="M989" s="95"/>
      <c r="N989" s="95"/>
      <c r="O989" s="93"/>
    </row>
    <row r="990" spans="1:15" x14ac:dyDescent="0.25">
      <c r="A990" s="107"/>
      <c r="B990" s="94"/>
      <c r="C990" s="94"/>
      <c r="D990" s="94"/>
      <c r="E990" s="94"/>
      <c r="F990" s="94"/>
      <c r="G990" s="94"/>
      <c r="H990" s="94"/>
      <c r="I990" s="99"/>
      <c r="J990" s="94"/>
      <c r="K990" s="94"/>
      <c r="L990" s="94"/>
      <c r="M990" s="94"/>
      <c r="N990" s="94"/>
      <c r="O990" s="93"/>
    </row>
    <row r="991" spans="1:15" ht="15.75" thickBot="1" x14ac:dyDescent="0.3">
      <c r="A991" s="92"/>
      <c r="B991" s="91"/>
      <c r="C991" s="91"/>
      <c r="D991" s="91"/>
      <c r="E991" s="91"/>
      <c r="F991" s="91"/>
      <c r="G991" s="91"/>
      <c r="H991" s="91"/>
      <c r="I991" s="91"/>
      <c r="J991" s="91"/>
      <c r="K991" s="91"/>
      <c r="L991" s="91"/>
      <c r="M991" s="91"/>
      <c r="N991" s="91"/>
      <c r="O991" s="90"/>
    </row>
    <row r="992" spans="1:15" ht="15.75" thickBot="1" x14ac:dyDescent="0.3"/>
    <row r="993" spans="1:15" x14ac:dyDescent="0.25">
      <c r="A993" s="141"/>
      <c r="B993" s="140"/>
      <c r="C993" s="140"/>
      <c r="D993" s="140"/>
      <c r="E993" s="140"/>
      <c r="F993" s="140"/>
      <c r="G993" s="140"/>
      <c r="H993" s="140"/>
      <c r="I993" s="140"/>
      <c r="J993" s="272"/>
      <c r="K993" s="140"/>
      <c r="L993" s="140"/>
      <c r="M993" s="140"/>
      <c r="N993" s="140"/>
      <c r="O993" s="139"/>
    </row>
    <row r="994" spans="1:15" x14ac:dyDescent="0.25">
      <c r="A994" s="267" t="s">
        <v>57</v>
      </c>
      <c r="B994" s="133" t="s">
        <v>523</v>
      </c>
      <c r="C994" s="94"/>
      <c r="D994" s="94"/>
      <c r="E994" s="94"/>
      <c r="F994" s="94"/>
      <c r="G994" s="94"/>
      <c r="H994" s="94"/>
      <c r="I994" s="94"/>
      <c r="J994" s="271" t="s">
        <v>51</v>
      </c>
      <c r="K994" s="138">
        <v>81</v>
      </c>
      <c r="L994" s="94"/>
      <c r="M994" s="267" t="s">
        <v>113</v>
      </c>
      <c r="N994" s="100">
        <f>EN_07001_m+EN_07001_p</f>
        <v>3.3998370000000002</v>
      </c>
      <c r="O994" s="93"/>
    </row>
    <row r="995" spans="1:15" x14ac:dyDescent="0.25">
      <c r="A995" s="267" t="s">
        <v>125</v>
      </c>
      <c r="B995" s="133" t="s">
        <v>21</v>
      </c>
      <c r="C995" s="94"/>
      <c r="D995" s="267" t="s">
        <v>122</v>
      </c>
      <c r="E995" s="94"/>
      <c r="F995" s="94"/>
      <c r="G995" s="94"/>
      <c r="H995" s="94"/>
      <c r="I995" s="94"/>
      <c r="J995" s="94"/>
      <c r="K995" s="94"/>
      <c r="L995" s="94"/>
      <c r="M995" s="267" t="s">
        <v>124</v>
      </c>
      <c r="N995" s="136">
        <v>1</v>
      </c>
      <c r="O995" s="93"/>
    </row>
    <row r="996" spans="1:15" x14ac:dyDescent="0.25">
      <c r="A996" s="267" t="s">
        <v>123</v>
      </c>
      <c r="B996" s="270" t="str">
        <f>'EN Assemblies'!B346</f>
        <v>Catch cans assembly</v>
      </c>
      <c r="C996" s="94"/>
      <c r="D996" s="267" t="s">
        <v>119</v>
      </c>
      <c r="E996" s="94"/>
      <c r="F996" s="94"/>
      <c r="G996" s="94"/>
      <c r="H996" s="94"/>
      <c r="I996" s="94"/>
      <c r="J996" s="268" t="s">
        <v>122</v>
      </c>
      <c r="K996" s="94"/>
      <c r="L996" s="94"/>
      <c r="M996" s="94"/>
      <c r="N996" s="94"/>
      <c r="O996" s="93"/>
    </row>
    <row r="997" spans="1:15" x14ac:dyDescent="0.25">
      <c r="A997" s="267" t="s">
        <v>114</v>
      </c>
      <c r="B997" s="135" t="s">
        <v>807</v>
      </c>
      <c r="C997" s="94"/>
      <c r="D997" s="267" t="s">
        <v>116</v>
      </c>
      <c r="E997" s="94"/>
      <c r="F997" s="94"/>
      <c r="G997" s="94"/>
      <c r="H997" s="94"/>
      <c r="I997" s="94"/>
      <c r="J997" s="268" t="s">
        <v>119</v>
      </c>
      <c r="K997" s="94"/>
      <c r="L997" s="94"/>
      <c r="M997" s="267" t="s">
        <v>118</v>
      </c>
      <c r="N997" s="100">
        <f>N995*N994</f>
        <v>3.3998370000000002</v>
      </c>
      <c r="O997" s="93"/>
    </row>
    <row r="998" spans="1:15" x14ac:dyDescent="0.25">
      <c r="A998" s="267" t="s">
        <v>121</v>
      </c>
      <c r="B998" s="269" t="s">
        <v>806</v>
      </c>
      <c r="C998" s="94"/>
      <c r="D998" s="94"/>
      <c r="E998" s="94"/>
      <c r="F998" s="94"/>
      <c r="G998" s="94"/>
      <c r="H998" s="94"/>
      <c r="I998" s="94"/>
      <c r="J998" s="268" t="s">
        <v>116</v>
      </c>
      <c r="K998" s="94"/>
      <c r="L998" s="94"/>
      <c r="M998" s="94"/>
      <c r="N998" s="94"/>
      <c r="O998" s="93"/>
    </row>
    <row r="999" spans="1:15" x14ac:dyDescent="0.25">
      <c r="A999" s="267" t="s">
        <v>117</v>
      </c>
      <c r="B999" s="133" t="s">
        <v>23</v>
      </c>
      <c r="C999" s="94"/>
      <c r="D999" s="94"/>
      <c r="E999" s="94"/>
      <c r="F999" s="94"/>
      <c r="G999" s="94"/>
      <c r="H999" s="94"/>
      <c r="I999" s="94"/>
      <c r="J999" s="94"/>
      <c r="K999" s="94"/>
      <c r="L999" s="94"/>
      <c r="M999" s="94"/>
      <c r="N999" s="94"/>
      <c r="O999" s="93"/>
    </row>
    <row r="1000" spans="1:15" x14ac:dyDescent="0.25">
      <c r="A1000" s="267" t="s">
        <v>115</v>
      </c>
      <c r="B1000" s="133" t="s">
        <v>805</v>
      </c>
      <c r="C1000" s="94"/>
      <c r="D1000" s="94"/>
      <c r="E1000" s="94"/>
      <c r="F1000" s="94"/>
      <c r="G1000" s="94"/>
      <c r="H1000" s="94"/>
      <c r="I1000" s="94"/>
      <c r="J1000" s="94"/>
      <c r="K1000" s="94"/>
      <c r="L1000" s="94"/>
      <c r="M1000" s="94"/>
      <c r="N1000" s="94"/>
      <c r="O1000" s="93"/>
    </row>
    <row r="1001" spans="1:15" x14ac:dyDescent="0.25">
      <c r="A1001" s="266"/>
      <c r="B1001" s="265"/>
      <c r="C1001" s="265"/>
      <c r="D1001" s="265"/>
      <c r="E1001" s="265"/>
      <c r="F1001" s="94"/>
      <c r="G1001" s="94"/>
      <c r="H1001" s="94"/>
      <c r="I1001" s="94"/>
      <c r="J1001" s="94"/>
      <c r="K1001" s="94"/>
      <c r="L1001" s="94"/>
      <c r="M1001" s="94"/>
      <c r="N1001" s="94"/>
      <c r="O1001" s="93"/>
    </row>
    <row r="1002" spans="1:15" x14ac:dyDescent="0.25">
      <c r="A1002" s="264" t="s">
        <v>67</v>
      </c>
      <c r="B1002" s="263" t="s">
        <v>112</v>
      </c>
      <c r="C1002" s="263" t="s">
        <v>66</v>
      </c>
      <c r="D1002" s="263" t="s">
        <v>65</v>
      </c>
      <c r="E1002" s="263" t="s">
        <v>81</v>
      </c>
      <c r="F1002" s="274" t="s">
        <v>80</v>
      </c>
      <c r="G1002" s="274" t="s">
        <v>79</v>
      </c>
      <c r="H1002" s="274" t="s">
        <v>78</v>
      </c>
      <c r="I1002" s="274" t="s">
        <v>111</v>
      </c>
      <c r="J1002" s="274" t="s">
        <v>110</v>
      </c>
      <c r="K1002" s="274" t="s">
        <v>109</v>
      </c>
      <c r="L1002" s="274" t="s">
        <v>108</v>
      </c>
      <c r="M1002" s="274" t="s">
        <v>40</v>
      </c>
      <c r="N1002" s="274" t="s">
        <v>58</v>
      </c>
      <c r="O1002" s="93"/>
    </row>
    <row r="1003" spans="1:15" ht="30" x14ac:dyDescent="0.25">
      <c r="A1003" s="389">
        <v>10</v>
      </c>
      <c r="B1003" s="282" t="s">
        <v>683</v>
      </c>
      <c r="C1003" s="282" t="s">
        <v>804</v>
      </c>
      <c r="D1003" s="283">
        <v>4.2</v>
      </c>
      <c r="E1003" s="282">
        <v>35</v>
      </c>
      <c r="F1003" s="282" t="s">
        <v>68</v>
      </c>
      <c r="G1003" s="282">
        <v>2</v>
      </c>
      <c r="H1003" s="278" t="s">
        <v>68</v>
      </c>
      <c r="I1003" s="281" t="s">
        <v>803</v>
      </c>
      <c r="J1003" s="403">
        <f>0.035*0.002</f>
        <v>7.0000000000000007E-5</v>
      </c>
      <c r="K1003" s="279">
        <v>0.05</v>
      </c>
      <c r="L1003" s="278">
        <v>2710</v>
      </c>
      <c r="M1003" s="284">
        <v>1</v>
      </c>
      <c r="N1003" s="276">
        <f>IF(J1003="",D1003*M1003,D1003*J1003*K1003*L1003*M1003)</f>
        <v>3.9837000000000011E-2</v>
      </c>
      <c r="O1003" s="143"/>
    </row>
    <row r="1004" spans="1:15" x14ac:dyDescent="0.25">
      <c r="A1004" s="98"/>
      <c r="B1004" s="95"/>
      <c r="C1004" s="95"/>
      <c r="D1004" s="95"/>
      <c r="E1004" s="95"/>
      <c r="F1004" s="95"/>
      <c r="G1004" s="95"/>
      <c r="H1004" s="95"/>
      <c r="I1004" s="95"/>
      <c r="J1004" s="95"/>
      <c r="K1004" s="95"/>
      <c r="L1004" s="95"/>
      <c r="M1004" s="256" t="s">
        <v>58</v>
      </c>
      <c r="N1004" s="255">
        <f>SUM(N1003:N1003)</f>
        <v>3.9837000000000011E-2</v>
      </c>
      <c r="O1004" s="93"/>
    </row>
    <row r="1005" spans="1:15" x14ac:dyDescent="0.25">
      <c r="A1005" s="107"/>
      <c r="B1005" s="94"/>
      <c r="C1005" s="94"/>
      <c r="D1005" s="94"/>
      <c r="E1005" s="94"/>
      <c r="F1005" s="94"/>
      <c r="G1005" s="94"/>
      <c r="H1005" s="94"/>
      <c r="I1005" s="94"/>
      <c r="J1005" s="94"/>
      <c r="K1005" s="94"/>
      <c r="L1005" s="94"/>
      <c r="M1005" s="94"/>
      <c r="N1005" s="94"/>
      <c r="O1005" s="93"/>
    </row>
    <row r="1006" spans="1:15" x14ac:dyDescent="0.25">
      <c r="A1006" s="342" t="s">
        <v>67</v>
      </c>
      <c r="B1006" s="274" t="s">
        <v>106</v>
      </c>
      <c r="C1006" s="274" t="s">
        <v>66</v>
      </c>
      <c r="D1006" s="274" t="s">
        <v>65</v>
      </c>
      <c r="E1006" s="274" t="s">
        <v>64</v>
      </c>
      <c r="F1006" s="274" t="s">
        <v>40</v>
      </c>
      <c r="G1006" s="274" t="s">
        <v>105</v>
      </c>
      <c r="H1006" s="274" t="s">
        <v>104</v>
      </c>
      <c r="I1006" s="274" t="s">
        <v>58</v>
      </c>
      <c r="J1006" s="95"/>
      <c r="K1006" s="95"/>
      <c r="L1006" s="95"/>
      <c r="M1006" s="95"/>
      <c r="N1006" s="95"/>
      <c r="O1006" s="93"/>
    </row>
    <row r="1007" spans="1:15" ht="30" x14ac:dyDescent="0.25">
      <c r="A1007" s="395">
        <v>10</v>
      </c>
      <c r="B1007" s="393" t="s">
        <v>516</v>
      </c>
      <c r="C1007" s="331" t="s">
        <v>802</v>
      </c>
      <c r="D1007" s="293">
        <v>1.3</v>
      </c>
      <c r="E1007" s="393" t="s">
        <v>64</v>
      </c>
      <c r="F1007" s="331">
        <v>2</v>
      </c>
      <c r="G1007" s="331"/>
      <c r="H1007" s="331"/>
      <c r="I1007" s="293">
        <f>IF(H1007="",D1007*F1007,D1007*F1007*H1007)</f>
        <v>2.6</v>
      </c>
      <c r="J1007" s="142"/>
      <c r="K1007" s="142"/>
      <c r="L1007" s="142"/>
      <c r="M1007" s="142"/>
      <c r="N1007" s="142"/>
      <c r="O1007" s="120"/>
    </row>
    <row r="1008" spans="1:15" x14ac:dyDescent="0.25">
      <c r="A1008" s="282">
        <v>20</v>
      </c>
      <c r="B1008" s="285" t="s">
        <v>527</v>
      </c>
      <c r="C1008" s="285" t="s">
        <v>527</v>
      </c>
      <c r="D1008" s="283">
        <v>0.01</v>
      </c>
      <c r="E1008" s="282" t="s">
        <v>101</v>
      </c>
      <c r="F1008" s="282">
        <v>26</v>
      </c>
      <c r="G1008" s="282" t="s">
        <v>678</v>
      </c>
      <c r="H1008" s="282">
        <v>1</v>
      </c>
      <c r="I1008" s="293">
        <f>IF(H1008="",D1008*F1008,D1008*F1008*H1008)</f>
        <v>0.26</v>
      </c>
      <c r="J1008" s="94"/>
      <c r="K1008" s="94"/>
      <c r="L1008" s="94"/>
      <c r="M1008" s="94"/>
      <c r="N1008" s="94"/>
      <c r="O1008" s="93"/>
    </row>
    <row r="1009" spans="1:15" x14ac:dyDescent="0.25">
      <c r="A1009" s="282">
        <v>30</v>
      </c>
      <c r="B1009" s="285" t="s">
        <v>539</v>
      </c>
      <c r="C1009" s="285" t="s">
        <v>801</v>
      </c>
      <c r="D1009" s="283">
        <v>0.25</v>
      </c>
      <c r="E1009" s="282" t="s">
        <v>537</v>
      </c>
      <c r="F1009" s="282">
        <v>2</v>
      </c>
      <c r="G1009" s="282"/>
      <c r="H1009" s="282"/>
      <c r="I1009" s="276">
        <f>IF(H1009="",D1009*F1009,D1009*F1009*H1009)</f>
        <v>0.5</v>
      </c>
      <c r="J1009" s="99"/>
      <c r="K1009" s="99"/>
      <c r="L1009" s="99"/>
      <c r="M1009" s="99"/>
      <c r="N1009" s="99"/>
      <c r="O1009" s="130"/>
    </row>
    <row r="1010" spans="1:15" x14ac:dyDescent="0.25">
      <c r="A1010" s="98"/>
      <c r="B1010" s="95"/>
      <c r="C1010" s="95"/>
      <c r="D1010" s="95"/>
      <c r="E1010" s="95"/>
      <c r="F1010" s="95"/>
      <c r="G1010" s="95"/>
      <c r="H1010" s="256" t="s">
        <v>58</v>
      </c>
      <c r="I1010" s="255">
        <f>SUM(I1007:I1009)</f>
        <v>3.3600000000000003</v>
      </c>
      <c r="J1010" s="95"/>
      <c r="K1010" s="95"/>
      <c r="L1010" s="95"/>
      <c r="M1010" s="95"/>
      <c r="N1010" s="95"/>
      <c r="O1010" s="93"/>
    </row>
    <row r="1011" spans="1:15" x14ac:dyDescent="0.25">
      <c r="A1011" s="107"/>
      <c r="B1011" s="94"/>
      <c r="C1011" s="94"/>
      <c r="D1011" s="94"/>
      <c r="E1011" s="94"/>
      <c r="F1011" s="94"/>
      <c r="G1011" s="94"/>
      <c r="H1011" s="94"/>
      <c r="I1011" s="99"/>
      <c r="J1011" s="94"/>
      <c r="K1011" s="94"/>
      <c r="L1011" s="94"/>
      <c r="M1011" s="94"/>
      <c r="N1011" s="94"/>
      <c r="O1011" s="93"/>
    </row>
    <row r="1012" spans="1:15" ht="15.75" thickBot="1" x14ac:dyDescent="0.3">
      <c r="A1012" s="92"/>
      <c r="B1012" s="91"/>
      <c r="C1012" s="91"/>
      <c r="D1012" s="91"/>
      <c r="E1012" s="91"/>
      <c r="F1012" s="91"/>
      <c r="G1012" s="91"/>
      <c r="H1012" s="91"/>
      <c r="I1012" s="91"/>
      <c r="J1012" s="91"/>
      <c r="K1012" s="91"/>
      <c r="L1012" s="91"/>
      <c r="M1012" s="91"/>
      <c r="N1012" s="91"/>
      <c r="O1012" s="90"/>
    </row>
    <row r="1013" spans="1:15" ht="15.75" thickBot="1" x14ac:dyDescent="0.3"/>
    <row r="1014" spans="1:15" x14ac:dyDescent="0.25">
      <c r="A1014" s="141"/>
      <c r="B1014" s="140"/>
      <c r="C1014" s="140"/>
      <c r="D1014" s="140"/>
      <c r="E1014" s="140"/>
      <c r="F1014" s="140"/>
      <c r="G1014" s="140"/>
      <c r="H1014" s="140"/>
      <c r="I1014" s="140"/>
      <c r="J1014" s="272"/>
      <c r="K1014" s="140"/>
      <c r="L1014" s="140"/>
      <c r="M1014" s="140"/>
      <c r="N1014" s="140"/>
      <c r="O1014" s="139"/>
    </row>
    <row r="1015" spans="1:15" x14ac:dyDescent="0.25">
      <c r="A1015" s="267" t="s">
        <v>57</v>
      </c>
      <c r="B1015" s="133" t="s">
        <v>523</v>
      </c>
      <c r="C1015" s="94"/>
      <c r="D1015" s="94"/>
      <c r="E1015" s="94"/>
      <c r="F1015" s="94"/>
      <c r="G1015" s="94"/>
      <c r="H1015" s="94"/>
      <c r="I1015" s="94"/>
      <c r="J1015" s="271" t="s">
        <v>51</v>
      </c>
      <c r="K1015" s="138">
        <v>81</v>
      </c>
      <c r="L1015" s="94"/>
      <c r="M1015" s="267" t="s">
        <v>113</v>
      </c>
      <c r="N1015" s="100">
        <f>EN_07002_m+EN_07002_p+EN_07002_t</f>
        <v>31.286599999999996</v>
      </c>
      <c r="O1015" s="93"/>
    </row>
    <row r="1016" spans="1:15" x14ac:dyDescent="0.25">
      <c r="A1016" s="267" t="s">
        <v>125</v>
      </c>
      <c r="B1016" s="133" t="s">
        <v>21</v>
      </c>
      <c r="C1016" s="94"/>
      <c r="D1016" s="267" t="s">
        <v>122</v>
      </c>
      <c r="E1016" s="94"/>
      <c r="F1016" s="94"/>
      <c r="G1016" s="94"/>
      <c r="H1016" s="94"/>
      <c r="I1016" s="94"/>
      <c r="J1016" s="94"/>
      <c r="K1016" s="94"/>
      <c r="L1016" s="94"/>
      <c r="M1016" s="267" t="s">
        <v>124</v>
      </c>
      <c r="N1016" s="136">
        <v>1</v>
      </c>
      <c r="O1016" s="93"/>
    </row>
    <row r="1017" spans="1:15" x14ac:dyDescent="0.25">
      <c r="A1017" s="267" t="s">
        <v>123</v>
      </c>
      <c r="B1017" s="270" t="str">
        <f>'EN Assemblies'!B346</f>
        <v>Catch cans assembly</v>
      </c>
      <c r="C1017" s="94"/>
      <c r="D1017" s="267" t="s">
        <v>119</v>
      </c>
      <c r="E1017" s="94"/>
      <c r="F1017" s="94"/>
      <c r="G1017" s="94"/>
      <c r="H1017" s="94"/>
      <c r="I1017" s="94"/>
      <c r="J1017" s="268" t="s">
        <v>122</v>
      </c>
      <c r="K1017" s="94"/>
      <c r="L1017" s="94"/>
      <c r="M1017" s="94"/>
      <c r="N1017" s="94"/>
      <c r="O1017" s="93"/>
    </row>
    <row r="1018" spans="1:15" x14ac:dyDescent="0.25">
      <c r="A1018" s="267" t="s">
        <v>114</v>
      </c>
      <c r="B1018" s="135" t="s">
        <v>800</v>
      </c>
      <c r="C1018" s="94"/>
      <c r="D1018" s="267" t="s">
        <v>116</v>
      </c>
      <c r="E1018" s="94"/>
      <c r="F1018" s="94"/>
      <c r="G1018" s="94"/>
      <c r="H1018" s="94"/>
      <c r="I1018" s="94"/>
      <c r="J1018" s="268" t="s">
        <v>119</v>
      </c>
      <c r="K1018" s="94"/>
      <c r="L1018" s="94"/>
      <c r="M1018" s="267" t="s">
        <v>118</v>
      </c>
      <c r="N1018" s="100">
        <f>N1016*N1015</f>
        <v>31.286599999999996</v>
      </c>
      <c r="O1018" s="93"/>
    </row>
    <row r="1019" spans="1:15" x14ac:dyDescent="0.25">
      <c r="A1019" s="267" t="s">
        <v>121</v>
      </c>
      <c r="B1019" s="269" t="s">
        <v>799</v>
      </c>
      <c r="C1019" s="94"/>
      <c r="D1019" s="94"/>
      <c r="E1019" s="94"/>
      <c r="F1019" s="94"/>
      <c r="G1019" s="94"/>
      <c r="H1019" s="94"/>
      <c r="I1019" s="94"/>
      <c r="J1019" s="268" t="s">
        <v>116</v>
      </c>
      <c r="K1019" s="94"/>
      <c r="L1019" s="94"/>
      <c r="M1019" s="94"/>
      <c r="N1019" s="94"/>
      <c r="O1019" s="93"/>
    </row>
    <row r="1020" spans="1:15" x14ac:dyDescent="0.25">
      <c r="A1020" s="267" t="s">
        <v>117</v>
      </c>
      <c r="B1020" s="133" t="s">
        <v>23</v>
      </c>
      <c r="C1020" s="94"/>
      <c r="D1020" s="94"/>
      <c r="E1020" s="94"/>
      <c r="F1020" s="94"/>
      <c r="G1020" s="94"/>
      <c r="H1020" s="94"/>
      <c r="I1020" s="94"/>
      <c r="J1020" s="94"/>
      <c r="K1020" s="94"/>
      <c r="L1020" s="94"/>
      <c r="M1020" s="94"/>
      <c r="N1020" s="94"/>
      <c r="O1020" s="93"/>
    </row>
    <row r="1021" spans="1:15" x14ac:dyDescent="0.25">
      <c r="A1021" s="267" t="s">
        <v>115</v>
      </c>
      <c r="B1021" s="133" t="s">
        <v>798</v>
      </c>
      <c r="C1021" s="94"/>
      <c r="D1021" s="94"/>
      <c r="E1021" s="94"/>
      <c r="F1021" s="94"/>
      <c r="G1021" s="94"/>
      <c r="H1021" s="94"/>
      <c r="I1021" s="94"/>
      <c r="J1021" s="94"/>
      <c r="K1021" s="94"/>
      <c r="L1021" s="94"/>
      <c r="M1021" s="94"/>
      <c r="N1021" s="94"/>
      <c r="O1021" s="93"/>
    </row>
    <row r="1022" spans="1:15" x14ac:dyDescent="0.25">
      <c r="A1022" s="266"/>
      <c r="B1022" s="265"/>
      <c r="C1022" s="265"/>
      <c r="D1022" s="265"/>
      <c r="E1022" s="265"/>
      <c r="F1022" s="94"/>
      <c r="G1022" s="94"/>
      <c r="H1022" s="94"/>
      <c r="I1022" s="94"/>
      <c r="J1022" s="94"/>
      <c r="K1022" s="94"/>
      <c r="L1022" s="94"/>
      <c r="M1022" s="94"/>
      <c r="N1022" s="94"/>
      <c r="O1022" s="93"/>
    </row>
    <row r="1023" spans="1:15" x14ac:dyDescent="0.25">
      <c r="A1023" s="264" t="s">
        <v>67</v>
      </c>
      <c r="B1023" s="263" t="s">
        <v>112</v>
      </c>
      <c r="C1023" s="263" t="s">
        <v>66</v>
      </c>
      <c r="D1023" s="263" t="s">
        <v>65</v>
      </c>
      <c r="E1023" s="263" t="s">
        <v>81</v>
      </c>
      <c r="F1023" s="274" t="s">
        <v>80</v>
      </c>
      <c r="G1023" s="274" t="s">
        <v>79</v>
      </c>
      <c r="H1023" s="274" t="s">
        <v>78</v>
      </c>
      <c r="I1023" s="274" t="s">
        <v>111</v>
      </c>
      <c r="J1023" s="274" t="s">
        <v>110</v>
      </c>
      <c r="K1023" s="274" t="s">
        <v>109</v>
      </c>
      <c r="L1023" s="274" t="s">
        <v>108</v>
      </c>
      <c r="M1023" s="274" t="s">
        <v>40</v>
      </c>
      <c r="N1023" s="274" t="s">
        <v>58</v>
      </c>
      <c r="O1023" s="93"/>
    </row>
    <row r="1024" spans="1:15" x14ac:dyDescent="0.25">
      <c r="A1024" s="389">
        <v>10</v>
      </c>
      <c r="B1024" s="402" t="s">
        <v>797</v>
      </c>
      <c r="C1024" s="331" t="s">
        <v>1158</v>
      </c>
      <c r="D1024" s="276">
        <v>200</v>
      </c>
      <c r="E1024" s="625">
        <v>9.0399999999999994E-3</v>
      </c>
      <c r="F1024" s="296" t="s">
        <v>794</v>
      </c>
      <c r="G1024" s="296"/>
      <c r="H1024" s="401"/>
      <c r="I1024" s="400"/>
      <c r="J1024" s="399"/>
      <c r="K1024" s="398"/>
      <c r="L1024" s="319"/>
      <c r="M1024" s="397">
        <v>2</v>
      </c>
      <c r="N1024" s="276">
        <f>E1024*D1024*M1024</f>
        <v>3.6159999999999997</v>
      </c>
      <c r="O1024" s="143"/>
    </row>
    <row r="1025" spans="1:15" x14ac:dyDescent="0.25">
      <c r="A1025" s="296">
        <v>20</v>
      </c>
      <c r="B1025" s="354" t="s">
        <v>796</v>
      </c>
      <c r="C1025" s="331" t="s">
        <v>795</v>
      </c>
      <c r="D1025" s="276">
        <v>100</v>
      </c>
      <c r="E1025" s="296">
        <v>1.9E-2</v>
      </c>
      <c r="F1025" s="296" t="s">
        <v>794</v>
      </c>
      <c r="G1025" s="296"/>
      <c r="H1025" s="401"/>
      <c r="I1025" s="400"/>
      <c r="J1025" s="399"/>
      <c r="K1025" s="398"/>
      <c r="L1025" s="319"/>
      <c r="M1025" s="397">
        <v>1</v>
      </c>
      <c r="N1025" s="276">
        <f>E1025*D1025*M1025</f>
        <v>1.9</v>
      </c>
      <c r="O1025" s="143"/>
    </row>
    <row r="1026" spans="1:15" x14ac:dyDescent="0.25">
      <c r="A1026" s="296">
        <v>30</v>
      </c>
      <c r="B1026" s="354" t="s">
        <v>383</v>
      </c>
      <c r="C1026" s="331" t="s">
        <v>793</v>
      </c>
      <c r="D1026" s="276">
        <v>0</v>
      </c>
      <c r="E1026" s="296"/>
      <c r="F1026" s="296"/>
      <c r="G1026" s="296"/>
      <c r="H1026" s="401"/>
      <c r="I1026" s="400"/>
      <c r="J1026" s="399"/>
      <c r="K1026" s="398"/>
      <c r="L1026" s="319"/>
      <c r="M1026" s="397"/>
      <c r="N1026" s="276">
        <f>E1026*D1026*M1026</f>
        <v>0</v>
      </c>
      <c r="O1026" s="143"/>
    </row>
    <row r="1027" spans="1:15" x14ac:dyDescent="0.25">
      <c r="A1027" s="98"/>
      <c r="B1027" s="95"/>
      <c r="C1027" s="95"/>
      <c r="D1027" s="95"/>
      <c r="E1027" s="95"/>
      <c r="F1027" s="95"/>
      <c r="G1027" s="95"/>
      <c r="H1027" s="95"/>
      <c r="I1027" s="95"/>
      <c r="J1027" s="95"/>
      <c r="K1027" s="95"/>
      <c r="L1027" s="95"/>
      <c r="M1027" s="256" t="s">
        <v>58</v>
      </c>
      <c r="N1027" s="255">
        <f>SUM(N1024:N1026)</f>
        <v>5.516</v>
      </c>
      <c r="O1027" s="93"/>
    </row>
    <row r="1028" spans="1:15" x14ac:dyDescent="0.25">
      <c r="A1028" s="107"/>
      <c r="B1028" s="94"/>
      <c r="C1028" s="94"/>
      <c r="D1028" s="94"/>
      <c r="E1028" s="94"/>
      <c r="F1028" s="94"/>
      <c r="G1028" s="94"/>
      <c r="H1028" s="94"/>
      <c r="I1028" s="94"/>
      <c r="J1028" s="94"/>
      <c r="K1028" s="94"/>
      <c r="L1028" s="94"/>
      <c r="M1028" s="94"/>
      <c r="N1028" s="94"/>
      <c r="O1028" s="93"/>
    </row>
    <row r="1029" spans="1:15" x14ac:dyDescent="0.25">
      <c r="A1029" s="342" t="s">
        <v>67</v>
      </c>
      <c r="B1029" s="274" t="s">
        <v>106</v>
      </c>
      <c r="C1029" s="274" t="s">
        <v>66</v>
      </c>
      <c r="D1029" s="274" t="s">
        <v>65</v>
      </c>
      <c r="E1029" s="274" t="s">
        <v>64</v>
      </c>
      <c r="F1029" s="274" t="s">
        <v>40</v>
      </c>
      <c r="G1029" s="274" t="s">
        <v>105</v>
      </c>
      <c r="H1029" s="274" t="s">
        <v>104</v>
      </c>
      <c r="I1029" s="274" t="s">
        <v>58</v>
      </c>
      <c r="J1029" s="95"/>
      <c r="K1029" s="95"/>
      <c r="L1029" s="95"/>
      <c r="M1029" s="95"/>
      <c r="N1029" s="95"/>
      <c r="O1029" s="93"/>
    </row>
    <row r="1030" spans="1:15" x14ac:dyDescent="0.25">
      <c r="A1030" s="395">
        <v>10</v>
      </c>
      <c r="B1030" s="309" t="s">
        <v>792</v>
      </c>
      <c r="C1030" s="331" t="s">
        <v>791</v>
      </c>
      <c r="D1030" s="293">
        <v>0.06</v>
      </c>
      <c r="E1030" s="393" t="s">
        <v>101</v>
      </c>
      <c r="F1030" s="331">
        <v>110.4</v>
      </c>
      <c r="G1030" s="331" t="s">
        <v>786</v>
      </c>
      <c r="H1030" s="331">
        <v>3</v>
      </c>
      <c r="I1030" s="293">
        <f>IF(H1030="",D1030*F1030,D1030*F1030*H1030)</f>
        <v>19.872</v>
      </c>
      <c r="J1030" s="142"/>
      <c r="K1030" s="142"/>
      <c r="L1030" s="142"/>
      <c r="M1030" s="142"/>
      <c r="N1030" s="142"/>
      <c r="O1030" s="120"/>
    </row>
    <row r="1031" spans="1:15" x14ac:dyDescent="0.25">
      <c r="A1031" s="395">
        <v>20</v>
      </c>
      <c r="B1031" s="309" t="s">
        <v>790</v>
      </c>
      <c r="C1031" s="331" t="s">
        <v>789</v>
      </c>
      <c r="D1031" s="293">
        <v>35</v>
      </c>
      <c r="E1031" s="393" t="s">
        <v>299</v>
      </c>
      <c r="F1031" s="331">
        <v>4.5199999999999997E-2</v>
      </c>
      <c r="G1031" s="331" t="s">
        <v>786</v>
      </c>
      <c r="H1031" s="331">
        <v>3</v>
      </c>
      <c r="I1031" s="293">
        <f>IF(H1031="",D1031*F1031,D1031*F1031*H1031)</f>
        <v>4.7459999999999996</v>
      </c>
      <c r="J1031" s="142"/>
      <c r="K1031" s="142"/>
      <c r="L1031" s="142"/>
      <c r="M1031" s="142"/>
      <c r="N1031" s="142"/>
      <c r="O1031" s="120"/>
    </row>
    <row r="1032" spans="1:15" x14ac:dyDescent="0.25">
      <c r="A1032" s="392">
        <v>30</v>
      </c>
      <c r="B1032" s="309" t="s">
        <v>788</v>
      </c>
      <c r="C1032" s="331" t="s">
        <v>787</v>
      </c>
      <c r="D1032" s="276">
        <v>5</v>
      </c>
      <c r="E1032" s="325" t="s">
        <v>299</v>
      </c>
      <c r="F1032" s="396">
        <v>4.5199999999999997E-2</v>
      </c>
      <c r="G1032" s="331" t="s">
        <v>786</v>
      </c>
      <c r="H1032" s="331">
        <v>3</v>
      </c>
      <c r="I1032" s="293">
        <f>IF(H1032="",D1032*F1032,D1032*F1032*H1032)</f>
        <v>0.67799999999999994</v>
      </c>
      <c r="J1032" s="94"/>
      <c r="K1032" s="94"/>
      <c r="L1032" s="94"/>
      <c r="M1032" s="94"/>
      <c r="N1032" s="94"/>
      <c r="O1032" s="93"/>
    </row>
    <row r="1033" spans="1:15" x14ac:dyDescent="0.25">
      <c r="A1033" s="395">
        <v>40</v>
      </c>
      <c r="B1033" s="394" t="s">
        <v>785</v>
      </c>
      <c r="C1033" s="325" t="s">
        <v>784</v>
      </c>
      <c r="D1033" s="276">
        <v>10</v>
      </c>
      <c r="E1033" s="393" t="s">
        <v>299</v>
      </c>
      <c r="F1033" s="325">
        <v>4.5199999999999997E-2</v>
      </c>
      <c r="G1033" s="325"/>
      <c r="H1033" s="325"/>
      <c r="I1033" s="276">
        <f>IF(H1033="",D1033*F1033,D1033*F1033*H1033)</f>
        <v>0.45199999999999996</v>
      </c>
      <c r="J1033" s="99"/>
      <c r="K1033" s="99"/>
      <c r="L1033" s="99"/>
      <c r="M1033" s="99"/>
      <c r="N1033" s="99"/>
      <c r="O1033" s="130"/>
    </row>
    <row r="1034" spans="1:15" x14ac:dyDescent="0.25">
      <c r="A1034" s="98"/>
      <c r="B1034" s="95"/>
      <c r="C1034" s="95"/>
      <c r="D1034" s="95"/>
      <c r="E1034" s="95"/>
      <c r="F1034" s="95"/>
      <c r="G1034" s="95"/>
      <c r="H1034" s="256" t="s">
        <v>58</v>
      </c>
      <c r="I1034" s="255">
        <f>SUM(I1030:I1033)</f>
        <v>25.747999999999998</v>
      </c>
      <c r="J1034" s="95"/>
      <c r="K1034" s="95"/>
      <c r="L1034" s="95"/>
      <c r="M1034" s="95"/>
      <c r="N1034" s="95"/>
      <c r="O1034" s="93"/>
    </row>
    <row r="1035" spans="1:15" x14ac:dyDescent="0.25">
      <c r="A1035" s="360"/>
      <c r="B1035" s="99"/>
      <c r="C1035" s="99"/>
      <c r="D1035" s="99"/>
      <c r="E1035" s="99"/>
      <c r="F1035" s="99"/>
      <c r="G1035" s="99"/>
      <c r="H1035" s="359"/>
      <c r="I1035" s="358"/>
      <c r="J1035" s="99"/>
      <c r="K1035" s="94"/>
      <c r="L1035" s="94"/>
      <c r="M1035" s="94"/>
      <c r="N1035" s="94"/>
      <c r="O1035" s="93"/>
    </row>
    <row r="1036" spans="1:15" x14ac:dyDescent="0.25">
      <c r="A1036" s="342" t="s">
        <v>67</v>
      </c>
      <c r="B1036" s="274" t="s">
        <v>13</v>
      </c>
      <c r="C1036" s="274" t="s">
        <v>66</v>
      </c>
      <c r="D1036" s="274" t="s">
        <v>65</v>
      </c>
      <c r="E1036" s="274" t="s">
        <v>64</v>
      </c>
      <c r="F1036" s="274" t="s">
        <v>40</v>
      </c>
      <c r="G1036" s="274" t="s">
        <v>63</v>
      </c>
      <c r="H1036" s="274" t="s">
        <v>741</v>
      </c>
      <c r="I1036" s="274" t="s">
        <v>58</v>
      </c>
      <c r="J1036" s="95"/>
      <c r="K1036" s="94"/>
      <c r="L1036" s="94"/>
      <c r="M1036" s="94"/>
      <c r="N1036" s="94"/>
      <c r="O1036" s="93"/>
    </row>
    <row r="1037" spans="1:15" x14ac:dyDescent="0.25">
      <c r="A1037" s="392">
        <v>10</v>
      </c>
      <c r="B1037" s="391" t="s">
        <v>783</v>
      </c>
      <c r="C1037" s="390" t="s">
        <v>782</v>
      </c>
      <c r="D1037" s="283">
        <v>1500</v>
      </c>
      <c r="E1037" s="325" t="s">
        <v>299</v>
      </c>
      <c r="F1037" s="325">
        <v>4.5199999999999997E-2</v>
      </c>
      <c r="G1037" s="325">
        <v>3000</v>
      </c>
      <c r="H1037" s="325">
        <v>1</v>
      </c>
      <c r="I1037" s="276">
        <f>D1037*F1037/G1037*H1037</f>
        <v>2.2599999999999999E-2</v>
      </c>
      <c r="J1037" s="99"/>
      <c r="K1037" s="99"/>
      <c r="L1037" s="99"/>
      <c r="M1037" s="99"/>
      <c r="N1037" s="99"/>
      <c r="O1037" s="130"/>
    </row>
    <row r="1038" spans="1:15" x14ac:dyDescent="0.25">
      <c r="A1038" s="98"/>
      <c r="B1038" s="95"/>
      <c r="C1038" s="95"/>
      <c r="D1038" s="95"/>
      <c r="E1038" s="95"/>
      <c r="F1038" s="95"/>
      <c r="G1038" s="95"/>
      <c r="H1038" s="256" t="s">
        <v>58</v>
      </c>
      <c r="I1038" s="255">
        <f>SUM(I1037:I1037)</f>
        <v>2.2599999999999999E-2</v>
      </c>
      <c r="J1038" s="95"/>
      <c r="K1038" s="94"/>
      <c r="L1038" s="94"/>
      <c r="M1038" s="94"/>
      <c r="N1038" s="94"/>
      <c r="O1038" s="93"/>
    </row>
    <row r="1039" spans="1:15" ht="15.75" thickBot="1" x14ac:dyDescent="0.3">
      <c r="A1039" s="92"/>
      <c r="B1039" s="91"/>
      <c r="C1039" s="91"/>
      <c r="D1039" s="91"/>
      <c r="E1039" s="91"/>
      <c r="F1039" s="91"/>
      <c r="G1039" s="91"/>
      <c r="H1039" s="91"/>
      <c r="I1039" s="91"/>
      <c r="J1039" s="91"/>
      <c r="K1039" s="91"/>
      <c r="L1039" s="91"/>
      <c r="M1039" s="91"/>
      <c r="N1039" s="91"/>
      <c r="O1039" s="90"/>
    </row>
    <row r="1040" spans="1:15" ht="15.75" thickBot="1" x14ac:dyDescent="0.3"/>
    <row r="1041" spans="1:15" x14ac:dyDescent="0.25">
      <c r="A1041" s="141"/>
      <c r="B1041" s="140"/>
      <c r="C1041" s="140"/>
      <c r="D1041" s="140"/>
      <c r="E1041" s="140"/>
      <c r="F1041" s="140"/>
      <c r="G1041" s="140"/>
      <c r="H1041" s="140"/>
      <c r="I1041" s="140"/>
      <c r="J1041" s="272"/>
      <c r="K1041" s="140"/>
      <c r="L1041" s="140"/>
      <c r="M1041" s="140"/>
      <c r="N1041" s="140"/>
      <c r="O1041" s="139"/>
    </row>
    <row r="1042" spans="1:15" x14ac:dyDescent="0.25">
      <c r="A1042" s="267" t="s">
        <v>57</v>
      </c>
      <c r="B1042" s="133" t="s">
        <v>523</v>
      </c>
      <c r="C1042" s="94"/>
      <c r="D1042" s="94"/>
      <c r="E1042" s="94"/>
      <c r="F1042" s="94"/>
      <c r="G1042" s="94"/>
      <c r="H1042" s="94"/>
      <c r="I1042" s="94"/>
      <c r="J1042" s="271" t="s">
        <v>51</v>
      </c>
      <c r="K1042" s="138">
        <v>81</v>
      </c>
      <c r="L1042" s="94"/>
      <c r="M1042" s="267" t="s">
        <v>113</v>
      </c>
      <c r="N1042" s="100">
        <f>EN_08001_f+EN_08001_m+EN_08001_p</f>
        <v>23.156734125</v>
      </c>
      <c r="O1042" s="93"/>
    </row>
    <row r="1043" spans="1:15" x14ac:dyDescent="0.25">
      <c r="A1043" s="267" t="s">
        <v>125</v>
      </c>
      <c r="B1043" s="133" t="s">
        <v>21</v>
      </c>
      <c r="C1043" s="94"/>
      <c r="D1043" s="267" t="s">
        <v>122</v>
      </c>
      <c r="E1043" s="94"/>
      <c r="F1043" s="94"/>
      <c r="G1043" s="94"/>
      <c r="H1043" s="94"/>
      <c r="I1043" s="94"/>
      <c r="J1043" s="94"/>
      <c r="K1043" s="94"/>
      <c r="L1043" s="94"/>
      <c r="M1043" s="267" t="s">
        <v>124</v>
      </c>
      <c r="N1043" s="136">
        <v>1</v>
      </c>
      <c r="O1043" s="93"/>
    </row>
    <row r="1044" spans="1:15" x14ac:dyDescent="0.25">
      <c r="A1044" s="267" t="s">
        <v>123</v>
      </c>
      <c r="B1044" s="270" t="str">
        <f>'EN Assemblies'!B387</f>
        <v>Cooling system</v>
      </c>
      <c r="C1044" s="94"/>
      <c r="D1044" s="267" t="s">
        <v>119</v>
      </c>
      <c r="E1044" s="94"/>
      <c r="F1044" s="94"/>
      <c r="G1044" s="94"/>
      <c r="H1044" s="94"/>
      <c r="I1044" s="94"/>
      <c r="J1044" s="268" t="s">
        <v>122</v>
      </c>
      <c r="K1044" s="94"/>
      <c r="L1044" s="94"/>
      <c r="M1044" s="94"/>
      <c r="N1044" s="94"/>
      <c r="O1044" s="93"/>
    </row>
    <row r="1045" spans="1:15" x14ac:dyDescent="0.25">
      <c r="A1045" s="267" t="s">
        <v>114</v>
      </c>
      <c r="B1045" s="135" t="s">
        <v>781</v>
      </c>
      <c r="C1045" s="94"/>
      <c r="D1045" s="267" t="s">
        <v>116</v>
      </c>
      <c r="E1045" s="94"/>
      <c r="F1045" s="94"/>
      <c r="G1045" s="94"/>
      <c r="H1045" s="94"/>
      <c r="I1045" s="94"/>
      <c r="J1045" s="268" t="s">
        <v>119</v>
      </c>
      <c r="K1045" s="94"/>
      <c r="L1045" s="94"/>
      <c r="M1045" s="267" t="s">
        <v>118</v>
      </c>
      <c r="N1045" s="100">
        <f>N1043*N1042</f>
        <v>23.156734125</v>
      </c>
      <c r="O1045" s="93"/>
    </row>
    <row r="1046" spans="1:15" x14ac:dyDescent="0.25">
      <c r="A1046" s="267" t="s">
        <v>121</v>
      </c>
      <c r="B1046" s="269" t="s">
        <v>780</v>
      </c>
      <c r="C1046" s="94"/>
      <c r="D1046" s="94"/>
      <c r="E1046" s="94"/>
      <c r="F1046" s="94"/>
      <c r="G1046" s="94"/>
      <c r="H1046" s="94"/>
      <c r="I1046" s="94"/>
      <c r="J1046" s="268" t="s">
        <v>116</v>
      </c>
      <c r="K1046" s="94"/>
      <c r="L1046" s="94"/>
      <c r="M1046" s="94"/>
      <c r="N1046" s="94"/>
      <c r="O1046" s="93"/>
    </row>
    <row r="1047" spans="1:15" x14ac:dyDescent="0.25">
      <c r="A1047" s="267" t="s">
        <v>117</v>
      </c>
      <c r="B1047" s="133" t="s">
        <v>23</v>
      </c>
      <c r="C1047" s="94"/>
      <c r="D1047" s="94"/>
      <c r="E1047" s="94"/>
      <c r="F1047" s="94"/>
      <c r="G1047" s="94"/>
      <c r="H1047" s="94"/>
      <c r="I1047" s="94"/>
      <c r="J1047" s="94"/>
      <c r="K1047" s="94"/>
      <c r="L1047" s="94"/>
      <c r="M1047" s="94"/>
      <c r="N1047" s="94"/>
      <c r="O1047" s="93"/>
    </row>
    <row r="1048" spans="1:15" x14ac:dyDescent="0.25">
      <c r="A1048" s="267" t="s">
        <v>115</v>
      </c>
      <c r="B1048" s="133"/>
      <c r="C1048" s="94"/>
      <c r="D1048" s="94"/>
      <c r="E1048" s="94"/>
      <c r="F1048" s="94"/>
      <c r="G1048" s="94"/>
      <c r="H1048" s="94"/>
      <c r="I1048" s="94"/>
      <c r="J1048" s="94"/>
      <c r="K1048" s="94"/>
      <c r="L1048" s="94"/>
      <c r="M1048" s="94"/>
      <c r="N1048" s="94"/>
      <c r="O1048" s="93"/>
    </row>
    <row r="1049" spans="1:15" x14ac:dyDescent="0.25">
      <c r="A1049" s="266"/>
      <c r="B1049" s="265"/>
      <c r="C1049" s="265"/>
      <c r="D1049" s="265"/>
      <c r="E1049" s="265"/>
      <c r="F1049" s="94"/>
      <c r="G1049" s="94"/>
      <c r="H1049" s="94"/>
      <c r="I1049" s="94"/>
      <c r="J1049" s="94"/>
      <c r="K1049" s="94"/>
      <c r="L1049" s="94"/>
      <c r="M1049" s="94"/>
      <c r="N1049" s="94"/>
      <c r="O1049" s="93"/>
    </row>
    <row r="1050" spans="1:15" x14ac:dyDescent="0.25">
      <c r="A1050" s="264" t="s">
        <v>67</v>
      </c>
      <c r="B1050" s="263" t="s">
        <v>112</v>
      </c>
      <c r="C1050" s="263" t="s">
        <v>66</v>
      </c>
      <c r="D1050" s="263" t="s">
        <v>65</v>
      </c>
      <c r="E1050" s="263" t="s">
        <v>81</v>
      </c>
      <c r="F1050" s="274" t="s">
        <v>80</v>
      </c>
      <c r="G1050" s="274" t="s">
        <v>79</v>
      </c>
      <c r="H1050" s="274" t="s">
        <v>78</v>
      </c>
      <c r="I1050" s="274" t="s">
        <v>111</v>
      </c>
      <c r="J1050" s="274" t="s">
        <v>110</v>
      </c>
      <c r="K1050" s="274" t="s">
        <v>109</v>
      </c>
      <c r="L1050" s="274" t="s">
        <v>108</v>
      </c>
      <c r="M1050" s="274" t="s">
        <v>40</v>
      </c>
      <c r="N1050" s="274" t="s">
        <v>58</v>
      </c>
      <c r="O1050" s="93"/>
    </row>
    <row r="1051" spans="1:15" x14ac:dyDescent="0.25">
      <c r="A1051" s="389">
        <v>10</v>
      </c>
      <c r="B1051" s="282" t="s">
        <v>302</v>
      </c>
      <c r="C1051" s="282" t="s">
        <v>779</v>
      </c>
      <c r="D1051" s="283">
        <v>5.64</v>
      </c>
      <c r="E1051" s="282">
        <v>27.5</v>
      </c>
      <c r="F1051" s="282" t="s">
        <v>68</v>
      </c>
      <c r="G1051" s="282"/>
      <c r="H1051" s="278"/>
      <c r="I1051" s="303"/>
      <c r="J1051" s="381"/>
      <c r="K1051" s="278"/>
      <c r="L1051" s="278"/>
      <c r="M1051" s="388">
        <v>0.3</v>
      </c>
      <c r="N1051" s="387">
        <f>IF(J1051="",D1051*M1051,D1051*J1051*K1051*L1051*M1051)</f>
        <v>1.6919999999999999</v>
      </c>
      <c r="O1051" s="143"/>
    </row>
    <row r="1052" spans="1:15" x14ac:dyDescent="0.25">
      <c r="A1052" s="296">
        <v>20</v>
      </c>
      <c r="B1052" s="282" t="s">
        <v>778</v>
      </c>
      <c r="C1052" s="282" t="s">
        <v>777</v>
      </c>
      <c r="D1052" s="283">
        <v>2.25</v>
      </c>
      <c r="E1052" s="282">
        <v>25</v>
      </c>
      <c r="F1052" s="282" t="s">
        <v>68</v>
      </c>
      <c r="G1052" s="282">
        <v>0.5</v>
      </c>
      <c r="H1052" s="278" t="s">
        <v>68</v>
      </c>
      <c r="I1052" s="303" t="s">
        <v>776</v>
      </c>
      <c r="J1052" s="377">
        <v>3.8475E-4</v>
      </c>
      <c r="K1052" s="278">
        <v>1.1000000000000001</v>
      </c>
      <c r="L1052" s="278">
        <v>7860</v>
      </c>
      <c r="M1052" s="380">
        <v>1</v>
      </c>
      <c r="N1052" s="387">
        <f>IF(J1052="",D1052*M1052,D1052*J1052*K1052*L1052*M1052)</f>
        <v>7.484734125000001</v>
      </c>
      <c r="O1052" s="143"/>
    </row>
    <row r="1053" spans="1:15" x14ac:dyDescent="0.25">
      <c r="A1053" s="98"/>
      <c r="B1053" s="95"/>
      <c r="C1053" s="95"/>
      <c r="D1053" s="95"/>
      <c r="E1053" s="95"/>
      <c r="F1053" s="95"/>
      <c r="G1053" s="95"/>
      <c r="H1053" s="95"/>
      <c r="I1053" s="95"/>
      <c r="J1053" s="95"/>
      <c r="K1053" s="95"/>
      <c r="L1053" s="95"/>
      <c r="M1053" s="256" t="s">
        <v>58</v>
      </c>
      <c r="N1053" s="255">
        <f>SUM(N1051:N1052)</f>
        <v>9.1767341250000012</v>
      </c>
      <c r="O1053" s="93"/>
    </row>
    <row r="1054" spans="1:15" x14ac:dyDescent="0.25">
      <c r="A1054" s="107"/>
      <c r="B1054" s="94"/>
      <c r="C1054" s="94"/>
      <c r="D1054" s="94"/>
      <c r="E1054" s="94"/>
      <c r="F1054" s="94"/>
      <c r="G1054" s="94"/>
      <c r="H1054" s="94"/>
      <c r="I1054" s="94"/>
      <c r="J1054" s="94"/>
      <c r="K1054" s="94"/>
      <c r="L1054" s="94"/>
      <c r="M1054" s="94"/>
      <c r="N1054" s="94"/>
      <c r="O1054" s="93"/>
    </row>
    <row r="1055" spans="1:15" x14ac:dyDescent="0.25">
      <c r="A1055" s="342" t="s">
        <v>67</v>
      </c>
      <c r="B1055" s="274" t="s">
        <v>106</v>
      </c>
      <c r="C1055" s="274" t="s">
        <v>66</v>
      </c>
      <c r="D1055" s="274" t="s">
        <v>65</v>
      </c>
      <c r="E1055" s="274" t="s">
        <v>64</v>
      </c>
      <c r="F1055" s="274" t="s">
        <v>40</v>
      </c>
      <c r="G1055" s="274" t="s">
        <v>105</v>
      </c>
      <c r="H1055" s="274" t="s">
        <v>104</v>
      </c>
      <c r="I1055" s="274" t="s">
        <v>58</v>
      </c>
      <c r="J1055" s="95"/>
      <c r="K1055" s="95"/>
      <c r="L1055" s="95"/>
      <c r="M1055" s="95"/>
      <c r="N1055" s="95"/>
      <c r="O1055" s="93"/>
    </row>
    <row r="1056" spans="1:15" x14ac:dyDescent="0.25">
      <c r="A1056" s="282">
        <v>10</v>
      </c>
      <c r="B1056" s="376" t="s">
        <v>290</v>
      </c>
      <c r="C1056" s="285" t="s">
        <v>775</v>
      </c>
      <c r="D1056" s="283">
        <v>0.06</v>
      </c>
      <c r="E1056" s="282" t="s">
        <v>101</v>
      </c>
      <c r="F1056" s="282">
        <v>47</v>
      </c>
      <c r="G1056" s="282"/>
      <c r="H1056" s="282">
        <v>1</v>
      </c>
      <c r="I1056" s="293">
        <f>IF(H1056="",D1056*F1056,D1056*F1056*H1056)</f>
        <v>2.82</v>
      </c>
      <c r="J1056" s="142"/>
      <c r="K1056" s="142"/>
      <c r="L1056" s="142"/>
      <c r="M1056" s="142"/>
      <c r="N1056" s="142"/>
      <c r="O1056" s="120"/>
    </row>
    <row r="1057" spans="1:15" x14ac:dyDescent="0.25">
      <c r="A1057" s="282">
        <v>20</v>
      </c>
      <c r="B1057" s="376" t="s">
        <v>774</v>
      </c>
      <c r="C1057" s="285" t="s">
        <v>773</v>
      </c>
      <c r="D1057" s="283">
        <v>0.4</v>
      </c>
      <c r="E1057" s="282" t="s">
        <v>101</v>
      </c>
      <c r="F1057" s="282">
        <v>15</v>
      </c>
      <c r="G1057" s="282"/>
      <c r="H1057" s="282"/>
      <c r="I1057" s="293">
        <f>IF(H1057="",D1057*F1057,D1057*F1057*H1057)</f>
        <v>6</v>
      </c>
      <c r="J1057" s="94"/>
      <c r="K1057" s="94"/>
      <c r="L1057" s="94"/>
      <c r="M1057" s="94"/>
      <c r="N1057" s="94"/>
      <c r="O1057" s="93"/>
    </row>
    <row r="1058" spans="1:15" x14ac:dyDescent="0.25">
      <c r="A1058" s="282">
        <v>30</v>
      </c>
      <c r="B1058" s="376" t="s">
        <v>95</v>
      </c>
      <c r="C1058" s="376" t="s">
        <v>772</v>
      </c>
      <c r="D1058" s="283">
        <v>0.19</v>
      </c>
      <c r="E1058" s="282" t="s">
        <v>258</v>
      </c>
      <c r="F1058" s="282">
        <v>4</v>
      </c>
      <c r="G1058" s="282"/>
      <c r="H1058" s="282"/>
      <c r="I1058" s="276">
        <f>IF(H1058="",D1058*F1058,D1058*F1058*H1058)</f>
        <v>0.76</v>
      </c>
      <c r="J1058" s="99"/>
      <c r="K1058" s="99"/>
      <c r="L1058" s="94"/>
      <c r="M1058" s="99"/>
      <c r="N1058" s="99"/>
      <c r="O1058" s="130"/>
    </row>
    <row r="1059" spans="1:15" x14ac:dyDescent="0.25">
      <c r="A1059" s="282">
        <v>40</v>
      </c>
      <c r="B1059" s="376" t="s">
        <v>163</v>
      </c>
      <c r="C1059" s="285" t="s">
        <v>259</v>
      </c>
      <c r="D1059" s="283">
        <v>0.5</v>
      </c>
      <c r="E1059" s="282" t="s">
        <v>258</v>
      </c>
      <c r="F1059" s="282">
        <v>4</v>
      </c>
      <c r="G1059" s="282"/>
      <c r="H1059" s="282"/>
      <c r="I1059" s="276">
        <f>IF(H1059="",D1059*F1059,D1059*F1059*H1059)</f>
        <v>2</v>
      </c>
      <c r="J1059" s="94"/>
      <c r="K1059" s="94"/>
      <c r="L1059" s="94"/>
      <c r="M1059" s="94"/>
      <c r="N1059" s="94"/>
      <c r="O1059" s="93"/>
    </row>
    <row r="1060" spans="1:15" x14ac:dyDescent="0.25">
      <c r="A1060" s="98"/>
      <c r="B1060" s="95"/>
      <c r="C1060" s="95"/>
      <c r="D1060" s="95"/>
      <c r="E1060" s="95"/>
      <c r="F1060" s="95"/>
      <c r="G1060" s="95"/>
      <c r="H1060" s="256" t="s">
        <v>58</v>
      </c>
      <c r="I1060" s="255">
        <f>SUM(I1056:I1059)</f>
        <v>11.58</v>
      </c>
      <c r="J1060" s="95"/>
      <c r="K1060" s="95"/>
      <c r="L1060" s="95"/>
      <c r="M1060" s="95"/>
      <c r="N1060" s="95"/>
      <c r="O1060" s="93"/>
    </row>
    <row r="1061" spans="1:15" x14ac:dyDescent="0.25">
      <c r="A1061" s="107"/>
      <c r="B1061" s="94"/>
      <c r="C1061" s="94"/>
      <c r="D1061" s="94"/>
      <c r="E1061" s="94"/>
      <c r="F1061" s="94"/>
      <c r="G1061" s="94"/>
      <c r="H1061" s="94"/>
      <c r="I1061" s="99"/>
      <c r="J1061" s="94"/>
      <c r="K1061" s="94"/>
      <c r="L1061" s="94"/>
      <c r="M1061" s="94"/>
      <c r="N1061" s="94"/>
      <c r="O1061" s="93"/>
    </row>
    <row r="1062" spans="1:15" x14ac:dyDescent="0.25">
      <c r="A1062" s="342" t="s">
        <v>67</v>
      </c>
      <c r="B1062" s="274" t="s">
        <v>82</v>
      </c>
      <c r="C1062" s="274" t="s">
        <v>66</v>
      </c>
      <c r="D1062" s="274" t="s">
        <v>65</v>
      </c>
      <c r="E1062" s="274" t="s">
        <v>81</v>
      </c>
      <c r="F1062" s="274" t="s">
        <v>80</v>
      </c>
      <c r="G1062" s="274" t="s">
        <v>79</v>
      </c>
      <c r="H1062" s="274" t="s">
        <v>78</v>
      </c>
      <c r="I1062" s="274" t="s">
        <v>40</v>
      </c>
      <c r="J1062" s="274" t="s">
        <v>58</v>
      </c>
      <c r="K1062" s="94"/>
      <c r="L1062" s="94"/>
      <c r="M1062" s="94"/>
      <c r="N1062" s="94"/>
      <c r="O1062" s="93"/>
    </row>
    <row r="1063" spans="1:15" x14ac:dyDescent="0.25">
      <c r="A1063" s="282">
        <v>10</v>
      </c>
      <c r="B1063" s="292" t="s">
        <v>255</v>
      </c>
      <c r="C1063" s="292" t="s">
        <v>254</v>
      </c>
      <c r="D1063" s="283">
        <v>0.6</v>
      </c>
      <c r="E1063" s="282">
        <v>25.4</v>
      </c>
      <c r="F1063" s="374" t="s">
        <v>68</v>
      </c>
      <c r="G1063" s="282"/>
      <c r="H1063" s="285"/>
      <c r="I1063" s="373">
        <v>4</v>
      </c>
      <c r="J1063" s="276">
        <f>I1063*D1063</f>
        <v>2.4</v>
      </c>
      <c r="K1063" s="94"/>
      <c r="L1063" s="94"/>
      <c r="M1063" s="94"/>
      <c r="N1063" s="94"/>
      <c r="O1063" s="93"/>
    </row>
    <row r="1064" spans="1:15" x14ac:dyDescent="0.25">
      <c r="A1064" s="98"/>
      <c r="B1064" s="95"/>
      <c r="C1064" s="95"/>
      <c r="D1064" s="95"/>
      <c r="E1064" s="95"/>
      <c r="F1064" s="95"/>
      <c r="G1064" s="95"/>
      <c r="H1064" s="95"/>
      <c r="I1064" s="256" t="s">
        <v>58</v>
      </c>
      <c r="J1064" s="255">
        <f>SUM(J1063:J1063)</f>
        <v>2.4</v>
      </c>
      <c r="K1064" s="94"/>
      <c r="L1064" s="94"/>
      <c r="M1064" s="94"/>
      <c r="N1064" s="94"/>
      <c r="O1064" s="93"/>
    </row>
    <row r="1065" spans="1:15" x14ac:dyDescent="0.25">
      <c r="A1065" s="360"/>
      <c r="B1065" s="99"/>
      <c r="C1065" s="99"/>
      <c r="D1065" s="99"/>
      <c r="E1065" s="99"/>
      <c r="F1065" s="99"/>
      <c r="G1065" s="99"/>
      <c r="H1065" s="359"/>
      <c r="I1065" s="358"/>
      <c r="J1065" s="99"/>
      <c r="K1065" s="94"/>
      <c r="L1065" s="94"/>
      <c r="M1065" s="94"/>
      <c r="N1065" s="94"/>
      <c r="O1065" s="93"/>
    </row>
    <row r="1066" spans="1:15" ht="15.75" thickBot="1" x14ac:dyDescent="0.3">
      <c r="A1066" s="92"/>
      <c r="B1066" s="91"/>
      <c r="C1066" s="91"/>
      <c r="D1066" s="91"/>
      <c r="E1066" s="91"/>
      <c r="F1066" s="91"/>
      <c r="G1066" s="91"/>
      <c r="H1066" s="91"/>
      <c r="I1066" s="91"/>
      <c r="J1066" s="91"/>
      <c r="K1066" s="91"/>
      <c r="L1066" s="91"/>
      <c r="M1066" s="91"/>
      <c r="N1066" s="91"/>
      <c r="O1066" s="90"/>
    </row>
    <row r="1067" spans="1:15" ht="15.75" thickBot="1" x14ac:dyDescent="0.3"/>
    <row r="1068" spans="1:15" x14ac:dyDescent="0.25">
      <c r="A1068" s="141"/>
      <c r="B1068" s="140"/>
      <c r="C1068" s="140"/>
      <c r="D1068" s="140"/>
      <c r="E1068" s="140"/>
      <c r="F1068" s="140"/>
      <c r="G1068" s="140"/>
      <c r="H1068" s="140"/>
      <c r="I1068" s="140"/>
      <c r="J1068" s="272"/>
      <c r="K1068" s="140"/>
      <c r="L1068" s="140"/>
      <c r="M1068" s="140"/>
      <c r="N1068" s="140"/>
      <c r="O1068" s="139"/>
    </row>
    <row r="1069" spans="1:15" x14ac:dyDescent="0.25">
      <c r="A1069" s="267" t="s">
        <v>57</v>
      </c>
      <c r="B1069" s="133" t="s">
        <v>523</v>
      </c>
      <c r="C1069" s="94"/>
      <c r="D1069" s="94"/>
      <c r="E1069" s="94"/>
      <c r="F1069" s="94"/>
      <c r="G1069" s="94"/>
      <c r="H1069" s="94"/>
      <c r="I1069" s="94"/>
      <c r="J1069" s="271" t="s">
        <v>51</v>
      </c>
      <c r="K1069" s="138">
        <v>81</v>
      </c>
      <c r="L1069" s="94"/>
      <c r="M1069" s="267" t="s">
        <v>113</v>
      </c>
      <c r="N1069" s="100">
        <f>EN_08002_m</f>
        <v>11.843999999999999</v>
      </c>
      <c r="O1069" s="93"/>
    </row>
    <row r="1070" spans="1:15" x14ac:dyDescent="0.25">
      <c r="A1070" s="267" t="s">
        <v>125</v>
      </c>
      <c r="B1070" s="133" t="s">
        <v>21</v>
      </c>
      <c r="C1070" s="94"/>
      <c r="D1070" s="267" t="s">
        <v>122</v>
      </c>
      <c r="E1070" s="270" t="s">
        <v>522</v>
      </c>
      <c r="F1070" s="94"/>
      <c r="G1070" s="94"/>
      <c r="H1070" s="94"/>
      <c r="I1070" s="94"/>
      <c r="J1070" s="94"/>
      <c r="K1070" s="94"/>
      <c r="L1070" s="94"/>
      <c r="M1070" s="267" t="s">
        <v>124</v>
      </c>
      <c r="N1070" s="136">
        <v>2</v>
      </c>
      <c r="O1070" s="93"/>
    </row>
    <row r="1071" spans="1:15" x14ac:dyDescent="0.25">
      <c r="A1071" s="267" t="s">
        <v>123</v>
      </c>
      <c r="B1071" s="270" t="str">
        <f>'EN Assemblies'!B387</f>
        <v>Cooling system</v>
      </c>
      <c r="C1071" s="94"/>
      <c r="D1071" s="267" t="s">
        <v>119</v>
      </c>
      <c r="E1071" s="94"/>
      <c r="F1071" s="94"/>
      <c r="G1071" s="94"/>
      <c r="H1071" s="94"/>
      <c r="I1071" s="94"/>
      <c r="J1071" s="268" t="s">
        <v>122</v>
      </c>
      <c r="K1071" s="94"/>
      <c r="L1071" s="94"/>
      <c r="M1071" s="94"/>
      <c r="N1071" s="94"/>
      <c r="O1071" s="93"/>
    </row>
    <row r="1072" spans="1:15" x14ac:dyDescent="0.25">
      <c r="A1072" s="267" t="s">
        <v>114</v>
      </c>
      <c r="B1072" s="135" t="s">
        <v>769</v>
      </c>
      <c r="C1072" s="94"/>
      <c r="D1072" s="267" t="s">
        <v>116</v>
      </c>
      <c r="E1072" s="94"/>
      <c r="F1072" s="94"/>
      <c r="G1072" s="94"/>
      <c r="H1072" s="94"/>
      <c r="I1072" s="94"/>
      <c r="J1072" s="268" t="s">
        <v>119</v>
      </c>
      <c r="K1072" s="94"/>
      <c r="L1072" s="94"/>
      <c r="M1072" s="267" t="s">
        <v>118</v>
      </c>
      <c r="N1072" s="100">
        <f>N1070*N1069</f>
        <v>23.687999999999999</v>
      </c>
      <c r="O1072" s="93"/>
    </row>
    <row r="1073" spans="1:15" x14ac:dyDescent="0.25">
      <c r="A1073" s="267" t="s">
        <v>121</v>
      </c>
      <c r="B1073" s="269" t="s">
        <v>771</v>
      </c>
      <c r="C1073" s="94"/>
      <c r="D1073" s="94"/>
      <c r="E1073" s="94"/>
      <c r="F1073" s="94"/>
      <c r="G1073" s="94"/>
      <c r="H1073" s="94"/>
      <c r="I1073" s="94"/>
      <c r="J1073" s="268" t="s">
        <v>116</v>
      </c>
      <c r="K1073" s="94"/>
      <c r="L1073" s="94"/>
      <c r="M1073" s="94"/>
      <c r="N1073" s="94"/>
      <c r="O1073" s="93"/>
    </row>
    <row r="1074" spans="1:15" x14ac:dyDescent="0.25">
      <c r="A1074" s="267" t="s">
        <v>117</v>
      </c>
      <c r="B1074" s="133" t="s">
        <v>23</v>
      </c>
      <c r="C1074" s="94"/>
      <c r="D1074" s="94"/>
      <c r="E1074" s="94"/>
      <c r="F1074" s="94"/>
      <c r="G1074" s="94"/>
      <c r="H1074" s="94"/>
      <c r="I1074" s="94"/>
      <c r="J1074" s="94"/>
      <c r="K1074" s="94"/>
      <c r="L1074" s="94"/>
      <c r="M1074" s="94"/>
      <c r="N1074" s="94"/>
      <c r="O1074" s="93"/>
    </row>
    <row r="1075" spans="1:15" x14ac:dyDescent="0.25">
      <c r="A1075" s="267" t="s">
        <v>115</v>
      </c>
      <c r="B1075" s="133"/>
      <c r="C1075" s="94"/>
      <c r="D1075" s="94"/>
      <c r="E1075" s="94"/>
      <c r="F1075" s="94"/>
      <c r="G1075" s="94"/>
      <c r="H1075" s="94"/>
      <c r="I1075" s="94"/>
      <c r="J1075" s="94"/>
      <c r="K1075" s="94"/>
      <c r="L1075" s="94"/>
      <c r="M1075" s="94"/>
      <c r="N1075" s="94"/>
      <c r="O1075" s="93"/>
    </row>
    <row r="1076" spans="1:15" x14ac:dyDescent="0.25">
      <c r="A1076" s="266"/>
      <c r="B1076" s="265"/>
      <c r="C1076" s="265"/>
      <c r="D1076" s="265"/>
      <c r="E1076" s="265"/>
      <c r="F1076" s="94"/>
      <c r="G1076" s="94"/>
      <c r="H1076" s="94"/>
      <c r="I1076" s="94"/>
      <c r="J1076" s="94"/>
      <c r="K1076" s="94"/>
      <c r="L1076" s="94"/>
      <c r="M1076" s="94"/>
      <c r="N1076" s="94"/>
      <c r="O1076" s="93"/>
    </row>
    <row r="1077" spans="1:15" x14ac:dyDescent="0.25">
      <c r="A1077" s="264" t="s">
        <v>67</v>
      </c>
      <c r="B1077" s="263" t="s">
        <v>112</v>
      </c>
      <c r="C1077" s="263" t="s">
        <v>66</v>
      </c>
      <c r="D1077" s="263" t="s">
        <v>65</v>
      </c>
      <c r="E1077" s="263" t="s">
        <v>81</v>
      </c>
      <c r="F1077" s="274" t="s">
        <v>80</v>
      </c>
      <c r="G1077" s="274" t="s">
        <v>79</v>
      </c>
      <c r="H1077" s="274" t="s">
        <v>78</v>
      </c>
      <c r="I1077" s="274" t="s">
        <v>111</v>
      </c>
      <c r="J1077" s="274" t="s">
        <v>110</v>
      </c>
      <c r="K1077" s="274" t="s">
        <v>109</v>
      </c>
      <c r="L1077" s="274" t="s">
        <v>108</v>
      </c>
      <c r="M1077" s="274" t="s">
        <v>40</v>
      </c>
      <c r="N1077" s="274" t="s">
        <v>58</v>
      </c>
      <c r="O1077" s="93"/>
    </row>
    <row r="1078" spans="1:15" x14ac:dyDescent="0.25">
      <c r="A1078" s="282">
        <v>10</v>
      </c>
      <c r="B1078" s="292" t="s">
        <v>770</v>
      </c>
      <c r="C1078" s="282" t="s">
        <v>769</v>
      </c>
      <c r="D1078" s="386">
        <v>3.5000000000000001E-3</v>
      </c>
      <c r="E1078" s="282">
        <v>3384</v>
      </c>
      <c r="F1078" s="282" t="s">
        <v>512</v>
      </c>
      <c r="G1078" s="282"/>
      <c r="H1078" s="278"/>
      <c r="I1078" s="303"/>
      <c r="J1078" s="381"/>
      <c r="K1078" s="278"/>
      <c r="L1078" s="278"/>
      <c r="M1078" s="380">
        <v>1</v>
      </c>
      <c r="N1078" s="276">
        <f>D1078*E1078</f>
        <v>11.843999999999999</v>
      </c>
      <c r="O1078" s="143"/>
    </row>
    <row r="1079" spans="1:15" x14ac:dyDescent="0.25">
      <c r="A1079" s="98"/>
      <c r="B1079" s="95"/>
      <c r="C1079" s="95"/>
      <c r="D1079" s="95"/>
      <c r="E1079" s="95"/>
      <c r="F1079" s="95"/>
      <c r="G1079" s="95"/>
      <c r="H1079" s="95"/>
      <c r="I1079" s="95"/>
      <c r="J1079" s="95"/>
      <c r="K1079" s="95"/>
      <c r="L1079" s="95"/>
      <c r="M1079" s="256" t="s">
        <v>58</v>
      </c>
      <c r="N1079" s="255">
        <f>SUM(N1078:N1078)</f>
        <v>11.843999999999999</v>
      </c>
      <c r="O1079" s="93"/>
    </row>
    <row r="1080" spans="1:15" x14ac:dyDescent="0.25">
      <c r="A1080" s="107"/>
      <c r="B1080" s="94"/>
      <c r="C1080" s="94"/>
      <c r="D1080" s="94"/>
      <c r="E1080" s="94"/>
      <c r="F1080" s="94"/>
      <c r="G1080" s="94"/>
      <c r="H1080" s="94"/>
      <c r="I1080" s="94"/>
      <c r="J1080" s="94"/>
      <c r="K1080" s="94"/>
      <c r="L1080" s="94"/>
      <c r="M1080" s="94"/>
      <c r="N1080" s="94"/>
      <c r="O1080" s="93"/>
    </row>
    <row r="1081" spans="1:15" ht="15.75" thickBot="1" x14ac:dyDescent="0.3">
      <c r="A1081" s="92"/>
      <c r="B1081" s="91"/>
      <c r="C1081" s="91"/>
      <c r="D1081" s="91"/>
      <c r="E1081" s="91"/>
      <c r="F1081" s="91"/>
      <c r="G1081" s="91"/>
      <c r="H1081" s="91"/>
      <c r="I1081" s="91"/>
      <c r="J1081" s="91"/>
      <c r="K1081" s="91"/>
      <c r="L1081" s="91"/>
      <c r="M1081" s="91"/>
      <c r="N1081" s="91"/>
      <c r="O1081" s="90"/>
    </row>
    <row r="1082" spans="1:15" ht="15.75" thickBot="1" x14ac:dyDescent="0.3"/>
    <row r="1083" spans="1:15" x14ac:dyDescent="0.25">
      <c r="A1083" s="141"/>
      <c r="B1083" s="140"/>
      <c r="C1083" s="140"/>
      <c r="D1083" s="140"/>
      <c r="E1083" s="140"/>
      <c r="F1083" s="140"/>
      <c r="G1083" s="140"/>
      <c r="H1083" s="140"/>
      <c r="I1083" s="140"/>
      <c r="J1083" s="272"/>
      <c r="K1083" s="140"/>
      <c r="L1083" s="140"/>
      <c r="M1083" s="140"/>
      <c r="N1083" s="140"/>
      <c r="O1083" s="139"/>
    </row>
    <row r="1084" spans="1:15" x14ac:dyDescent="0.25">
      <c r="A1084" s="267" t="s">
        <v>57</v>
      </c>
      <c r="B1084" s="133" t="s">
        <v>523</v>
      </c>
      <c r="C1084" s="94"/>
      <c r="D1084" s="94"/>
      <c r="E1084" s="94"/>
      <c r="F1084" s="94"/>
      <c r="G1084" s="94"/>
      <c r="H1084" s="94"/>
      <c r="I1084" s="94"/>
      <c r="J1084" s="271" t="s">
        <v>51</v>
      </c>
      <c r="K1084" s="138">
        <v>81</v>
      </c>
      <c r="L1084" s="94"/>
      <c r="M1084" s="267" t="s">
        <v>113</v>
      </c>
      <c r="N1084" s="100">
        <f>EN_08003_f+EN_08003_m+EN_08003_p</f>
        <v>30.41</v>
      </c>
      <c r="O1084" s="93"/>
    </row>
    <row r="1085" spans="1:15" x14ac:dyDescent="0.25">
      <c r="A1085" s="267" t="s">
        <v>125</v>
      </c>
      <c r="B1085" s="133" t="s">
        <v>21</v>
      </c>
      <c r="C1085" s="94"/>
      <c r="D1085" s="267" t="s">
        <v>122</v>
      </c>
      <c r="E1085" s="94"/>
      <c r="F1085" s="94"/>
      <c r="G1085" s="94"/>
      <c r="H1085" s="94"/>
      <c r="I1085" s="94"/>
      <c r="J1085" s="94"/>
      <c r="K1085" s="94"/>
      <c r="L1085" s="94"/>
      <c r="M1085" s="267" t="s">
        <v>124</v>
      </c>
      <c r="N1085" s="136">
        <v>1</v>
      </c>
      <c r="O1085" s="93"/>
    </row>
    <row r="1086" spans="1:15" x14ac:dyDescent="0.25">
      <c r="A1086" s="267" t="s">
        <v>123</v>
      </c>
      <c r="B1086" s="270" t="str">
        <f>'EN Assemblies'!B387</f>
        <v>Cooling system</v>
      </c>
      <c r="C1086" s="94"/>
      <c r="D1086" s="267" t="s">
        <v>119</v>
      </c>
      <c r="E1086" s="94"/>
      <c r="F1086" s="94"/>
      <c r="G1086" s="94"/>
      <c r="H1086" s="94"/>
      <c r="I1086" s="94"/>
      <c r="J1086" s="268" t="s">
        <v>122</v>
      </c>
      <c r="K1086" s="94"/>
      <c r="L1086" s="94"/>
      <c r="M1086" s="94"/>
      <c r="N1086" s="94"/>
      <c r="O1086" s="93"/>
    </row>
    <row r="1087" spans="1:15" x14ac:dyDescent="0.25">
      <c r="A1087" s="267" t="s">
        <v>114</v>
      </c>
      <c r="B1087" s="135" t="s">
        <v>768</v>
      </c>
      <c r="C1087" s="94"/>
      <c r="D1087" s="267" t="s">
        <v>116</v>
      </c>
      <c r="E1087" s="94"/>
      <c r="F1087" s="94"/>
      <c r="G1087" s="94"/>
      <c r="H1087" s="94"/>
      <c r="I1087" s="94"/>
      <c r="J1087" s="268" t="s">
        <v>119</v>
      </c>
      <c r="K1087" s="94"/>
      <c r="L1087" s="94"/>
      <c r="M1087" s="267" t="s">
        <v>118</v>
      </c>
      <c r="N1087" s="100">
        <f>N1085*N1084</f>
        <v>30.41</v>
      </c>
      <c r="O1087" s="93"/>
    </row>
    <row r="1088" spans="1:15" x14ac:dyDescent="0.25">
      <c r="A1088" s="267" t="s">
        <v>121</v>
      </c>
      <c r="B1088" s="269" t="s">
        <v>767</v>
      </c>
      <c r="C1088" s="94"/>
      <c r="D1088" s="94"/>
      <c r="E1088" s="94"/>
      <c r="F1088" s="94"/>
      <c r="G1088" s="94"/>
      <c r="H1088" s="94"/>
      <c r="I1088" s="94"/>
      <c r="J1088" s="268" t="s">
        <v>116</v>
      </c>
      <c r="K1088" s="94"/>
      <c r="L1088" s="94"/>
      <c r="M1088" s="94"/>
      <c r="N1088" s="94"/>
      <c r="O1088" s="93"/>
    </row>
    <row r="1089" spans="1:15" x14ac:dyDescent="0.25">
      <c r="A1089" s="267" t="s">
        <v>117</v>
      </c>
      <c r="B1089" s="133" t="s">
        <v>23</v>
      </c>
      <c r="C1089" s="94"/>
      <c r="D1089" s="94"/>
      <c r="E1089" s="94"/>
      <c r="F1089" s="94"/>
      <c r="G1089" s="94"/>
      <c r="H1089" s="94"/>
      <c r="I1089" s="94"/>
      <c r="J1089" s="94"/>
      <c r="K1089" s="94"/>
      <c r="L1089" s="94"/>
      <c r="M1089" s="94"/>
      <c r="N1089" s="94"/>
      <c r="O1089" s="93"/>
    </row>
    <row r="1090" spans="1:15" x14ac:dyDescent="0.25">
      <c r="A1090" s="267" t="s">
        <v>115</v>
      </c>
      <c r="B1090" s="133"/>
      <c r="C1090" s="94"/>
      <c r="D1090" s="94"/>
      <c r="E1090" s="94"/>
      <c r="F1090" s="94"/>
      <c r="G1090" s="94"/>
      <c r="H1090" s="94"/>
      <c r="I1090" s="94"/>
      <c r="J1090" s="94"/>
      <c r="K1090" s="94"/>
      <c r="L1090" s="94"/>
      <c r="M1090" s="94"/>
      <c r="N1090" s="94"/>
      <c r="O1090" s="93"/>
    </row>
    <row r="1091" spans="1:15" x14ac:dyDescent="0.25">
      <c r="A1091" s="266"/>
      <c r="B1091" s="265"/>
      <c r="C1091" s="265"/>
      <c r="D1091" s="265"/>
      <c r="E1091" s="265"/>
      <c r="F1091" s="94"/>
      <c r="G1091" s="94"/>
      <c r="H1091" s="94"/>
      <c r="I1091" s="94"/>
      <c r="J1091" s="94"/>
      <c r="K1091" s="94"/>
      <c r="L1091" s="94"/>
      <c r="M1091" s="94"/>
      <c r="N1091" s="94"/>
      <c r="O1091" s="93"/>
    </row>
    <row r="1092" spans="1:15" x14ac:dyDescent="0.25">
      <c r="A1092" s="264" t="s">
        <v>67</v>
      </c>
      <c r="B1092" s="263" t="s">
        <v>112</v>
      </c>
      <c r="C1092" s="263" t="s">
        <v>66</v>
      </c>
      <c r="D1092" s="263" t="s">
        <v>65</v>
      </c>
      <c r="E1092" s="263" t="s">
        <v>81</v>
      </c>
      <c r="F1092" s="274" t="s">
        <v>80</v>
      </c>
      <c r="G1092" s="274" t="s">
        <v>79</v>
      </c>
      <c r="H1092" s="274" t="s">
        <v>78</v>
      </c>
      <c r="I1092" s="274" t="s">
        <v>111</v>
      </c>
      <c r="J1092" s="274" t="s">
        <v>110</v>
      </c>
      <c r="K1092" s="274" t="s">
        <v>109</v>
      </c>
      <c r="L1092" s="274" t="s">
        <v>108</v>
      </c>
      <c r="M1092" s="274" t="s">
        <v>40</v>
      </c>
      <c r="N1092" s="274" t="s">
        <v>58</v>
      </c>
      <c r="O1092" s="93"/>
    </row>
    <row r="1093" spans="1:15" x14ac:dyDescent="0.25">
      <c r="A1093" s="282">
        <v>10</v>
      </c>
      <c r="B1093" s="292" t="s">
        <v>766</v>
      </c>
      <c r="C1093" s="282"/>
      <c r="D1093" s="283">
        <v>30</v>
      </c>
      <c r="E1093" s="282"/>
      <c r="F1093" s="282"/>
      <c r="G1093" s="282"/>
      <c r="H1093" s="278"/>
      <c r="I1093" s="303"/>
      <c r="J1093" s="381"/>
      <c r="K1093" s="278"/>
      <c r="L1093" s="278"/>
      <c r="M1093" s="380">
        <v>1</v>
      </c>
      <c r="N1093" s="276">
        <f>IF(J1093="",D1093*M1093,D1093*J1093*K1093*L1093*M1093)</f>
        <v>30</v>
      </c>
      <c r="O1093" s="143"/>
    </row>
    <row r="1094" spans="1:15" x14ac:dyDescent="0.25">
      <c r="A1094" s="98"/>
      <c r="B1094" s="95"/>
      <c r="C1094" s="95"/>
      <c r="D1094" s="95"/>
      <c r="E1094" s="95"/>
      <c r="F1094" s="95"/>
      <c r="G1094" s="95"/>
      <c r="H1094" s="95"/>
      <c r="I1094" s="95"/>
      <c r="J1094" s="95"/>
      <c r="K1094" s="95"/>
      <c r="L1094" s="95"/>
      <c r="M1094" s="256" t="s">
        <v>58</v>
      </c>
      <c r="N1094" s="255">
        <f>SUM(N1093:N1093)</f>
        <v>30</v>
      </c>
      <c r="O1094" s="93"/>
    </row>
    <row r="1095" spans="1:15" x14ac:dyDescent="0.25">
      <c r="A1095" s="107"/>
      <c r="B1095" s="94"/>
      <c r="C1095" s="94"/>
      <c r="D1095" s="94"/>
      <c r="E1095" s="94"/>
      <c r="F1095" s="94"/>
      <c r="G1095" s="94"/>
      <c r="H1095" s="94"/>
      <c r="I1095" s="94"/>
      <c r="J1095" s="94"/>
      <c r="K1095" s="94"/>
      <c r="L1095" s="94"/>
      <c r="M1095" s="94"/>
      <c r="N1095" s="94"/>
      <c r="O1095" s="93"/>
    </row>
    <row r="1096" spans="1:15" x14ac:dyDescent="0.25">
      <c r="A1096" s="342" t="s">
        <v>67</v>
      </c>
      <c r="B1096" s="274" t="s">
        <v>106</v>
      </c>
      <c r="C1096" s="274" t="s">
        <v>66</v>
      </c>
      <c r="D1096" s="274" t="s">
        <v>65</v>
      </c>
      <c r="E1096" s="274" t="s">
        <v>64</v>
      </c>
      <c r="F1096" s="274" t="s">
        <v>40</v>
      </c>
      <c r="G1096" s="274" t="s">
        <v>105</v>
      </c>
      <c r="H1096" s="274" t="s">
        <v>104</v>
      </c>
      <c r="I1096" s="274" t="s">
        <v>58</v>
      </c>
      <c r="J1096" s="95"/>
      <c r="K1096" s="95"/>
      <c r="L1096" s="95"/>
      <c r="M1096" s="95"/>
      <c r="N1096" s="95"/>
      <c r="O1096" s="93"/>
    </row>
    <row r="1097" spans="1:15" x14ac:dyDescent="0.25">
      <c r="A1097" s="282">
        <v>10</v>
      </c>
      <c r="B1097" s="376" t="s">
        <v>765</v>
      </c>
      <c r="C1097" s="285" t="s">
        <v>762</v>
      </c>
      <c r="D1097" s="283">
        <v>0.13</v>
      </c>
      <c r="E1097" s="282" t="s">
        <v>258</v>
      </c>
      <c r="F1097" s="282">
        <v>1</v>
      </c>
      <c r="G1097" s="282"/>
      <c r="H1097" s="282"/>
      <c r="I1097" s="293">
        <f>IF(H1097="",D1097*F1097,D1097*F1097*H1097)</f>
        <v>0.13</v>
      </c>
      <c r="J1097" s="142"/>
      <c r="K1097" s="142"/>
      <c r="L1097" s="142"/>
      <c r="M1097" s="142"/>
      <c r="N1097" s="142"/>
      <c r="O1097" s="120"/>
    </row>
    <row r="1098" spans="1:15" x14ac:dyDescent="0.25">
      <c r="A1098" s="282">
        <v>20</v>
      </c>
      <c r="B1098" s="376" t="s">
        <v>87</v>
      </c>
      <c r="C1098" s="285" t="s">
        <v>764</v>
      </c>
      <c r="D1098" s="283">
        <v>0.06</v>
      </c>
      <c r="E1098" s="282" t="s">
        <v>258</v>
      </c>
      <c r="F1098" s="282">
        <v>4</v>
      </c>
      <c r="G1098" s="282"/>
      <c r="H1098" s="282"/>
      <c r="I1098" s="293">
        <f>IF(H1098="",D1098*F1098,D1098*F1098*H1098)</f>
        <v>0.24</v>
      </c>
      <c r="J1098" s="94"/>
      <c r="K1098" s="94"/>
      <c r="L1098" s="94"/>
      <c r="M1098" s="94"/>
      <c r="N1098" s="94"/>
      <c r="O1098" s="93"/>
    </row>
    <row r="1099" spans="1:15" x14ac:dyDescent="0.25">
      <c r="A1099" s="98"/>
      <c r="B1099" s="95"/>
      <c r="C1099" s="95"/>
      <c r="D1099" s="95"/>
      <c r="E1099" s="95"/>
      <c r="F1099" s="95"/>
      <c r="G1099" s="95"/>
      <c r="H1099" s="256" t="s">
        <v>58</v>
      </c>
      <c r="I1099" s="255">
        <f>SUM(I1097:I1098)</f>
        <v>0.37</v>
      </c>
      <c r="J1099" s="95"/>
      <c r="K1099" s="95"/>
      <c r="L1099" s="95"/>
      <c r="M1099" s="95"/>
      <c r="N1099" s="95"/>
      <c r="O1099" s="93"/>
    </row>
    <row r="1100" spans="1:15" x14ac:dyDescent="0.25">
      <c r="A1100" s="107"/>
      <c r="B1100" s="94"/>
      <c r="C1100" s="94"/>
      <c r="D1100" s="94"/>
      <c r="E1100" s="94"/>
      <c r="F1100" s="94"/>
      <c r="G1100" s="94"/>
      <c r="H1100" s="94"/>
      <c r="I1100" s="99"/>
      <c r="J1100" s="94"/>
      <c r="K1100" s="94"/>
      <c r="L1100" s="94"/>
      <c r="M1100" s="94"/>
      <c r="N1100" s="94"/>
      <c r="O1100" s="93"/>
    </row>
    <row r="1101" spans="1:15" x14ac:dyDescent="0.25">
      <c r="A1101" s="342" t="s">
        <v>67</v>
      </c>
      <c r="B1101" s="274" t="s">
        <v>82</v>
      </c>
      <c r="C1101" s="274" t="s">
        <v>66</v>
      </c>
      <c r="D1101" s="274" t="s">
        <v>65</v>
      </c>
      <c r="E1101" s="274" t="s">
        <v>81</v>
      </c>
      <c r="F1101" s="274" t="s">
        <v>80</v>
      </c>
      <c r="G1101" s="274" t="s">
        <v>79</v>
      </c>
      <c r="H1101" s="274" t="s">
        <v>78</v>
      </c>
      <c r="I1101" s="274" t="s">
        <v>40</v>
      </c>
      <c r="J1101" s="274" t="s">
        <v>58</v>
      </c>
      <c r="K1101" s="94"/>
      <c r="L1101" s="94"/>
      <c r="M1101" s="94"/>
      <c r="N1101" s="94"/>
      <c r="O1101" s="93"/>
    </row>
    <row r="1102" spans="1:15" x14ac:dyDescent="0.25">
      <c r="A1102" s="282">
        <v>10</v>
      </c>
      <c r="B1102" s="292" t="s">
        <v>763</v>
      </c>
      <c r="C1102" s="292" t="s">
        <v>762</v>
      </c>
      <c r="D1102" s="283">
        <v>0.01</v>
      </c>
      <c r="E1102" s="282"/>
      <c r="F1102" s="374"/>
      <c r="G1102" s="282"/>
      <c r="H1102" s="285"/>
      <c r="I1102" s="373">
        <v>4</v>
      </c>
      <c r="J1102" s="276">
        <f>I1102*D1102</f>
        <v>0.04</v>
      </c>
      <c r="K1102" s="94"/>
      <c r="L1102" s="94"/>
      <c r="M1102" s="94"/>
      <c r="N1102" s="94"/>
      <c r="O1102" s="93"/>
    </row>
    <row r="1103" spans="1:15" x14ac:dyDescent="0.25">
      <c r="A1103" s="98"/>
      <c r="B1103" s="95"/>
      <c r="C1103" s="95"/>
      <c r="D1103" s="95"/>
      <c r="E1103" s="95"/>
      <c r="F1103" s="95"/>
      <c r="G1103" s="95"/>
      <c r="H1103" s="95"/>
      <c r="I1103" s="256" t="s">
        <v>58</v>
      </c>
      <c r="J1103" s="255">
        <f>SUM(J1102:J1102)</f>
        <v>0.04</v>
      </c>
      <c r="K1103" s="94"/>
      <c r="L1103" s="94"/>
      <c r="M1103" s="94"/>
      <c r="N1103" s="94"/>
      <c r="O1103" s="93"/>
    </row>
    <row r="1104" spans="1:15" x14ac:dyDescent="0.25">
      <c r="A1104" s="360"/>
      <c r="B1104" s="99"/>
      <c r="C1104" s="99"/>
      <c r="D1104" s="99"/>
      <c r="E1104" s="99"/>
      <c r="F1104" s="99"/>
      <c r="G1104" s="99"/>
      <c r="H1104" s="359"/>
      <c r="I1104" s="358"/>
      <c r="J1104" s="99"/>
      <c r="K1104" s="94"/>
      <c r="L1104" s="94"/>
      <c r="M1104" s="94"/>
      <c r="N1104" s="94"/>
      <c r="O1104" s="93"/>
    </row>
    <row r="1105" spans="1:15" ht="15.75" thickBot="1" x14ac:dyDescent="0.3">
      <c r="A1105" s="92"/>
      <c r="B1105" s="91"/>
      <c r="C1105" s="91"/>
      <c r="D1105" s="91"/>
      <c r="E1105" s="91"/>
      <c r="F1105" s="91"/>
      <c r="G1105" s="91"/>
      <c r="H1105" s="91"/>
      <c r="I1105" s="91"/>
      <c r="J1105" s="91"/>
      <c r="K1105" s="91"/>
      <c r="L1105" s="91"/>
      <c r="M1105" s="91"/>
      <c r="N1105" s="91"/>
      <c r="O1105" s="90"/>
    </row>
    <row r="1106" spans="1:15" ht="15.75" thickBot="1" x14ac:dyDescent="0.3"/>
    <row r="1107" spans="1:15" x14ac:dyDescent="0.25">
      <c r="A1107" s="141"/>
      <c r="B1107" s="140"/>
      <c r="C1107" s="140"/>
      <c r="D1107" s="140"/>
      <c r="E1107" s="140"/>
      <c r="F1107" s="140"/>
      <c r="G1107" s="140"/>
      <c r="H1107" s="140"/>
      <c r="I1107" s="140"/>
      <c r="J1107" s="272"/>
      <c r="K1107" s="140"/>
      <c r="L1107" s="140"/>
      <c r="M1107" s="140"/>
      <c r="N1107" s="140"/>
      <c r="O1107" s="139"/>
    </row>
    <row r="1108" spans="1:15" x14ac:dyDescent="0.25">
      <c r="A1108" s="267" t="s">
        <v>57</v>
      </c>
      <c r="B1108" s="133" t="s">
        <v>523</v>
      </c>
      <c r="C1108" s="94"/>
      <c r="D1108" s="94"/>
      <c r="E1108" s="94"/>
      <c r="F1108" s="94"/>
      <c r="G1108" s="94"/>
      <c r="H1108" s="94"/>
      <c r="I1108" s="94"/>
      <c r="J1108" s="271" t="s">
        <v>51</v>
      </c>
      <c r="K1108" s="138">
        <v>81</v>
      </c>
      <c r="L1108" s="94"/>
      <c r="M1108" s="267" t="s">
        <v>113</v>
      </c>
      <c r="N1108" s="100">
        <f>EN_08004_m+EN_08004_p+EN_08004_t</f>
        <v>21.602428873333334</v>
      </c>
      <c r="O1108" s="93"/>
    </row>
    <row r="1109" spans="1:15" x14ac:dyDescent="0.25">
      <c r="A1109" s="267" t="s">
        <v>125</v>
      </c>
      <c r="B1109" s="133" t="s">
        <v>21</v>
      </c>
      <c r="C1109" s="94"/>
      <c r="D1109" s="267" t="s">
        <v>122</v>
      </c>
      <c r="E1109" s="270" t="s">
        <v>522</v>
      </c>
      <c r="F1109" s="94"/>
      <c r="G1109" s="94"/>
      <c r="H1109" s="94"/>
      <c r="I1109" s="94"/>
      <c r="J1109" s="94"/>
      <c r="K1109" s="94"/>
      <c r="L1109" s="94"/>
      <c r="M1109" s="267" t="s">
        <v>124</v>
      </c>
      <c r="N1109" s="136">
        <v>1</v>
      </c>
      <c r="O1109" s="93"/>
    </row>
    <row r="1110" spans="1:15" x14ac:dyDescent="0.25">
      <c r="A1110" s="267" t="s">
        <v>123</v>
      </c>
      <c r="B1110" s="270" t="str">
        <f>'EN Assemblies'!B387</f>
        <v>Cooling system</v>
      </c>
      <c r="C1110" s="94"/>
      <c r="D1110" s="267" t="s">
        <v>119</v>
      </c>
      <c r="E1110" s="94"/>
      <c r="F1110" s="94"/>
      <c r="G1110" s="94"/>
      <c r="H1110" s="94"/>
      <c r="I1110" s="94"/>
      <c r="J1110" s="268" t="s">
        <v>122</v>
      </c>
      <c r="K1110" s="94"/>
      <c r="L1110" s="94"/>
      <c r="M1110" s="94"/>
      <c r="N1110" s="94"/>
      <c r="O1110" s="93"/>
    </row>
    <row r="1111" spans="1:15" x14ac:dyDescent="0.25">
      <c r="A1111" s="267" t="s">
        <v>114</v>
      </c>
      <c r="B1111" s="135" t="s">
        <v>761</v>
      </c>
      <c r="C1111" s="94"/>
      <c r="D1111" s="267" t="s">
        <v>116</v>
      </c>
      <c r="E1111" s="94"/>
      <c r="F1111" s="94"/>
      <c r="G1111" s="94"/>
      <c r="H1111" s="94"/>
      <c r="I1111" s="94"/>
      <c r="J1111" s="268" t="s">
        <v>119</v>
      </c>
      <c r="K1111" s="94"/>
      <c r="L1111" s="94"/>
      <c r="M1111" s="267" t="s">
        <v>118</v>
      </c>
      <c r="N1111" s="100">
        <f>N1109*N1108</f>
        <v>21.602428873333334</v>
      </c>
      <c r="O1111" s="93"/>
    </row>
    <row r="1112" spans="1:15" x14ac:dyDescent="0.25">
      <c r="A1112" s="267" t="s">
        <v>121</v>
      </c>
      <c r="B1112" s="269" t="s">
        <v>760</v>
      </c>
      <c r="C1112" s="94"/>
      <c r="D1112" s="94"/>
      <c r="E1112" s="94"/>
      <c r="F1112" s="94"/>
      <c r="G1112" s="94"/>
      <c r="H1112" s="94"/>
      <c r="I1112" s="94"/>
      <c r="J1112" s="268" t="s">
        <v>116</v>
      </c>
      <c r="K1112" s="94"/>
      <c r="L1112" s="94"/>
      <c r="M1112" s="94"/>
      <c r="N1112" s="94"/>
      <c r="O1112" s="93"/>
    </row>
    <row r="1113" spans="1:15" x14ac:dyDescent="0.25">
      <c r="A1113" s="267" t="s">
        <v>117</v>
      </c>
      <c r="B1113" s="133" t="s">
        <v>23</v>
      </c>
      <c r="C1113" s="94"/>
      <c r="D1113" s="94"/>
      <c r="E1113" s="94"/>
      <c r="F1113" s="94"/>
      <c r="G1113" s="94"/>
      <c r="H1113" s="94"/>
      <c r="I1113" s="94"/>
      <c r="J1113" s="94"/>
      <c r="K1113" s="94"/>
      <c r="L1113" s="94"/>
      <c r="M1113" s="94"/>
      <c r="N1113" s="94"/>
      <c r="O1113" s="93"/>
    </row>
    <row r="1114" spans="1:15" x14ac:dyDescent="0.25">
      <c r="A1114" s="267" t="s">
        <v>115</v>
      </c>
      <c r="B1114" s="133"/>
      <c r="C1114" s="94"/>
      <c r="D1114" s="94"/>
      <c r="E1114" s="94"/>
      <c r="F1114" s="94"/>
      <c r="G1114" s="94"/>
      <c r="H1114" s="94"/>
      <c r="I1114" s="94"/>
      <c r="J1114" s="94"/>
      <c r="K1114" s="94"/>
      <c r="L1114" s="94"/>
      <c r="M1114" s="94"/>
      <c r="N1114" s="94"/>
      <c r="O1114" s="93"/>
    </row>
    <row r="1115" spans="1:15" x14ac:dyDescent="0.25">
      <c r="A1115" s="266"/>
      <c r="B1115" s="265"/>
      <c r="C1115" s="265"/>
      <c r="D1115" s="265"/>
      <c r="E1115" s="265"/>
      <c r="F1115" s="94"/>
      <c r="G1115" s="94"/>
      <c r="H1115" s="94"/>
      <c r="I1115" s="94"/>
      <c r="J1115" s="94"/>
      <c r="K1115" s="94"/>
      <c r="L1115" s="94"/>
      <c r="M1115" s="94"/>
      <c r="N1115" s="94"/>
      <c r="O1115" s="93"/>
    </row>
    <row r="1116" spans="1:15" x14ac:dyDescent="0.25">
      <c r="A1116" s="264" t="s">
        <v>67</v>
      </c>
      <c r="B1116" s="263" t="s">
        <v>112</v>
      </c>
      <c r="C1116" s="263" t="s">
        <v>66</v>
      </c>
      <c r="D1116" s="263" t="s">
        <v>65</v>
      </c>
      <c r="E1116" s="263" t="s">
        <v>81</v>
      </c>
      <c r="F1116" s="274" t="s">
        <v>80</v>
      </c>
      <c r="G1116" s="274" t="s">
        <v>79</v>
      </c>
      <c r="H1116" s="274" t="s">
        <v>78</v>
      </c>
      <c r="I1116" s="274" t="s">
        <v>111</v>
      </c>
      <c r="J1116" s="274" t="s">
        <v>110</v>
      </c>
      <c r="K1116" s="274" t="s">
        <v>109</v>
      </c>
      <c r="L1116" s="274" t="s">
        <v>108</v>
      </c>
      <c r="M1116" s="274" t="s">
        <v>40</v>
      </c>
      <c r="N1116" s="274" t="s">
        <v>58</v>
      </c>
      <c r="O1116" s="93"/>
    </row>
    <row r="1117" spans="1:15" x14ac:dyDescent="0.25">
      <c r="A1117" s="282">
        <v>10</v>
      </c>
      <c r="B1117" s="292" t="s">
        <v>754</v>
      </c>
      <c r="C1117" s="282" t="s">
        <v>759</v>
      </c>
      <c r="D1117" s="283">
        <v>4.2</v>
      </c>
      <c r="E1117" s="282">
        <v>45</v>
      </c>
      <c r="F1117" s="282" t="s">
        <v>68</v>
      </c>
      <c r="G1117" s="282">
        <v>2.5</v>
      </c>
      <c r="H1117" s="278" t="s">
        <v>68</v>
      </c>
      <c r="I1117" s="281" t="s">
        <v>758</v>
      </c>
      <c r="J1117" s="280">
        <v>2.7E-4</v>
      </c>
      <c r="K1117" s="278">
        <v>0.151</v>
      </c>
      <c r="L1117" s="381">
        <v>2710</v>
      </c>
      <c r="M1117" s="380">
        <v>1</v>
      </c>
      <c r="N1117" s="276">
        <f>IF(J1117="",D1117*M1117,D1117*J1117*K1117*L1117*M1117)</f>
        <v>0.46404413999999999</v>
      </c>
      <c r="O1117" s="143"/>
    </row>
    <row r="1118" spans="1:15" ht="30" x14ac:dyDescent="0.25">
      <c r="A1118" s="282">
        <v>20</v>
      </c>
      <c r="B1118" s="292" t="s">
        <v>754</v>
      </c>
      <c r="C1118" s="292" t="s">
        <v>757</v>
      </c>
      <c r="D1118" s="283">
        <v>4.2</v>
      </c>
      <c r="E1118" s="336">
        <v>50</v>
      </c>
      <c r="F1118" s="282" t="s">
        <v>68</v>
      </c>
      <c r="G1118" s="282">
        <v>2</v>
      </c>
      <c r="H1118" s="278" t="s">
        <v>68</v>
      </c>
      <c r="I1118" s="281" t="s">
        <v>756</v>
      </c>
      <c r="J1118" s="280">
        <f>0.05*0.002</f>
        <v>1E-4</v>
      </c>
      <c r="K1118" s="279">
        <v>0.14499999999999999</v>
      </c>
      <c r="L1118" s="381">
        <v>2710</v>
      </c>
      <c r="M1118" s="380">
        <v>1</v>
      </c>
      <c r="N1118" s="276">
        <f>IF(J1118="",D1118*M1118,D1118*J1118*K1118*L1118*M1118)</f>
        <v>0.16503899999999999</v>
      </c>
      <c r="O1118" s="143"/>
    </row>
    <row r="1119" spans="1:15" x14ac:dyDescent="0.25">
      <c r="A1119" s="282">
        <v>30</v>
      </c>
      <c r="B1119" s="292" t="s">
        <v>754</v>
      </c>
      <c r="C1119" s="292" t="s">
        <v>751</v>
      </c>
      <c r="D1119" s="283">
        <v>4.2</v>
      </c>
      <c r="E1119" s="336">
        <v>50</v>
      </c>
      <c r="F1119" s="282" t="s">
        <v>68</v>
      </c>
      <c r="G1119" s="282"/>
      <c r="H1119" s="278"/>
      <c r="I1119" s="281" t="s">
        <v>755</v>
      </c>
      <c r="J1119" s="280">
        <v>1.9599999999999999E-3</v>
      </c>
      <c r="K1119" s="278">
        <v>0.02</v>
      </c>
      <c r="L1119" s="381">
        <v>2710</v>
      </c>
      <c r="M1119" s="380">
        <v>1</v>
      </c>
      <c r="N1119" s="276">
        <f>IF(J1119="",D1119*M1119,D1119*J1119*K1119*L1119*M1119)</f>
        <v>0.44617439999999997</v>
      </c>
      <c r="O1119" s="143"/>
    </row>
    <row r="1120" spans="1:15" x14ac:dyDescent="0.25">
      <c r="A1120" s="282">
        <v>40</v>
      </c>
      <c r="B1120" s="292" t="s">
        <v>754</v>
      </c>
      <c r="C1120" s="292" t="s">
        <v>748</v>
      </c>
      <c r="D1120" s="283">
        <v>4.2</v>
      </c>
      <c r="E1120" s="336">
        <v>20</v>
      </c>
      <c r="F1120" s="282" t="s">
        <v>68</v>
      </c>
      <c r="G1120" s="282"/>
      <c r="H1120" s="278"/>
      <c r="I1120" s="281" t="s">
        <v>753</v>
      </c>
      <c r="J1120" s="280">
        <v>2.9999999999999997E-4</v>
      </c>
      <c r="K1120" s="278">
        <v>0.03</v>
      </c>
      <c r="L1120" s="381">
        <v>2710</v>
      </c>
      <c r="M1120" s="380">
        <v>1</v>
      </c>
      <c r="N1120" s="276">
        <f>IF(J1120="",D1120*M1120,D1120*J1120*K1120*L1120*M1120)</f>
        <v>0.10243799999999997</v>
      </c>
      <c r="O1120" s="143"/>
    </row>
    <row r="1121" spans="1:15" x14ac:dyDescent="0.25">
      <c r="A1121" s="282">
        <v>50</v>
      </c>
      <c r="B1121" s="292" t="s">
        <v>729</v>
      </c>
      <c r="C1121" s="292" t="s">
        <v>744</v>
      </c>
      <c r="D1121" s="283">
        <v>2.25</v>
      </c>
      <c r="E1121" s="336">
        <v>60</v>
      </c>
      <c r="F1121" s="282" t="s">
        <v>68</v>
      </c>
      <c r="G1121" s="282"/>
      <c r="H1121" s="278"/>
      <c r="I1121" s="281" t="s">
        <v>752</v>
      </c>
      <c r="J1121" s="280">
        <v>3.0000000000000001E-3</v>
      </c>
      <c r="K1121" s="278">
        <v>0.02</v>
      </c>
      <c r="L1121" s="381">
        <v>7860</v>
      </c>
      <c r="M1121" s="380">
        <v>1</v>
      </c>
      <c r="N1121" s="276">
        <f>IF(J1121="",D1121*M1121,D1121*J1121*K1121*L1121*M1121)</f>
        <v>1.0610999999999999</v>
      </c>
      <c r="O1121" s="143"/>
    </row>
    <row r="1122" spans="1:15" x14ac:dyDescent="0.25">
      <c r="A1122" s="98"/>
      <c r="B1122" s="95"/>
      <c r="C1122" s="95"/>
      <c r="D1122" s="95"/>
      <c r="E1122" s="95"/>
      <c r="F1122" s="95"/>
      <c r="G1122" s="95"/>
      <c r="H1122" s="95"/>
      <c r="I1122" s="95"/>
      <c r="J1122" s="95"/>
      <c r="K1122" s="95"/>
      <c r="L1122" s="95"/>
      <c r="M1122" s="256" t="s">
        <v>58</v>
      </c>
      <c r="N1122" s="255">
        <f>SUM(N1117:N1121)</f>
        <v>2.2387955399999999</v>
      </c>
      <c r="O1122" s="93"/>
    </row>
    <row r="1123" spans="1:15" x14ac:dyDescent="0.25">
      <c r="A1123" s="107"/>
      <c r="B1123" s="94"/>
      <c r="C1123" s="94"/>
      <c r="D1123" s="94"/>
      <c r="E1123" s="94"/>
      <c r="F1123" s="94"/>
      <c r="G1123" s="94"/>
      <c r="H1123" s="94"/>
      <c r="I1123" s="94"/>
      <c r="J1123" s="94"/>
      <c r="K1123" s="94"/>
      <c r="L1123" s="94"/>
      <c r="M1123" s="94"/>
      <c r="N1123" s="94"/>
      <c r="O1123" s="93"/>
    </row>
    <row r="1124" spans="1:15" x14ac:dyDescent="0.25">
      <c r="A1124" s="342" t="s">
        <v>67</v>
      </c>
      <c r="B1124" s="274" t="s">
        <v>106</v>
      </c>
      <c r="C1124" s="274" t="s">
        <v>66</v>
      </c>
      <c r="D1124" s="274" t="s">
        <v>65</v>
      </c>
      <c r="E1124" s="274" t="s">
        <v>64</v>
      </c>
      <c r="F1124" s="274" t="s">
        <v>40</v>
      </c>
      <c r="G1124" s="274" t="s">
        <v>105</v>
      </c>
      <c r="H1124" s="274" t="s">
        <v>104</v>
      </c>
      <c r="I1124" s="274" t="s">
        <v>58</v>
      </c>
      <c r="J1124" s="95"/>
      <c r="K1124" s="95"/>
      <c r="L1124" s="95"/>
      <c r="M1124" s="95"/>
      <c r="N1124" s="95"/>
      <c r="O1124" s="93"/>
    </row>
    <row r="1125" spans="1:15" ht="30" x14ac:dyDescent="0.25">
      <c r="A1125" s="282">
        <v>10</v>
      </c>
      <c r="B1125" s="376" t="s">
        <v>516</v>
      </c>
      <c r="C1125" s="376" t="s">
        <v>745</v>
      </c>
      <c r="D1125" s="283">
        <v>1.3</v>
      </c>
      <c r="E1125" s="282" t="s">
        <v>258</v>
      </c>
      <c r="F1125" s="282">
        <v>1</v>
      </c>
      <c r="G1125" s="282"/>
      <c r="H1125" s="282">
        <v>1</v>
      </c>
      <c r="I1125" s="293">
        <f t="shared" ref="I1125:I1134" si="7">IF(H1125="",D1125*F1125,D1125*F1125*H1125)</f>
        <v>1.3</v>
      </c>
      <c r="J1125" s="142"/>
      <c r="K1125" s="142"/>
      <c r="L1125" s="142"/>
      <c r="M1125" s="142"/>
      <c r="N1125" s="142"/>
      <c r="O1125" s="120"/>
    </row>
    <row r="1126" spans="1:15" x14ac:dyDescent="0.25">
      <c r="A1126" s="282">
        <v>20</v>
      </c>
      <c r="B1126" s="376" t="s">
        <v>514</v>
      </c>
      <c r="C1126" s="292" t="s">
        <v>751</v>
      </c>
      <c r="D1126" s="283">
        <v>0.04</v>
      </c>
      <c r="E1126" s="282" t="s">
        <v>512</v>
      </c>
      <c r="F1126" s="282">
        <v>86</v>
      </c>
      <c r="G1126" s="292" t="s">
        <v>746</v>
      </c>
      <c r="H1126" s="282">
        <v>1</v>
      </c>
      <c r="I1126" s="293">
        <f t="shared" si="7"/>
        <v>3.44</v>
      </c>
      <c r="J1126" s="142"/>
      <c r="K1126" s="142"/>
      <c r="L1126" s="142"/>
      <c r="M1126" s="142"/>
      <c r="N1126" s="142"/>
      <c r="O1126" s="120"/>
    </row>
    <row r="1127" spans="1:15" ht="30" x14ac:dyDescent="0.25">
      <c r="A1127" s="282">
        <v>30</v>
      </c>
      <c r="B1127" s="376" t="s">
        <v>516</v>
      </c>
      <c r="C1127" s="285" t="s">
        <v>750</v>
      </c>
      <c r="D1127" s="283">
        <v>1.3</v>
      </c>
      <c r="E1127" s="282" t="s">
        <v>258</v>
      </c>
      <c r="F1127" s="282">
        <v>1</v>
      </c>
      <c r="G1127" s="282"/>
      <c r="H1127" s="282">
        <v>1</v>
      </c>
      <c r="I1127" s="293">
        <f t="shared" si="7"/>
        <v>1.3</v>
      </c>
      <c r="J1127" s="142"/>
      <c r="K1127" s="142"/>
      <c r="L1127" s="142"/>
      <c r="M1127" s="142"/>
      <c r="N1127" s="142"/>
      <c r="O1127" s="120"/>
    </row>
    <row r="1128" spans="1:15" x14ac:dyDescent="0.25">
      <c r="A1128" s="282">
        <v>40</v>
      </c>
      <c r="B1128" s="285" t="s">
        <v>527</v>
      </c>
      <c r="C1128" s="376" t="s">
        <v>749</v>
      </c>
      <c r="D1128" s="283">
        <v>0.01</v>
      </c>
      <c r="E1128" s="282" t="s">
        <v>101</v>
      </c>
      <c r="F1128" s="282">
        <f>55.3+7.85</f>
        <v>63.15</v>
      </c>
      <c r="G1128" s="292" t="s">
        <v>746</v>
      </c>
      <c r="H1128" s="282">
        <v>1</v>
      </c>
      <c r="I1128" s="293">
        <f t="shared" si="7"/>
        <v>0.63149999999999995</v>
      </c>
      <c r="J1128" s="142"/>
      <c r="K1128" s="142"/>
      <c r="L1128" s="142"/>
      <c r="M1128" s="142"/>
      <c r="N1128" s="142"/>
      <c r="O1128" s="120"/>
    </row>
    <row r="1129" spans="1:15" ht="30" x14ac:dyDescent="0.25">
      <c r="A1129" s="282">
        <v>50</v>
      </c>
      <c r="B1129" s="376" t="s">
        <v>516</v>
      </c>
      <c r="C1129" s="376" t="s">
        <v>745</v>
      </c>
      <c r="D1129" s="283">
        <v>1.3</v>
      </c>
      <c r="E1129" s="282" t="s">
        <v>258</v>
      </c>
      <c r="F1129" s="282">
        <v>1</v>
      </c>
      <c r="G1129" s="282"/>
      <c r="H1129" s="282">
        <v>1</v>
      </c>
      <c r="I1129" s="293">
        <f t="shared" si="7"/>
        <v>1.3</v>
      </c>
      <c r="J1129" s="142"/>
      <c r="K1129" s="142"/>
      <c r="L1129" s="142"/>
      <c r="M1129" s="142"/>
      <c r="N1129" s="142"/>
      <c r="O1129" s="120"/>
    </row>
    <row r="1130" spans="1:15" x14ac:dyDescent="0.25">
      <c r="A1130" s="282">
        <v>60</v>
      </c>
      <c r="B1130" s="376" t="s">
        <v>514</v>
      </c>
      <c r="C1130" s="376" t="s">
        <v>748</v>
      </c>
      <c r="D1130" s="283">
        <v>0.04</v>
      </c>
      <c r="E1130" s="282" t="s">
        <v>512</v>
      </c>
      <c r="F1130" s="282">
        <v>6.6</v>
      </c>
      <c r="G1130" s="292" t="s">
        <v>746</v>
      </c>
      <c r="H1130" s="282">
        <v>1</v>
      </c>
      <c r="I1130" s="293">
        <f t="shared" si="7"/>
        <v>0.26400000000000001</v>
      </c>
      <c r="J1130" s="142"/>
      <c r="K1130" s="142"/>
      <c r="L1130" s="142"/>
      <c r="M1130" s="142"/>
      <c r="N1130" s="142"/>
      <c r="O1130" s="120"/>
    </row>
    <row r="1131" spans="1:15" x14ac:dyDescent="0.25">
      <c r="A1131" s="282">
        <v>70</v>
      </c>
      <c r="B1131" s="376" t="s">
        <v>103</v>
      </c>
      <c r="C1131" s="376" t="s">
        <v>747</v>
      </c>
      <c r="D1131" s="283">
        <v>0.15</v>
      </c>
      <c r="E1131" s="282" t="s">
        <v>101</v>
      </c>
      <c r="F1131" s="282">
        <v>47.2</v>
      </c>
      <c r="G1131" s="292" t="s">
        <v>746</v>
      </c>
      <c r="H1131" s="282">
        <v>1</v>
      </c>
      <c r="I1131" s="293">
        <f t="shared" si="7"/>
        <v>7.08</v>
      </c>
      <c r="J1131" s="142"/>
      <c r="K1131" s="142"/>
      <c r="L1131" s="142"/>
      <c r="M1131" s="142"/>
      <c r="N1131" s="142"/>
      <c r="O1131" s="120"/>
    </row>
    <row r="1132" spans="1:15" ht="30" x14ac:dyDescent="0.25">
      <c r="A1132" s="282">
        <v>80</v>
      </c>
      <c r="B1132" s="376" t="s">
        <v>516</v>
      </c>
      <c r="C1132" s="376" t="s">
        <v>745</v>
      </c>
      <c r="D1132" s="283">
        <v>1.3</v>
      </c>
      <c r="E1132" s="282" t="s">
        <v>258</v>
      </c>
      <c r="F1132" s="282">
        <v>1</v>
      </c>
      <c r="G1132" s="282"/>
      <c r="H1132" s="282">
        <v>1</v>
      </c>
      <c r="I1132" s="293">
        <f t="shared" si="7"/>
        <v>1.3</v>
      </c>
      <c r="J1132" s="94"/>
      <c r="K1132" s="94"/>
      <c r="L1132" s="94"/>
      <c r="M1132" s="94"/>
      <c r="N1132" s="94"/>
      <c r="O1132" s="93"/>
    </row>
    <row r="1133" spans="1:15" x14ac:dyDescent="0.25">
      <c r="A1133" s="282">
        <v>90</v>
      </c>
      <c r="B1133" s="376" t="s">
        <v>514</v>
      </c>
      <c r="C1133" s="292" t="s">
        <v>744</v>
      </c>
      <c r="D1133" s="283">
        <v>0.04</v>
      </c>
      <c r="E1133" s="282" t="s">
        <v>512</v>
      </c>
      <c r="F1133" s="282">
        <v>6.04</v>
      </c>
      <c r="G1133" s="292" t="s">
        <v>743</v>
      </c>
      <c r="H1133" s="282">
        <v>3</v>
      </c>
      <c r="I1133" s="276">
        <f t="shared" si="7"/>
        <v>0.7248</v>
      </c>
      <c r="J1133" s="99"/>
      <c r="K1133" s="99"/>
      <c r="L1133" s="99"/>
      <c r="M1133" s="99"/>
      <c r="N1133" s="99"/>
      <c r="O1133" s="130"/>
    </row>
    <row r="1134" spans="1:15" ht="30" x14ac:dyDescent="0.25">
      <c r="A1134" s="282">
        <v>100</v>
      </c>
      <c r="B1134" s="376" t="s">
        <v>95</v>
      </c>
      <c r="C1134" s="376" t="s">
        <v>742</v>
      </c>
      <c r="D1134" s="283">
        <v>0.19</v>
      </c>
      <c r="E1134" s="282" t="s">
        <v>258</v>
      </c>
      <c r="F1134" s="282">
        <v>1</v>
      </c>
      <c r="G1134" s="282"/>
      <c r="H1134" s="282"/>
      <c r="I1134" s="276">
        <f t="shared" si="7"/>
        <v>0.19</v>
      </c>
      <c r="J1134" s="94"/>
      <c r="K1134" s="94"/>
      <c r="L1134" s="94"/>
      <c r="M1134" s="94"/>
      <c r="N1134" s="94"/>
      <c r="O1134" s="93"/>
    </row>
    <row r="1135" spans="1:15" x14ac:dyDescent="0.25">
      <c r="A1135" s="98"/>
      <c r="B1135" s="95"/>
      <c r="C1135" s="95"/>
      <c r="D1135" s="95"/>
      <c r="E1135" s="95"/>
      <c r="F1135" s="95"/>
      <c r="G1135" s="95"/>
      <c r="H1135" s="256" t="s">
        <v>58</v>
      </c>
      <c r="I1135" s="255">
        <f>SUM(I1125:I1134)</f>
        <v>17.5303</v>
      </c>
      <c r="J1135" s="95"/>
      <c r="K1135" s="95"/>
      <c r="L1135" s="95"/>
      <c r="M1135" s="95"/>
      <c r="N1135" s="95"/>
      <c r="O1135" s="93"/>
    </row>
    <row r="1136" spans="1:15" x14ac:dyDescent="0.25">
      <c r="A1136" s="107"/>
      <c r="B1136" s="94"/>
      <c r="C1136" s="94"/>
      <c r="D1136" s="94"/>
      <c r="E1136" s="94"/>
      <c r="F1136" s="94"/>
      <c r="G1136" s="94"/>
      <c r="H1136" s="94"/>
      <c r="I1136" s="99"/>
      <c r="J1136" s="94"/>
      <c r="K1136" s="94"/>
      <c r="L1136" s="94"/>
      <c r="M1136" s="94"/>
      <c r="N1136" s="94"/>
      <c r="O1136" s="93"/>
    </row>
    <row r="1137" spans="1:15" x14ac:dyDescent="0.25">
      <c r="A1137" s="342" t="s">
        <v>67</v>
      </c>
      <c r="B1137" s="274" t="s">
        <v>13</v>
      </c>
      <c r="C1137" s="274" t="s">
        <v>66</v>
      </c>
      <c r="D1137" s="274" t="s">
        <v>65</v>
      </c>
      <c r="E1137" s="274" t="s">
        <v>64</v>
      </c>
      <c r="F1137" s="274" t="s">
        <v>40</v>
      </c>
      <c r="G1137" s="274" t="s">
        <v>63</v>
      </c>
      <c r="H1137" s="274" t="s">
        <v>741</v>
      </c>
      <c r="I1137" s="274" t="s">
        <v>58</v>
      </c>
      <c r="J1137" s="95"/>
      <c r="K1137" s="94"/>
      <c r="L1137" s="94"/>
      <c r="M1137" s="94"/>
      <c r="N1137" s="94"/>
      <c r="O1137" s="93"/>
    </row>
    <row r="1138" spans="1:15" x14ac:dyDescent="0.25">
      <c r="A1138" s="282">
        <v>10</v>
      </c>
      <c r="B1138" s="292" t="s">
        <v>253</v>
      </c>
      <c r="C1138" s="292" t="s">
        <v>740</v>
      </c>
      <c r="D1138" s="283">
        <v>500</v>
      </c>
      <c r="E1138" s="282" t="s">
        <v>59</v>
      </c>
      <c r="F1138" s="282">
        <v>11</v>
      </c>
      <c r="G1138" s="282">
        <v>3000</v>
      </c>
      <c r="H1138" s="282">
        <v>1</v>
      </c>
      <c r="I1138" s="276">
        <f>D1138*F1138/G1138*H1138</f>
        <v>1.8333333333333333</v>
      </c>
      <c r="J1138" s="99"/>
      <c r="K1138" s="99"/>
      <c r="L1138" s="99"/>
      <c r="M1138" s="99"/>
      <c r="N1138" s="99"/>
      <c r="O1138" s="130"/>
    </row>
    <row r="1139" spans="1:15" x14ac:dyDescent="0.25">
      <c r="A1139" s="98"/>
      <c r="B1139" s="95"/>
      <c r="C1139" s="95"/>
      <c r="D1139" s="95"/>
      <c r="E1139" s="95"/>
      <c r="F1139" s="95"/>
      <c r="G1139" s="95"/>
      <c r="H1139" s="256" t="s">
        <v>58</v>
      </c>
      <c r="I1139" s="255">
        <f>SUM(I1138:I1138)</f>
        <v>1.8333333333333333</v>
      </c>
      <c r="J1139" s="95"/>
      <c r="K1139" s="94"/>
      <c r="L1139" s="94"/>
      <c r="M1139" s="94"/>
      <c r="N1139" s="94"/>
      <c r="O1139" s="93"/>
    </row>
    <row r="1140" spans="1:15" ht="15.75" thickBot="1" x14ac:dyDescent="0.3">
      <c r="A1140" s="92"/>
      <c r="B1140" s="91"/>
      <c r="C1140" s="91"/>
      <c r="D1140" s="91"/>
      <c r="E1140" s="91"/>
      <c r="F1140" s="91"/>
      <c r="G1140" s="91"/>
      <c r="H1140" s="91"/>
      <c r="I1140" s="91"/>
      <c r="J1140" s="91"/>
      <c r="K1140" s="91"/>
      <c r="L1140" s="91"/>
      <c r="M1140" s="91"/>
      <c r="N1140" s="91"/>
      <c r="O1140" s="90"/>
    </row>
    <row r="1141" spans="1:15" ht="15.75" thickBot="1" x14ac:dyDescent="0.3"/>
    <row r="1142" spans="1:15" x14ac:dyDescent="0.25">
      <c r="A1142" s="141"/>
      <c r="B1142" s="140"/>
      <c r="C1142" s="140"/>
      <c r="D1142" s="140"/>
      <c r="E1142" s="140"/>
      <c r="F1142" s="140"/>
      <c r="G1142" s="140"/>
      <c r="H1142" s="140"/>
      <c r="I1142" s="140"/>
      <c r="J1142" s="272"/>
      <c r="K1142" s="140"/>
      <c r="L1142" s="140"/>
      <c r="M1142" s="140"/>
      <c r="N1142" s="140"/>
      <c r="O1142" s="139"/>
    </row>
    <row r="1143" spans="1:15" x14ac:dyDescent="0.25">
      <c r="A1143" s="267" t="s">
        <v>57</v>
      </c>
      <c r="B1143" s="133" t="s">
        <v>523</v>
      </c>
      <c r="C1143" s="94"/>
      <c r="D1143" s="94"/>
      <c r="E1143" s="94"/>
      <c r="F1143" s="94"/>
      <c r="G1143" s="94"/>
      <c r="H1143" s="94"/>
      <c r="I1143" s="94"/>
      <c r="J1143" s="271" t="s">
        <v>51</v>
      </c>
      <c r="K1143" s="138">
        <v>81</v>
      </c>
      <c r="L1143" s="94"/>
      <c r="M1143" s="267" t="s">
        <v>113</v>
      </c>
      <c r="N1143" s="100">
        <f>EN_08005_m+EN_08005_p</f>
        <v>1.7533264800000001</v>
      </c>
      <c r="O1143" s="93"/>
    </row>
    <row r="1144" spans="1:15" x14ac:dyDescent="0.25">
      <c r="A1144" s="267" t="s">
        <v>125</v>
      </c>
      <c r="B1144" s="133" t="s">
        <v>21</v>
      </c>
      <c r="C1144" s="94"/>
      <c r="D1144" s="267" t="s">
        <v>122</v>
      </c>
      <c r="E1144" s="270" t="s">
        <v>522</v>
      </c>
      <c r="F1144" s="94"/>
      <c r="G1144" s="94"/>
      <c r="H1144" s="94"/>
      <c r="I1144" s="94"/>
      <c r="J1144" s="94"/>
      <c r="K1144" s="94"/>
      <c r="L1144" s="94"/>
      <c r="M1144" s="267" t="s">
        <v>124</v>
      </c>
      <c r="N1144" s="136">
        <v>1</v>
      </c>
      <c r="O1144" s="93"/>
    </row>
    <row r="1145" spans="1:15" x14ac:dyDescent="0.25">
      <c r="A1145" s="267" t="s">
        <v>123</v>
      </c>
      <c r="B1145" s="270" t="str">
        <f>'EN Assemblies'!B387</f>
        <v>Cooling system</v>
      </c>
      <c r="C1145" s="94"/>
      <c r="D1145" s="267" t="s">
        <v>119</v>
      </c>
      <c r="E1145" s="94"/>
      <c r="F1145" s="94"/>
      <c r="G1145" s="94"/>
      <c r="H1145" s="94"/>
      <c r="I1145" s="94"/>
      <c r="J1145" s="268" t="s">
        <v>122</v>
      </c>
      <c r="K1145" s="94"/>
      <c r="L1145" s="94"/>
      <c r="M1145" s="94"/>
      <c r="N1145" s="94"/>
      <c r="O1145" s="93"/>
    </row>
    <row r="1146" spans="1:15" x14ac:dyDescent="0.25">
      <c r="A1146" s="267" t="s">
        <v>114</v>
      </c>
      <c r="B1146" s="135" t="s">
        <v>739</v>
      </c>
      <c r="C1146" s="94"/>
      <c r="D1146" s="267" t="s">
        <v>116</v>
      </c>
      <c r="E1146" s="94"/>
      <c r="F1146" s="94"/>
      <c r="G1146" s="94"/>
      <c r="H1146" s="94"/>
      <c r="I1146" s="94"/>
      <c r="J1146" s="268" t="s">
        <v>119</v>
      </c>
      <c r="K1146" s="94"/>
      <c r="L1146" s="94"/>
      <c r="M1146" s="267" t="s">
        <v>118</v>
      </c>
      <c r="N1146" s="100">
        <f>N1144*N1143</f>
        <v>1.7533264800000001</v>
      </c>
      <c r="O1146" s="93"/>
    </row>
    <row r="1147" spans="1:15" x14ac:dyDescent="0.25">
      <c r="A1147" s="267" t="s">
        <v>121</v>
      </c>
      <c r="B1147" s="269" t="s">
        <v>738</v>
      </c>
      <c r="C1147" s="94"/>
      <c r="D1147" s="94"/>
      <c r="E1147" s="94"/>
      <c r="F1147" s="94"/>
      <c r="G1147" s="94"/>
      <c r="H1147" s="94"/>
      <c r="I1147" s="94"/>
      <c r="J1147" s="268" t="s">
        <v>116</v>
      </c>
      <c r="K1147" s="94"/>
      <c r="L1147" s="94"/>
      <c r="M1147" s="94"/>
      <c r="N1147" s="94"/>
      <c r="O1147" s="93"/>
    </row>
    <row r="1148" spans="1:15" x14ac:dyDescent="0.25">
      <c r="A1148" s="267" t="s">
        <v>117</v>
      </c>
      <c r="B1148" s="133" t="s">
        <v>23</v>
      </c>
      <c r="C1148" s="94"/>
      <c r="D1148" s="94"/>
      <c r="E1148" s="94"/>
      <c r="F1148" s="94"/>
      <c r="G1148" s="94"/>
      <c r="H1148" s="94"/>
      <c r="I1148" s="94"/>
      <c r="J1148" s="94"/>
      <c r="K1148" s="94"/>
      <c r="L1148" s="94"/>
      <c r="M1148" s="94"/>
      <c r="N1148" s="94"/>
      <c r="O1148" s="93"/>
    </row>
    <row r="1149" spans="1:15" x14ac:dyDescent="0.25">
      <c r="A1149" s="267" t="s">
        <v>115</v>
      </c>
      <c r="B1149" s="133"/>
      <c r="C1149" s="94"/>
      <c r="D1149" s="94"/>
      <c r="E1149" s="94"/>
      <c r="F1149" s="94"/>
      <c r="G1149" s="94"/>
      <c r="H1149" s="94"/>
      <c r="I1149" s="94"/>
      <c r="J1149" s="94"/>
      <c r="K1149" s="94"/>
      <c r="L1149" s="94"/>
      <c r="M1149" s="94"/>
      <c r="N1149" s="94"/>
      <c r="O1149" s="93"/>
    </row>
    <row r="1150" spans="1:15" x14ac:dyDescent="0.25">
      <c r="A1150" s="266"/>
      <c r="B1150" s="265"/>
      <c r="C1150" s="265"/>
      <c r="D1150" s="265"/>
      <c r="E1150" s="265"/>
      <c r="F1150" s="94"/>
      <c r="G1150" s="94"/>
      <c r="H1150" s="94"/>
      <c r="I1150" s="94"/>
      <c r="J1150" s="94"/>
      <c r="K1150" s="94"/>
      <c r="L1150" s="94"/>
      <c r="M1150" s="94"/>
      <c r="N1150" s="94"/>
      <c r="O1150" s="93"/>
    </row>
    <row r="1151" spans="1:15" x14ac:dyDescent="0.25">
      <c r="A1151" s="264" t="s">
        <v>67</v>
      </c>
      <c r="B1151" s="263" t="s">
        <v>112</v>
      </c>
      <c r="C1151" s="263" t="s">
        <v>66</v>
      </c>
      <c r="D1151" s="263" t="s">
        <v>65</v>
      </c>
      <c r="E1151" s="263" t="s">
        <v>81</v>
      </c>
      <c r="F1151" s="274" t="s">
        <v>80</v>
      </c>
      <c r="G1151" s="274" t="s">
        <v>79</v>
      </c>
      <c r="H1151" s="274" t="s">
        <v>78</v>
      </c>
      <c r="I1151" s="274" t="s">
        <v>111</v>
      </c>
      <c r="J1151" s="274" t="s">
        <v>110</v>
      </c>
      <c r="K1151" s="274" t="s">
        <v>109</v>
      </c>
      <c r="L1151" s="274" t="s">
        <v>108</v>
      </c>
      <c r="M1151" s="274" t="s">
        <v>40</v>
      </c>
      <c r="N1151" s="274" t="s">
        <v>58</v>
      </c>
      <c r="O1151" s="93"/>
    </row>
    <row r="1152" spans="1:15" ht="30" x14ac:dyDescent="0.25">
      <c r="A1152" s="282">
        <v>10</v>
      </c>
      <c r="B1152" s="292" t="s">
        <v>729</v>
      </c>
      <c r="C1152" s="292" t="s">
        <v>737</v>
      </c>
      <c r="D1152" s="283">
        <v>2.25</v>
      </c>
      <c r="E1152" s="385">
        <v>18</v>
      </c>
      <c r="F1152" s="282" t="s">
        <v>68</v>
      </c>
      <c r="G1152" s="282">
        <v>2</v>
      </c>
      <c r="H1152" s="278" t="s">
        <v>68</v>
      </c>
      <c r="I1152" s="281" t="s">
        <v>736</v>
      </c>
      <c r="J1152" s="377">
        <f>0.002*0.018</f>
        <v>3.6000000000000001E-5</v>
      </c>
      <c r="K1152" s="279">
        <v>2.8000000000000001E-2</v>
      </c>
      <c r="L1152" s="278">
        <v>7860</v>
      </c>
      <c r="M1152" s="380">
        <v>1</v>
      </c>
      <c r="N1152" s="276">
        <f>IF(J1152="",D1152*M1152,D1152*J1152*K1152*L1152*M1152)</f>
        <v>1.7826480000000002E-2</v>
      </c>
      <c r="O1152" s="143"/>
    </row>
    <row r="1153" spans="1:15" x14ac:dyDescent="0.25">
      <c r="A1153" s="282">
        <v>20</v>
      </c>
      <c r="B1153" s="292" t="s">
        <v>250</v>
      </c>
      <c r="C1153" s="282" t="s">
        <v>726</v>
      </c>
      <c r="D1153" s="283">
        <v>10</v>
      </c>
      <c r="E1153" s="282">
        <v>2E-3</v>
      </c>
      <c r="F1153" s="282" t="s">
        <v>241</v>
      </c>
      <c r="G1153" s="282"/>
      <c r="H1153" s="278"/>
      <c r="I1153" s="303"/>
      <c r="J1153" s="381"/>
      <c r="K1153" s="278"/>
      <c r="L1153" s="278"/>
      <c r="M1153" s="383">
        <v>2E-3</v>
      </c>
      <c r="N1153" s="276">
        <f>IF(J1153="",D1153*M1153,D1153*J1153*K1153*L1153*M1153)</f>
        <v>0.02</v>
      </c>
      <c r="O1153" s="143"/>
    </row>
    <row r="1154" spans="1:15" x14ac:dyDescent="0.25">
      <c r="A1154" s="98"/>
      <c r="B1154" s="95"/>
      <c r="C1154" s="95"/>
      <c r="D1154" s="95"/>
      <c r="E1154" s="95"/>
      <c r="F1154" s="95"/>
      <c r="G1154" s="95"/>
      <c r="H1154" s="95"/>
      <c r="I1154" s="95"/>
      <c r="J1154" s="95"/>
      <c r="K1154" s="95"/>
      <c r="L1154" s="95"/>
      <c r="M1154" s="256" t="s">
        <v>58</v>
      </c>
      <c r="N1154" s="255">
        <f>SUM(N1152:N1153)</f>
        <v>3.7826480000000003E-2</v>
      </c>
      <c r="O1154" s="93"/>
    </row>
    <row r="1155" spans="1:15" x14ac:dyDescent="0.25">
      <c r="A1155" s="107"/>
      <c r="B1155" s="94"/>
      <c r="C1155" s="94"/>
      <c r="D1155" s="94"/>
      <c r="E1155" s="94"/>
      <c r="F1155" s="94"/>
      <c r="G1155" s="94"/>
      <c r="H1155" s="94"/>
      <c r="I1155" s="94"/>
      <c r="J1155" s="94"/>
      <c r="K1155" s="94"/>
      <c r="L1155" s="94"/>
      <c r="M1155" s="94"/>
      <c r="N1155" s="94"/>
      <c r="O1155" s="93"/>
    </row>
    <row r="1156" spans="1:15" x14ac:dyDescent="0.25">
      <c r="A1156" s="342" t="s">
        <v>67</v>
      </c>
      <c r="B1156" s="274" t="s">
        <v>106</v>
      </c>
      <c r="C1156" s="274" t="s">
        <v>66</v>
      </c>
      <c r="D1156" s="274" t="s">
        <v>65</v>
      </c>
      <c r="E1156" s="274" t="s">
        <v>64</v>
      </c>
      <c r="F1156" s="274" t="s">
        <v>40</v>
      </c>
      <c r="G1156" s="274" t="s">
        <v>105</v>
      </c>
      <c r="H1156" s="274" t="s">
        <v>104</v>
      </c>
      <c r="I1156" s="274" t="s">
        <v>58</v>
      </c>
      <c r="J1156" s="95"/>
      <c r="K1156" s="95"/>
      <c r="L1156" s="95"/>
      <c r="M1156" s="95"/>
      <c r="N1156" s="95"/>
      <c r="O1156" s="93"/>
    </row>
    <row r="1157" spans="1:15" ht="30" x14ac:dyDescent="0.25">
      <c r="A1157" s="282">
        <v>10</v>
      </c>
      <c r="B1157" s="376" t="s">
        <v>725</v>
      </c>
      <c r="C1157" s="285" t="s">
        <v>686</v>
      </c>
      <c r="D1157" s="283">
        <v>1.3</v>
      </c>
      <c r="E1157" s="282" t="s">
        <v>258</v>
      </c>
      <c r="F1157" s="282">
        <v>1</v>
      </c>
      <c r="G1157" s="282"/>
      <c r="H1157" s="282">
        <v>1</v>
      </c>
      <c r="I1157" s="293">
        <f>IF(H1157="",D1157*F1157,D1157*F1157*H1157)</f>
        <v>1.3</v>
      </c>
      <c r="J1157" s="142"/>
      <c r="K1157" s="142"/>
      <c r="L1157" s="142"/>
      <c r="M1157" s="142"/>
      <c r="N1157" s="142"/>
      <c r="O1157" s="120"/>
    </row>
    <row r="1158" spans="1:15" x14ac:dyDescent="0.25">
      <c r="A1158" s="282">
        <v>20</v>
      </c>
      <c r="B1158" s="376" t="s">
        <v>541</v>
      </c>
      <c r="C1158" s="285" t="s">
        <v>527</v>
      </c>
      <c r="D1158" s="283">
        <v>0.01</v>
      </c>
      <c r="E1158" s="282" t="s">
        <v>101</v>
      </c>
      <c r="F1158" s="282">
        <v>13.5</v>
      </c>
      <c r="G1158" s="292" t="s">
        <v>724</v>
      </c>
      <c r="H1158" s="282">
        <v>3</v>
      </c>
      <c r="I1158" s="293">
        <f>IF(H1158="",D1158*F1158,D1158*F1158*H1158)</f>
        <v>0.40500000000000003</v>
      </c>
      <c r="J1158" s="94"/>
      <c r="K1158" s="94"/>
      <c r="L1158" s="94"/>
      <c r="M1158" s="94"/>
      <c r="N1158" s="94"/>
      <c r="O1158" s="93"/>
    </row>
    <row r="1159" spans="1:15" x14ac:dyDescent="0.25">
      <c r="A1159" s="282">
        <v>30</v>
      </c>
      <c r="B1159" s="285" t="s">
        <v>535</v>
      </c>
      <c r="C1159" s="285" t="s">
        <v>619</v>
      </c>
      <c r="D1159" s="283">
        <v>5.25</v>
      </c>
      <c r="E1159" s="282" t="s">
        <v>241</v>
      </c>
      <c r="F1159" s="282">
        <f>E1153</f>
        <v>2E-3</v>
      </c>
      <c r="G1159" s="282"/>
      <c r="H1159" s="282"/>
      <c r="I1159" s="276">
        <f>IF(H1159="",D1159*F1159,D1159*F1159*H1159)</f>
        <v>1.0500000000000001E-2</v>
      </c>
      <c r="J1159" s="99"/>
      <c r="K1159" s="99"/>
      <c r="L1159" s="99"/>
      <c r="M1159" s="99"/>
      <c r="N1159" s="99"/>
      <c r="O1159" s="130"/>
    </row>
    <row r="1160" spans="1:15" x14ac:dyDescent="0.25">
      <c r="A1160" s="98"/>
      <c r="B1160" s="95"/>
      <c r="C1160" s="95"/>
      <c r="D1160" s="95"/>
      <c r="E1160" s="95"/>
      <c r="F1160" s="95"/>
      <c r="G1160" s="95"/>
      <c r="H1160" s="256" t="s">
        <v>58</v>
      </c>
      <c r="I1160" s="255">
        <f>SUM(I1157:I1159)</f>
        <v>1.7155</v>
      </c>
      <c r="J1160" s="95"/>
      <c r="K1160" s="95"/>
      <c r="L1160" s="95"/>
      <c r="M1160" s="95"/>
      <c r="N1160" s="95"/>
      <c r="O1160" s="93"/>
    </row>
    <row r="1161" spans="1:15" x14ac:dyDescent="0.25">
      <c r="A1161" s="107"/>
      <c r="B1161" s="94"/>
      <c r="C1161" s="94"/>
      <c r="D1161" s="94"/>
      <c r="E1161" s="94"/>
      <c r="F1161" s="94"/>
      <c r="G1161" s="94"/>
      <c r="H1161" s="94"/>
      <c r="I1161" s="99"/>
      <c r="J1161" s="94"/>
      <c r="K1161" s="94"/>
      <c r="L1161" s="94"/>
      <c r="M1161" s="94"/>
      <c r="N1161" s="94"/>
      <c r="O1161" s="93"/>
    </row>
    <row r="1162" spans="1:15" ht="15.75" thickBot="1" x14ac:dyDescent="0.3">
      <c r="A1162" s="92"/>
      <c r="B1162" s="91"/>
      <c r="C1162" s="91"/>
      <c r="D1162" s="91"/>
      <c r="E1162" s="91"/>
      <c r="F1162" s="91"/>
      <c r="G1162" s="91"/>
      <c r="H1162" s="91"/>
      <c r="I1162" s="91"/>
      <c r="J1162" s="91"/>
      <c r="K1162" s="91"/>
      <c r="L1162" s="91"/>
      <c r="M1162" s="91"/>
      <c r="N1162" s="91"/>
      <c r="O1162" s="90"/>
    </row>
    <row r="1163" spans="1:15" ht="15.75" thickBot="1" x14ac:dyDescent="0.3"/>
    <row r="1164" spans="1:15" x14ac:dyDescent="0.25">
      <c r="A1164" s="141"/>
      <c r="B1164" s="140"/>
      <c r="C1164" s="140"/>
      <c r="D1164" s="140"/>
      <c r="E1164" s="140"/>
      <c r="F1164" s="140"/>
      <c r="G1164" s="140"/>
      <c r="H1164" s="140"/>
      <c r="I1164" s="140"/>
      <c r="J1164" s="272"/>
      <c r="K1164" s="140"/>
      <c r="L1164" s="140"/>
      <c r="M1164" s="140"/>
      <c r="N1164" s="140"/>
      <c r="O1164" s="139"/>
    </row>
    <row r="1165" spans="1:15" x14ac:dyDescent="0.25">
      <c r="A1165" s="267" t="s">
        <v>57</v>
      </c>
      <c r="B1165" s="133" t="s">
        <v>523</v>
      </c>
      <c r="C1165" s="94"/>
      <c r="D1165" s="94"/>
      <c r="E1165" s="94"/>
      <c r="F1165" s="94"/>
      <c r="G1165" s="94"/>
      <c r="H1165" s="94"/>
      <c r="I1165" s="94"/>
      <c r="J1165" s="271" t="s">
        <v>51</v>
      </c>
      <c r="K1165" s="138">
        <v>81</v>
      </c>
      <c r="L1165" s="94"/>
      <c r="M1165" s="267" t="s">
        <v>113</v>
      </c>
      <c r="N1165" s="100">
        <f>EN_08006_m+EN_08006_p</f>
        <v>1.7072912499999999</v>
      </c>
      <c r="O1165" s="93"/>
    </row>
    <row r="1166" spans="1:15" x14ac:dyDescent="0.25">
      <c r="A1166" s="267" t="s">
        <v>125</v>
      </c>
      <c r="B1166" s="133" t="s">
        <v>21</v>
      </c>
      <c r="C1166" s="94"/>
      <c r="D1166" s="267" t="s">
        <v>122</v>
      </c>
      <c r="E1166" s="270" t="s">
        <v>522</v>
      </c>
      <c r="F1166" s="94"/>
      <c r="G1166" s="94"/>
      <c r="H1166" s="94"/>
      <c r="I1166" s="94"/>
      <c r="J1166" s="94"/>
      <c r="K1166" s="94"/>
      <c r="L1166" s="94"/>
      <c r="M1166" s="267" t="s">
        <v>124</v>
      </c>
      <c r="N1166" s="136">
        <v>1</v>
      </c>
      <c r="O1166" s="93"/>
    </row>
    <row r="1167" spans="1:15" x14ac:dyDescent="0.25">
      <c r="A1167" s="267" t="s">
        <v>123</v>
      </c>
      <c r="B1167" s="270" t="str">
        <f>'EN Assemblies'!B387</f>
        <v>Cooling system</v>
      </c>
      <c r="C1167" s="94"/>
      <c r="D1167" s="267" t="s">
        <v>119</v>
      </c>
      <c r="E1167" s="94"/>
      <c r="F1167" s="94"/>
      <c r="G1167" s="94"/>
      <c r="H1167" s="94"/>
      <c r="I1167" s="94"/>
      <c r="J1167" s="268" t="s">
        <v>122</v>
      </c>
      <c r="K1167" s="94"/>
      <c r="L1167" s="94"/>
      <c r="M1167" s="94"/>
      <c r="N1167" s="94"/>
      <c r="O1167" s="93"/>
    </row>
    <row r="1168" spans="1:15" x14ac:dyDescent="0.25">
      <c r="A1168" s="267" t="s">
        <v>114</v>
      </c>
      <c r="B1168" s="135" t="s">
        <v>735</v>
      </c>
      <c r="C1168" s="94"/>
      <c r="D1168" s="267" t="s">
        <v>116</v>
      </c>
      <c r="E1168" s="94"/>
      <c r="F1168" s="94"/>
      <c r="G1168" s="94"/>
      <c r="H1168" s="94"/>
      <c r="I1168" s="94"/>
      <c r="J1168" s="268" t="s">
        <v>119</v>
      </c>
      <c r="K1168" s="94"/>
      <c r="L1168" s="94"/>
      <c r="M1168" s="267" t="s">
        <v>118</v>
      </c>
      <c r="N1168" s="100">
        <f>N1166*N1165</f>
        <v>1.7072912499999999</v>
      </c>
      <c r="O1168" s="93"/>
    </row>
    <row r="1169" spans="1:15" x14ac:dyDescent="0.25">
      <c r="A1169" s="267" t="s">
        <v>121</v>
      </c>
      <c r="B1169" s="269" t="s">
        <v>734</v>
      </c>
      <c r="C1169" s="94"/>
      <c r="D1169" s="94"/>
      <c r="E1169" s="94"/>
      <c r="F1169" s="94"/>
      <c r="G1169" s="94"/>
      <c r="H1169" s="94"/>
      <c r="I1169" s="94"/>
      <c r="J1169" s="268" t="s">
        <v>116</v>
      </c>
      <c r="K1169" s="94"/>
      <c r="L1169" s="94"/>
      <c r="M1169" s="94"/>
      <c r="N1169" s="94"/>
      <c r="O1169" s="93"/>
    </row>
    <row r="1170" spans="1:15" x14ac:dyDescent="0.25">
      <c r="A1170" s="267" t="s">
        <v>117</v>
      </c>
      <c r="B1170" s="133" t="s">
        <v>23</v>
      </c>
      <c r="C1170" s="94"/>
      <c r="D1170" s="94"/>
      <c r="E1170" s="94"/>
      <c r="F1170" s="94"/>
      <c r="G1170" s="94"/>
      <c r="H1170" s="94"/>
      <c r="I1170" s="94"/>
      <c r="J1170" s="94"/>
      <c r="K1170" s="94"/>
      <c r="L1170" s="94"/>
      <c r="M1170" s="94"/>
      <c r="N1170" s="94"/>
      <c r="O1170" s="93"/>
    </row>
    <row r="1171" spans="1:15" x14ac:dyDescent="0.25">
      <c r="A1171" s="267" t="s">
        <v>115</v>
      </c>
      <c r="B1171" s="133"/>
      <c r="C1171" s="94"/>
      <c r="D1171" s="94"/>
      <c r="E1171" s="94"/>
      <c r="F1171" s="94"/>
      <c r="G1171" s="94"/>
      <c r="H1171" s="94"/>
      <c r="I1171" s="94"/>
      <c r="J1171" s="94"/>
      <c r="K1171" s="94"/>
      <c r="L1171" s="94"/>
      <c r="M1171" s="94"/>
      <c r="N1171" s="94"/>
      <c r="O1171" s="93"/>
    </row>
    <row r="1172" spans="1:15" x14ac:dyDescent="0.25">
      <c r="A1172" s="266"/>
      <c r="B1172" s="265"/>
      <c r="C1172" s="265"/>
      <c r="D1172" s="265"/>
      <c r="E1172" s="265"/>
      <c r="F1172" s="94"/>
      <c r="G1172" s="94"/>
      <c r="H1172" s="94"/>
      <c r="I1172" s="94"/>
      <c r="J1172" s="94"/>
      <c r="K1172" s="94"/>
      <c r="L1172" s="94"/>
      <c r="M1172" s="94"/>
      <c r="N1172" s="94"/>
      <c r="O1172" s="93"/>
    </row>
    <row r="1173" spans="1:15" x14ac:dyDescent="0.25">
      <c r="A1173" s="264" t="s">
        <v>67</v>
      </c>
      <c r="B1173" s="263" t="s">
        <v>112</v>
      </c>
      <c r="C1173" s="263" t="s">
        <v>66</v>
      </c>
      <c r="D1173" s="263" t="s">
        <v>65</v>
      </c>
      <c r="E1173" s="263" t="s">
        <v>81</v>
      </c>
      <c r="F1173" s="274" t="s">
        <v>80</v>
      </c>
      <c r="G1173" s="274" t="s">
        <v>79</v>
      </c>
      <c r="H1173" s="274" t="s">
        <v>78</v>
      </c>
      <c r="I1173" s="274" t="s">
        <v>111</v>
      </c>
      <c r="J1173" s="274" t="s">
        <v>110</v>
      </c>
      <c r="K1173" s="274" t="s">
        <v>109</v>
      </c>
      <c r="L1173" s="274" t="s">
        <v>108</v>
      </c>
      <c r="M1173" s="274" t="s">
        <v>40</v>
      </c>
      <c r="N1173" s="274" t="s">
        <v>58</v>
      </c>
      <c r="O1173" s="93"/>
    </row>
    <row r="1174" spans="1:15" ht="30" x14ac:dyDescent="0.25">
      <c r="A1174" s="282">
        <v>10</v>
      </c>
      <c r="B1174" s="292" t="s">
        <v>729</v>
      </c>
      <c r="C1174" s="292" t="s">
        <v>733</v>
      </c>
      <c r="D1174" s="283">
        <v>2.25</v>
      </c>
      <c r="E1174" s="384">
        <v>25</v>
      </c>
      <c r="F1174" s="282" t="s">
        <v>68</v>
      </c>
      <c r="G1174" s="282">
        <v>2</v>
      </c>
      <c r="H1174" s="278" t="s">
        <v>68</v>
      </c>
      <c r="I1174" s="281" t="s">
        <v>732</v>
      </c>
      <c r="J1174" s="377">
        <f>0.002*0.025</f>
        <v>5.0000000000000002E-5</v>
      </c>
      <c r="K1174" s="279">
        <v>4.4999999999999998E-2</v>
      </c>
      <c r="L1174" s="278">
        <v>7860</v>
      </c>
      <c r="M1174" s="380">
        <v>1</v>
      </c>
      <c r="N1174" s="276">
        <f>IF(J1174="",D1174*M1174,D1174*J1174*K1174*L1174*M1174)</f>
        <v>3.979125E-2</v>
      </c>
      <c r="O1174" s="143"/>
    </row>
    <row r="1175" spans="1:15" x14ac:dyDescent="0.25">
      <c r="A1175" s="282">
        <v>20</v>
      </c>
      <c r="B1175" s="292" t="s">
        <v>250</v>
      </c>
      <c r="C1175" s="282" t="s">
        <v>726</v>
      </c>
      <c r="D1175" s="283">
        <v>10</v>
      </c>
      <c r="E1175" s="282">
        <v>2E-3</v>
      </c>
      <c r="F1175" s="282" t="s">
        <v>241</v>
      </c>
      <c r="G1175" s="282"/>
      <c r="H1175" s="278"/>
      <c r="I1175" s="303"/>
      <c r="J1175" s="381"/>
      <c r="K1175" s="278"/>
      <c r="L1175" s="278"/>
      <c r="M1175" s="383">
        <v>2E-3</v>
      </c>
      <c r="N1175" s="276"/>
      <c r="O1175" s="143"/>
    </row>
    <row r="1176" spans="1:15" x14ac:dyDescent="0.25">
      <c r="A1176" s="98"/>
      <c r="B1176" s="95"/>
      <c r="C1176" s="95"/>
      <c r="D1176" s="95"/>
      <c r="E1176" s="95"/>
      <c r="F1176" s="95"/>
      <c r="G1176" s="95"/>
      <c r="H1176" s="95"/>
      <c r="I1176" s="95"/>
      <c r="J1176" s="95"/>
      <c r="K1176" s="95"/>
      <c r="L1176" s="95"/>
      <c r="M1176" s="256" t="s">
        <v>58</v>
      </c>
      <c r="N1176" s="255">
        <f>SUM(N1174:N1174)</f>
        <v>3.979125E-2</v>
      </c>
      <c r="O1176" s="93"/>
    </row>
    <row r="1177" spans="1:15" x14ac:dyDescent="0.25">
      <c r="A1177" s="107"/>
      <c r="B1177" s="94"/>
      <c r="C1177" s="94"/>
      <c r="D1177" s="94"/>
      <c r="E1177" s="94"/>
      <c r="F1177" s="94"/>
      <c r="G1177" s="94"/>
      <c r="H1177" s="94"/>
      <c r="I1177" s="94"/>
      <c r="J1177" s="94"/>
      <c r="K1177" s="94"/>
      <c r="L1177" s="94"/>
      <c r="M1177" s="94"/>
      <c r="N1177" s="94"/>
      <c r="O1177" s="93"/>
    </row>
    <row r="1178" spans="1:15" x14ac:dyDescent="0.25">
      <c r="A1178" s="342" t="s">
        <v>67</v>
      </c>
      <c r="B1178" s="274" t="s">
        <v>106</v>
      </c>
      <c r="C1178" s="274" t="s">
        <v>66</v>
      </c>
      <c r="D1178" s="274" t="s">
        <v>65</v>
      </c>
      <c r="E1178" s="274" t="s">
        <v>64</v>
      </c>
      <c r="F1178" s="274" t="s">
        <v>40</v>
      </c>
      <c r="G1178" s="274" t="s">
        <v>105</v>
      </c>
      <c r="H1178" s="274" t="s">
        <v>104</v>
      </c>
      <c r="I1178" s="274" t="s">
        <v>58</v>
      </c>
      <c r="J1178" s="95"/>
      <c r="K1178" s="95"/>
      <c r="L1178" s="95"/>
      <c r="M1178" s="95"/>
      <c r="N1178" s="95"/>
      <c r="O1178" s="93"/>
    </row>
    <row r="1179" spans="1:15" ht="30" x14ac:dyDescent="0.25">
      <c r="A1179" s="282">
        <v>10</v>
      </c>
      <c r="B1179" s="376" t="s">
        <v>725</v>
      </c>
      <c r="C1179" s="285" t="s">
        <v>686</v>
      </c>
      <c r="D1179" s="283">
        <v>1.3</v>
      </c>
      <c r="E1179" s="282" t="s">
        <v>258</v>
      </c>
      <c r="F1179" s="282">
        <v>1</v>
      </c>
      <c r="G1179" s="282"/>
      <c r="H1179" s="282">
        <v>1</v>
      </c>
      <c r="I1179" s="293">
        <f>IF(H1179="",D1179*F1179,D1179*F1179*H1179)</f>
        <v>1.3</v>
      </c>
      <c r="J1179" s="142"/>
      <c r="K1179" s="142"/>
      <c r="L1179" s="142"/>
      <c r="M1179" s="142"/>
      <c r="N1179" s="142"/>
      <c r="O1179" s="120"/>
    </row>
    <row r="1180" spans="1:15" x14ac:dyDescent="0.25">
      <c r="A1180" s="282">
        <v>20</v>
      </c>
      <c r="B1180" s="376" t="s">
        <v>541</v>
      </c>
      <c r="C1180" s="285" t="s">
        <v>527</v>
      </c>
      <c r="D1180" s="283">
        <v>0.01</v>
      </c>
      <c r="E1180" s="282" t="s">
        <v>101</v>
      </c>
      <c r="F1180" s="282">
        <v>11.9</v>
      </c>
      <c r="G1180" s="292" t="s">
        <v>724</v>
      </c>
      <c r="H1180" s="282">
        <v>3</v>
      </c>
      <c r="I1180" s="293">
        <f>IF(H1180="",D1180*F1180,D1180*F1180*H1180)</f>
        <v>0.35700000000000004</v>
      </c>
      <c r="J1180" s="94"/>
      <c r="K1180" s="94"/>
      <c r="L1180" s="94"/>
      <c r="M1180" s="94"/>
      <c r="N1180" s="94"/>
      <c r="O1180" s="93"/>
    </row>
    <row r="1181" spans="1:15" x14ac:dyDescent="0.25">
      <c r="A1181" s="282">
        <v>30</v>
      </c>
      <c r="B1181" s="285" t="s">
        <v>535</v>
      </c>
      <c r="C1181" s="285" t="s">
        <v>619</v>
      </c>
      <c r="D1181" s="283">
        <v>5.25</v>
      </c>
      <c r="E1181" s="282" t="s">
        <v>241</v>
      </c>
      <c r="F1181" s="282">
        <f>E1175</f>
        <v>2E-3</v>
      </c>
      <c r="G1181" s="282"/>
      <c r="H1181" s="282"/>
      <c r="I1181" s="276">
        <f>IF(H1181="",D1181*F1181,D1181*F1181*H1181)</f>
        <v>1.0500000000000001E-2</v>
      </c>
      <c r="J1181" s="99"/>
      <c r="K1181" s="99"/>
      <c r="L1181" s="99"/>
      <c r="M1181" s="99"/>
      <c r="N1181" s="99"/>
      <c r="O1181" s="130"/>
    </row>
    <row r="1182" spans="1:15" x14ac:dyDescent="0.25">
      <c r="A1182" s="98"/>
      <c r="B1182" s="95"/>
      <c r="C1182" s="95"/>
      <c r="D1182" s="95"/>
      <c r="E1182" s="95"/>
      <c r="F1182" s="95"/>
      <c r="G1182" s="95"/>
      <c r="H1182" s="256" t="s">
        <v>58</v>
      </c>
      <c r="I1182" s="255">
        <f>SUM(I1179:I1181)</f>
        <v>1.6675</v>
      </c>
      <c r="J1182" s="95"/>
      <c r="K1182" s="95"/>
      <c r="L1182" s="95"/>
      <c r="M1182" s="95"/>
      <c r="N1182" s="95"/>
      <c r="O1182" s="93"/>
    </row>
    <row r="1183" spans="1:15" x14ac:dyDescent="0.25">
      <c r="A1183" s="107"/>
      <c r="B1183" s="94"/>
      <c r="C1183" s="94"/>
      <c r="D1183" s="94"/>
      <c r="E1183" s="94"/>
      <c r="F1183" s="94"/>
      <c r="G1183" s="94"/>
      <c r="H1183" s="94"/>
      <c r="I1183" s="99"/>
      <c r="J1183" s="94"/>
      <c r="K1183" s="94"/>
      <c r="L1183" s="94"/>
      <c r="M1183" s="94"/>
      <c r="N1183" s="94"/>
      <c r="O1183" s="93"/>
    </row>
    <row r="1184" spans="1:15" ht="15.75" thickBot="1" x14ac:dyDescent="0.3">
      <c r="A1184" s="92"/>
      <c r="B1184" s="91"/>
      <c r="C1184" s="91"/>
      <c r="D1184" s="91"/>
      <c r="E1184" s="91"/>
      <c r="F1184" s="91"/>
      <c r="G1184" s="91"/>
      <c r="H1184" s="91"/>
      <c r="I1184" s="91"/>
      <c r="J1184" s="91"/>
      <c r="K1184" s="91"/>
      <c r="L1184" s="91"/>
      <c r="M1184" s="91"/>
      <c r="N1184" s="91"/>
      <c r="O1184" s="90"/>
    </row>
    <row r="1185" spans="1:15" ht="15.75" thickBot="1" x14ac:dyDescent="0.3"/>
    <row r="1186" spans="1:15" x14ac:dyDescent="0.25">
      <c r="A1186" s="141"/>
      <c r="B1186" s="140"/>
      <c r="C1186" s="140"/>
      <c r="D1186" s="140"/>
      <c r="E1186" s="140"/>
      <c r="F1186" s="140"/>
      <c r="G1186" s="140"/>
      <c r="H1186" s="140"/>
      <c r="I1186" s="140"/>
      <c r="J1186" s="272"/>
      <c r="K1186" s="140"/>
      <c r="L1186" s="140"/>
      <c r="M1186" s="140"/>
      <c r="N1186" s="140"/>
      <c r="O1186" s="139"/>
    </row>
    <row r="1187" spans="1:15" x14ac:dyDescent="0.25">
      <c r="A1187" s="267" t="s">
        <v>57</v>
      </c>
      <c r="B1187" s="133" t="s">
        <v>523</v>
      </c>
      <c r="C1187" s="94"/>
      <c r="D1187" s="94"/>
      <c r="E1187" s="94"/>
      <c r="F1187" s="94"/>
      <c r="G1187" s="94"/>
      <c r="H1187" s="94"/>
      <c r="I1187" s="94"/>
      <c r="J1187" s="271" t="s">
        <v>51</v>
      </c>
      <c r="K1187" s="138">
        <v>81</v>
      </c>
      <c r="L1187" s="94"/>
      <c r="M1187" s="267" t="s">
        <v>113</v>
      </c>
      <c r="N1187" s="100">
        <f>EN_08007_m+EN_08007_p</f>
        <v>1.7530829999999999</v>
      </c>
      <c r="O1187" s="93"/>
    </row>
    <row r="1188" spans="1:15" x14ac:dyDescent="0.25">
      <c r="A1188" s="267" t="s">
        <v>125</v>
      </c>
      <c r="B1188" s="133" t="s">
        <v>21</v>
      </c>
      <c r="C1188" s="94"/>
      <c r="D1188" s="267" t="s">
        <v>122</v>
      </c>
      <c r="E1188" s="270" t="s">
        <v>522</v>
      </c>
      <c r="F1188" s="94"/>
      <c r="G1188" s="94"/>
      <c r="H1188" s="94"/>
      <c r="I1188" s="94"/>
      <c r="J1188" s="94"/>
      <c r="K1188" s="94"/>
      <c r="L1188" s="94"/>
      <c r="M1188" s="267" t="s">
        <v>124</v>
      </c>
      <c r="N1188" s="136">
        <v>2</v>
      </c>
      <c r="O1188" s="93"/>
    </row>
    <row r="1189" spans="1:15" x14ac:dyDescent="0.25">
      <c r="A1189" s="267" t="s">
        <v>123</v>
      </c>
      <c r="B1189" s="270" t="str">
        <f>'EN Assemblies'!B387</f>
        <v>Cooling system</v>
      </c>
      <c r="C1189" s="94"/>
      <c r="D1189" s="267" t="s">
        <v>119</v>
      </c>
      <c r="E1189" s="94"/>
      <c r="F1189" s="94"/>
      <c r="G1189" s="94"/>
      <c r="H1189" s="94"/>
      <c r="I1189" s="94"/>
      <c r="J1189" s="268" t="s">
        <v>122</v>
      </c>
      <c r="K1189" s="94"/>
      <c r="L1189" s="94"/>
      <c r="M1189" s="94"/>
      <c r="N1189" s="94"/>
      <c r="O1189" s="93"/>
    </row>
    <row r="1190" spans="1:15" x14ac:dyDescent="0.25">
      <c r="A1190" s="267" t="s">
        <v>114</v>
      </c>
      <c r="B1190" s="135" t="s">
        <v>731</v>
      </c>
      <c r="C1190" s="94"/>
      <c r="D1190" s="267" t="s">
        <v>116</v>
      </c>
      <c r="E1190" s="94"/>
      <c r="F1190" s="94"/>
      <c r="G1190" s="94"/>
      <c r="H1190" s="94"/>
      <c r="I1190" s="94"/>
      <c r="J1190" s="268" t="s">
        <v>119</v>
      </c>
      <c r="K1190" s="94"/>
      <c r="L1190" s="94"/>
      <c r="M1190" s="267" t="s">
        <v>118</v>
      </c>
      <c r="N1190" s="100">
        <f>N1188*N1187</f>
        <v>3.5061659999999999</v>
      </c>
      <c r="O1190" s="93"/>
    </row>
    <row r="1191" spans="1:15" x14ac:dyDescent="0.25">
      <c r="A1191" s="267" t="s">
        <v>121</v>
      </c>
      <c r="B1191" s="269" t="s">
        <v>730</v>
      </c>
      <c r="C1191" s="94"/>
      <c r="D1191" s="94"/>
      <c r="E1191" s="94"/>
      <c r="F1191" s="94"/>
      <c r="G1191" s="94"/>
      <c r="H1191" s="94"/>
      <c r="I1191" s="94"/>
      <c r="J1191" s="268" t="s">
        <v>116</v>
      </c>
      <c r="K1191" s="94"/>
      <c r="L1191" s="94"/>
      <c r="M1191" s="94"/>
      <c r="N1191" s="94"/>
      <c r="O1191" s="93"/>
    </row>
    <row r="1192" spans="1:15" x14ac:dyDescent="0.25">
      <c r="A1192" s="267" t="s">
        <v>117</v>
      </c>
      <c r="B1192" s="133" t="s">
        <v>23</v>
      </c>
      <c r="C1192" s="94"/>
      <c r="D1192" s="94"/>
      <c r="E1192" s="94"/>
      <c r="F1192" s="94"/>
      <c r="G1192" s="94"/>
      <c r="H1192" s="94"/>
      <c r="I1192" s="94"/>
      <c r="J1192" s="94"/>
      <c r="K1192" s="94"/>
      <c r="L1192" s="94"/>
      <c r="M1192" s="94"/>
      <c r="N1192" s="94"/>
      <c r="O1192" s="93"/>
    </row>
    <row r="1193" spans="1:15" x14ac:dyDescent="0.25">
      <c r="A1193" s="267" t="s">
        <v>115</v>
      </c>
      <c r="B1193" s="133"/>
      <c r="C1193" s="94"/>
      <c r="D1193" s="94"/>
      <c r="E1193" s="94"/>
      <c r="F1193" s="94"/>
      <c r="G1193" s="94"/>
      <c r="H1193" s="94"/>
      <c r="I1193" s="94"/>
      <c r="J1193" s="94"/>
      <c r="K1193" s="94"/>
      <c r="L1193" s="94"/>
      <c r="M1193" s="94"/>
      <c r="N1193" s="94"/>
      <c r="O1193" s="93"/>
    </row>
    <row r="1194" spans="1:15" x14ac:dyDescent="0.25">
      <c r="A1194" s="266"/>
      <c r="B1194" s="265"/>
      <c r="C1194" s="265"/>
      <c r="D1194" s="265"/>
      <c r="E1194" s="265"/>
      <c r="F1194" s="94"/>
      <c r="G1194" s="94"/>
      <c r="H1194" s="94"/>
      <c r="I1194" s="94"/>
      <c r="J1194" s="94"/>
      <c r="K1194" s="94"/>
      <c r="L1194" s="94"/>
      <c r="M1194" s="94"/>
      <c r="N1194" s="94"/>
      <c r="O1194" s="93"/>
    </row>
    <row r="1195" spans="1:15" x14ac:dyDescent="0.25">
      <c r="A1195" s="264" t="s">
        <v>67</v>
      </c>
      <c r="B1195" s="263" t="s">
        <v>112</v>
      </c>
      <c r="C1195" s="263" t="s">
        <v>66</v>
      </c>
      <c r="D1195" s="263" t="s">
        <v>65</v>
      </c>
      <c r="E1195" s="263" t="s">
        <v>81</v>
      </c>
      <c r="F1195" s="274" t="s">
        <v>80</v>
      </c>
      <c r="G1195" s="274" t="s">
        <v>79</v>
      </c>
      <c r="H1195" s="274" t="s">
        <v>78</v>
      </c>
      <c r="I1195" s="274" t="s">
        <v>111</v>
      </c>
      <c r="J1195" s="274" t="s">
        <v>110</v>
      </c>
      <c r="K1195" s="274" t="s">
        <v>109</v>
      </c>
      <c r="L1195" s="274" t="s">
        <v>108</v>
      </c>
      <c r="M1195" s="274" t="s">
        <v>40</v>
      </c>
      <c r="N1195" s="274" t="s">
        <v>58</v>
      </c>
      <c r="O1195" s="93"/>
    </row>
    <row r="1196" spans="1:15" ht="30" x14ac:dyDescent="0.25">
      <c r="A1196" s="282">
        <v>10</v>
      </c>
      <c r="B1196" s="292" t="s">
        <v>729</v>
      </c>
      <c r="C1196" s="292" t="s">
        <v>728</v>
      </c>
      <c r="D1196" s="283">
        <v>2.25</v>
      </c>
      <c r="E1196" s="336">
        <v>30</v>
      </c>
      <c r="F1196" s="282" t="s">
        <v>68</v>
      </c>
      <c r="G1196" s="282">
        <v>2</v>
      </c>
      <c r="H1196" s="278" t="s">
        <v>68</v>
      </c>
      <c r="I1196" s="281" t="s">
        <v>727</v>
      </c>
      <c r="J1196" s="280">
        <f>0.002*0.03</f>
        <v>6.0000000000000002E-5</v>
      </c>
      <c r="K1196" s="279">
        <v>0.03</v>
      </c>
      <c r="L1196" s="278">
        <v>7860</v>
      </c>
      <c r="M1196" s="380">
        <v>1</v>
      </c>
      <c r="N1196" s="276">
        <f>IF(J1196="",D1196*M1196,D1196*J1196*K1196*L1196*M1196)</f>
        <v>3.1833E-2</v>
      </c>
      <c r="O1196" s="143"/>
    </row>
    <row r="1197" spans="1:15" x14ac:dyDescent="0.25">
      <c r="A1197" s="282">
        <v>20</v>
      </c>
      <c r="B1197" s="292" t="s">
        <v>250</v>
      </c>
      <c r="C1197" s="282" t="s">
        <v>726</v>
      </c>
      <c r="D1197" s="283">
        <v>10</v>
      </c>
      <c r="E1197" s="282">
        <v>1E-3</v>
      </c>
      <c r="F1197" s="282" t="s">
        <v>241</v>
      </c>
      <c r="G1197" s="282"/>
      <c r="H1197" s="278"/>
      <c r="I1197" s="303"/>
      <c r="J1197" s="381"/>
      <c r="K1197" s="278"/>
      <c r="L1197" s="278"/>
      <c r="M1197" s="383">
        <v>1E-3</v>
      </c>
      <c r="N1197" s="276">
        <f>IF(J1197="",D1197*M1197,D1197*J1197*K1197*L1197*M1197)</f>
        <v>0.01</v>
      </c>
      <c r="O1197" s="143"/>
    </row>
    <row r="1198" spans="1:15" x14ac:dyDescent="0.25">
      <c r="A1198" s="98"/>
      <c r="B1198" s="95"/>
      <c r="C1198" s="95"/>
      <c r="D1198" s="95"/>
      <c r="E1198" s="95"/>
      <c r="F1198" s="95"/>
      <c r="G1198" s="95"/>
      <c r="H1198" s="95"/>
      <c r="I1198" s="95"/>
      <c r="J1198" s="95"/>
      <c r="K1198" s="95"/>
      <c r="L1198" s="95"/>
      <c r="M1198" s="256" t="s">
        <v>58</v>
      </c>
      <c r="N1198" s="255">
        <f>SUM(N1196:N1197)</f>
        <v>4.1833000000000002E-2</v>
      </c>
      <c r="O1198" s="93"/>
    </row>
    <row r="1199" spans="1:15" x14ac:dyDescent="0.25">
      <c r="A1199" s="107"/>
      <c r="B1199" s="94"/>
      <c r="C1199" s="94"/>
      <c r="D1199" s="94"/>
      <c r="E1199" s="94"/>
      <c r="F1199" s="94"/>
      <c r="G1199" s="94"/>
      <c r="H1199" s="94"/>
      <c r="I1199" s="94"/>
      <c r="J1199" s="94"/>
      <c r="K1199" s="94"/>
      <c r="L1199" s="94"/>
      <c r="M1199" s="94"/>
      <c r="N1199" s="94"/>
      <c r="O1199" s="93"/>
    </row>
    <row r="1200" spans="1:15" x14ac:dyDescent="0.25">
      <c r="A1200" s="342" t="s">
        <v>67</v>
      </c>
      <c r="B1200" s="274" t="s">
        <v>106</v>
      </c>
      <c r="C1200" s="274" t="s">
        <v>66</v>
      </c>
      <c r="D1200" s="274" t="s">
        <v>65</v>
      </c>
      <c r="E1200" s="274" t="s">
        <v>64</v>
      </c>
      <c r="F1200" s="274" t="s">
        <v>40</v>
      </c>
      <c r="G1200" s="274" t="s">
        <v>105</v>
      </c>
      <c r="H1200" s="274" t="s">
        <v>104</v>
      </c>
      <c r="I1200" s="274" t="s">
        <v>58</v>
      </c>
      <c r="J1200" s="95"/>
      <c r="K1200" s="95"/>
      <c r="L1200" s="95"/>
      <c r="M1200" s="95"/>
      <c r="N1200" s="95"/>
      <c r="O1200" s="93"/>
    </row>
    <row r="1201" spans="1:15" ht="30" x14ac:dyDescent="0.25">
      <c r="A1201" s="282">
        <v>10</v>
      </c>
      <c r="B1201" s="376" t="s">
        <v>725</v>
      </c>
      <c r="C1201" s="285" t="s">
        <v>686</v>
      </c>
      <c r="D1201" s="283">
        <v>1.3</v>
      </c>
      <c r="E1201" s="282" t="s">
        <v>258</v>
      </c>
      <c r="F1201" s="282">
        <v>1</v>
      </c>
      <c r="G1201" s="282"/>
      <c r="H1201" s="282">
        <v>1</v>
      </c>
      <c r="I1201" s="293">
        <f>IF(H1201="",D1201*F1201,D1201*F1201*H1201)</f>
        <v>1.3</v>
      </c>
      <c r="J1201" s="142"/>
      <c r="K1201" s="142"/>
      <c r="L1201" s="142"/>
      <c r="M1201" s="142"/>
      <c r="N1201" s="142"/>
      <c r="O1201" s="120"/>
    </row>
    <row r="1202" spans="1:15" x14ac:dyDescent="0.25">
      <c r="A1202" s="282">
        <v>20</v>
      </c>
      <c r="B1202" s="376" t="s">
        <v>541</v>
      </c>
      <c r="C1202" s="285" t="s">
        <v>527</v>
      </c>
      <c r="D1202" s="283">
        <v>0.01</v>
      </c>
      <c r="E1202" s="282" t="s">
        <v>101</v>
      </c>
      <c r="F1202" s="282">
        <v>15.6</v>
      </c>
      <c r="G1202" s="292" t="s">
        <v>724</v>
      </c>
      <c r="H1202" s="282">
        <v>1</v>
      </c>
      <c r="I1202" s="293">
        <f>IF(H1202="",D1202*F1202,D1202*F1202*H1202)</f>
        <v>0.156</v>
      </c>
      <c r="J1202" s="94"/>
      <c r="K1202" s="94"/>
      <c r="L1202" s="94"/>
      <c r="M1202" s="94"/>
      <c r="N1202" s="94"/>
      <c r="O1202" s="93"/>
    </row>
    <row r="1203" spans="1:15" x14ac:dyDescent="0.25">
      <c r="A1203" s="282">
        <v>30</v>
      </c>
      <c r="B1203" s="376" t="s">
        <v>723</v>
      </c>
      <c r="C1203" s="285" t="s">
        <v>722</v>
      </c>
      <c r="D1203" s="283">
        <v>0.25</v>
      </c>
      <c r="E1203" s="282" t="s">
        <v>537</v>
      </c>
      <c r="F1203" s="282">
        <v>1</v>
      </c>
      <c r="G1203" s="292"/>
      <c r="H1203" s="282">
        <v>1</v>
      </c>
      <c r="I1203" s="276">
        <f>IF(H1203="",D1203*F1203,D1203*F1203*H1203)</f>
        <v>0.25</v>
      </c>
      <c r="J1203" s="99"/>
      <c r="K1203" s="99"/>
      <c r="L1203" s="99"/>
      <c r="M1203" s="99"/>
      <c r="N1203" s="99"/>
      <c r="O1203" s="130"/>
    </row>
    <row r="1204" spans="1:15" x14ac:dyDescent="0.25">
      <c r="A1204" s="282">
        <v>40</v>
      </c>
      <c r="B1204" s="285" t="s">
        <v>535</v>
      </c>
      <c r="C1204" s="285" t="s">
        <v>619</v>
      </c>
      <c r="D1204" s="283">
        <v>5.25</v>
      </c>
      <c r="E1204" s="282" t="s">
        <v>241</v>
      </c>
      <c r="F1204" s="282">
        <f>E1197</f>
        <v>1E-3</v>
      </c>
      <c r="G1204" s="282"/>
      <c r="H1204" s="282"/>
      <c r="I1204" s="276">
        <f>IF(H1204="",D1204*F1204,D1204*F1204*H1204)</f>
        <v>5.2500000000000003E-3</v>
      </c>
      <c r="J1204" s="94"/>
      <c r="K1204" s="94"/>
      <c r="L1204" s="94"/>
      <c r="M1204" s="94"/>
      <c r="N1204" s="94"/>
      <c r="O1204" s="93"/>
    </row>
    <row r="1205" spans="1:15" x14ac:dyDescent="0.25">
      <c r="A1205" s="98"/>
      <c r="B1205" s="95"/>
      <c r="C1205" s="95"/>
      <c r="D1205" s="95"/>
      <c r="E1205" s="95"/>
      <c r="F1205" s="95"/>
      <c r="G1205" s="95"/>
      <c r="H1205" s="256" t="s">
        <v>58</v>
      </c>
      <c r="I1205" s="255">
        <f>SUM(I1201:I1204)</f>
        <v>1.7112499999999999</v>
      </c>
      <c r="J1205" s="95"/>
      <c r="K1205" s="95"/>
      <c r="L1205" s="95"/>
      <c r="M1205" s="95"/>
      <c r="N1205" s="95"/>
      <c r="O1205" s="93"/>
    </row>
    <row r="1206" spans="1:15" x14ac:dyDescent="0.25">
      <c r="A1206" s="107"/>
      <c r="B1206" s="94"/>
      <c r="C1206" s="94"/>
      <c r="D1206" s="94"/>
      <c r="E1206" s="94"/>
      <c r="F1206" s="94"/>
      <c r="G1206" s="94"/>
      <c r="H1206" s="94"/>
      <c r="I1206" s="99"/>
      <c r="J1206" s="94"/>
      <c r="K1206" s="94"/>
      <c r="L1206" s="94"/>
      <c r="M1206" s="94"/>
      <c r="N1206" s="94"/>
      <c r="O1206" s="93"/>
    </row>
    <row r="1207" spans="1:15" ht="15.75" thickBot="1" x14ac:dyDescent="0.3">
      <c r="A1207" s="92"/>
      <c r="B1207" s="91"/>
      <c r="C1207" s="91"/>
      <c r="D1207" s="91"/>
      <c r="E1207" s="91"/>
      <c r="F1207" s="91"/>
      <c r="G1207" s="91"/>
      <c r="H1207" s="91"/>
      <c r="I1207" s="91"/>
      <c r="J1207" s="91"/>
      <c r="K1207" s="91"/>
      <c r="L1207" s="91"/>
      <c r="M1207" s="91"/>
      <c r="N1207" s="91"/>
      <c r="O1207" s="90"/>
    </row>
    <row r="1208" spans="1:15" ht="15.75" thickBot="1" x14ac:dyDescent="0.3"/>
    <row r="1209" spans="1:15" x14ac:dyDescent="0.25">
      <c r="A1209" s="141"/>
      <c r="B1209" s="140"/>
      <c r="C1209" s="140"/>
      <c r="D1209" s="140"/>
      <c r="E1209" s="140"/>
      <c r="F1209" s="140"/>
      <c r="G1209" s="140"/>
      <c r="H1209" s="140"/>
      <c r="I1209" s="140"/>
      <c r="J1209" s="272"/>
      <c r="K1209" s="140"/>
      <c r="L1209" s="140"/>
      <c r="M1209" s="140"/>
      <c r="N1209" s="140"/>
      <c r="O1209" s="139"/>
    </row>
    <row r="1210" spans="1:15" x14ac:dyDescent="0.25">
      <c r="A1210" s="267" t="s">
        <v>57</v>
      </c>
      <c r="B1210" s="133" t="s">
        <v>523</v>
      </c>
      <c r="C1210" s="94"/>
      <c r="D1210" s="94"/>
      <c r="E1210" s="94"/>
      <c r="F1210" s="94"/>
      <c r="G1210" s="94"/>
      <c r="H1210" s="94"/>
      <c r="I1210" s="94"/>
      <c r="J1210" s="271" t="s">
        <v>51</v>
      </c>
      <c r="K1210" s="138">
        <v>81</v>
      </c>
      <c r="L1210" s="94"/>
      <c r="M1210" s="267" t="s">
        <v>113</v>
      </c>
      <c r="N1210" s="100">
        <f>EN_08008_m+EN_08008_p</f>
        <v>2.933253712</v>
      </c>
      <c r="O1210" s="93"/>
    </row>
    <row r="1211" spans="1:15" x14ac:dyDescent="0.25">
      <c r="A1211" s="267" t="s">
        <v>125</v>
      </c>
      <c r="B1211" s="133" t="s">
        <v>21</v>
      </c>
      <c r="C1211" s="94"/>
      <c r="D1211" s="267" t="s">
        <v>122</v>
      </c>
      <c r="E1211" s="270"/>
      <c r="F1211" s="94"/>
      <c r="G1211" s="94"/>
      <c r="H1211" s="94"/>
      <c r="I1211" s="94"/>
      <c r="J1211" s="94"/>
      <c r="K1211" s="94"/>
      <c r="L1211" s="94"/>
      <c r="M1211" s="267" t="s">
        <v>124</v>
      </c>
      <c r="N1211" s="136">
        <v>2</v>
      </c>
      <c r="O1211" s="93"/>
    </row>
    <row r="1212" spans="1:15" x14ac:dyDescent="0.25">
      <c r="A1212" s="267" t="s">
        <v>123</v>
      </c>
      <c r="B1212" s="270" t="str">
        <f>'EN Assemblies'!B387</f>
        <v>Cooling system</v>
      </c>
      <c r="C1212" s="94"/>
      <c r="D1212" s="267" t="s">
        <v>119</v>
      </c>
      <c r="E1212" s="94"/>
      <c r="F1212" s="94"/>
      <c r="G1212" s="94"/>
      <c r="H1212" s="94"/>
      <c r="I1212" s="94"/>
      <c r="J1212" s="268" t="s">
        <v>122</v>
      </c>
      <c r="K1212" s="94"/>
      <c r="L1212" s="94"/>
      <c r="M1212" s="94"/>
      <c r="N1212" s="94"/>
      <c r="O1212" s="93"/>
    </row>
    <row r="1213" spans="1:15" x14ac:dyDescent="0.25">
      <c r="A1213" s="267" t="s">
        <v>114</v>
      </c>
      <c r="B1213" s="135" t="s">
        <v>721</v>
      </c>
      <c r="C1213" s="94"/>
      <c r="D1213" s="267" t="s">
        <v>116</v>
      </c>
      <c r="E1213" s="94"/>
      <c r="F1213" s="94"/>
      <c r="G1213" s="94"/>
      <c r="H1213" s="94"/>
      <c r="I1213" s="94"/>
      <c r="J1213" s="268" t="s">
        <v>119</v>
      </c>
      <c r="K1213" s="94"/>
      <c r="L1213" s="94"/>
      <c r="M1213" s="267" t="s">
        <v>118</v>
      </c>
      <c r="N1213" s="100">
        <f>N1211*N1210</f>
        <v>5.8665074239999999</v>
      </c>
      <c r="O1213" s="93"/>
    </row>
    <row r="1214" spans="1:15" x14ac:dyDescent="0.25">
      <c r="A1214" s="267" t="s">
        <v>121</v>
      </c>
      <c r="B1214" s="269" t="s">
        <v>720</v>
      </c>
      <c r="C1214" s="94"/>
      <c r="D1214" s="94"/>
      <c r="E1214" s="94"/>
      <c r="F1214" s="94"/>
      <c r="G1214" s="94"/>
      <c r="H1214" s="94"/>
      <c r="I1214" s="94"/>
      <c r="J1214" s="268" t="s">
        <v>116</v>
      </c>
      <c r="K1214" s="94"/>
      <c r="L1214" s="94"/>
      <c r="M1214" s="94"/>
      <c r="N1214" s="94"/>
      <c r="O1214" s="93"/>
    </row>
    <row r="1215" spans="1:15" x14ac:dyDescent="0.25">
      <c r="A1215" s="267" t="s">
        <v>117</v>
      </c>
      <c r="B1215" s="133" t="s">
        <v>23</v>
      </c>
      <c r="C1215" s="94"/>
      <c r="D1215" s="94"/>
      <c r="E1215" s="94"/>
      <c r="F1215" s="94"/>
      <c r="G1215" s="94"/>
      <c r="H1215" s="94"/>
      <c r="I1215" s="94"/>
      <c r="J1215" s="94"/>
      <c r="K1215" s="94"/>
      <c r="L1215" s="94"/>
      <c r="M1215" s="94"/>
      <c r="N1215" s="94"/>
      <c r="O1215" s="93"/>
    </row>
    <row r="1216" spans="1:15" x14ac:dyDescent="0.25">
      <c r="A1216" s="267" t="s">
        <v>115</v>
      </c>
      <c r="B1216" s="133"/>
      <c r="C1216" s="94"/>
      <c r="D1216" s="94"/>
      <c r="E1216" s="94"/>
      <c r="F1216" s="94"/>
      <c r="G1216" s="94"/>
      <c r="H1216" s="94"/>
      <c r="I1216" s="94"/>
      <c r="J1216" s="94"/>
      <c r="K1216" s="94"/>
      <c r="L1216" s="94"/>
      <c r="M1216" s="94"/>
      <c r="N1216" s="94"/>
      <c r="O1216" s="93"/>
    </row>
    <row r="1217" spans="1:15" x14ac:dyDescent="0.25">
      <c r="A1217" s="266"/>
      <c r="B1217" s="265"/>
      <c r="C1217" s="265"/>
      <c r="D1217" s="265"/>
      <c r="E1217" s="265"/>
      <c r="F1217" s="94"/>
      <c r="G1217" s="94"/>
      <c r="H1217" s="94"/>
      <c r="I1217" s="94"/>
      <c r="J1217" s="94"/>
      <c r="K1217" s="94"/>
      <c r="L1217" s="94"/>
      <c r="M1217" s="94"/>
      <c r="N1217" s="94"/>
      <c r="O1217" s="93"/>
    </row>
    <row r="1218" spans="1:15" x14ac:dyDescent="0.25">
      <c r="A1218" s="264" t="s">
        <v>67</v>
      </c>
      <c r="B1218" s="263" t="s">
        <v>112</v>
      </c>
      <c r="C1218" s="263" t="s">
        <v>66</v>
      </c>
      <c r="D1218" s="263" t="s">
        <v>65</v>
      </c>
      <c r="E1218" s="263" t="s">
        <v>81</v>
      </c>
      <c r="F1218" s="274" t="s">
        <v>80</v>
      </c>
      <c r="G1218" s="274" t="s">
        <v>79</v>
      </c>
      <c r="H1218" s="274" t="s">
        <v>78</v>
      </c>
      <c r="I1218" s="274" t="s">
        <v>111</v>
      </c>
      <c r="J1218" s="274" t="s">
        <v>110</v>
      </c>
      <c r="K1218" s="274" t="s">
        <v>109</v>
      </c>
      <c r="L1218" s="274" t="s">
        <v>108</v>
      </c>
      <c r="M1218" s="274" t="s">
        <v>40</v>
      </c>
      <c r="N1218" s="274" t="s">
        <v>58</v>
      </c>
      <c r="O1218" s="93"/>
    </row>
    <row r="1219" spans="1:15" ht="30" x14ac:dyDescent="0.25">
      <c r="A1219" s="282">
        <v>10</v>
      </c>
      <c r="B1219" s="292" t="s">
        <v>719</v>
      </c>
      <c r="C1219" s="282" t="s">
        <v>718</v>
      </c>
      <c r="D1219" s="283">
        <v>4.2</v>
      </c>
      <c r="E1219" s="336">
        <v>12</v>
      </c>
      <c r="F1219" s="282" t="s">
        <v>68</v>
      </c>
      <c r="G1219" s="282">
        <v>1</v>
      </c>
      <c r="H1219" s="278" t="s">
        <v>68</v>
      </c>
      <c r="I1219" s="281" t="s">
        <v>717</v>
      </c>
      <c r="J1219" s="377">
        <f>3.14*(0.006^2-0.005^2)</f>
        <v>3.4539999999999998E-5</v>
      </c>
      <c r="K1219" s="382">
        <v>0.4</v>
      </c>
      <c r="L1219" s="381">
        <v>2710</v>
      </c>
      <c r="M1219" s="380">
        <v>1</v>
      </c>
      <c r="N1219" s="276">
        <f>IF(J1219="",D1219*M1219,D1219*J1219*K1219*L1219*M1219)</f>
        <v>0.15725371199999999</v>
      </c>
      <c r="O1219" s="143"/>
    </row>
    <row r="1220" spans="1:15" x14ac:dyDescent="0.25">
      <c r="A1220" s="98"/>
      <c r="B1220" s="95"/>
      <c r="C1220" s="95"/>
      <c r="D1220" s="95"/>
      <c r="E1220" s="95"/>
      <c r="F1220" s="95"/>
      <c r="G1220" s="95"/>
      <c r="H1220" s="95"/>
      <c r="I1220" s="95"/>
      <c r="J1220" s="95"/>
      <c r="K1220" s="95"/>
      <c r="L1220" s="95"/>
      <c r="M1220" s="256" t="s">
        <v>58</v>
      </c>
      <c r="N1220" s="255">
        <f>SUM(N1219:N1219)</f>
        <v>0.15725371199999999</v>
      </c>
      <c r="O1220" s="93"/>
    </row>
    <row r="1221" spans="1:15" x14ac:dyDescent="0.25">
      <c r="A1221" s="107"/>
      <c r="B1221" s="94"/>
      <c r="C1221" s="94"/>
      <c r="D1221" s="94"/>
      <c r="E1221" s="94"/>
      <c r="F1221" s="94"/>
      <c r="G1221" s="94"/>
      <c r="H1221" s="94"/>
      <c r="I1221" s="94"/>
      <c r="J1221" s="94"/>
      <c r="K1221" s="94"/>
      <c r="L1221" s="94"/>
      <c r="M1221" s="94"/>
      <c r="N1221" s="94"/>
      <c r="O1221" s="93"/>
    </row>
    <row r="1222" spans="1:15" x14ac:dyDescent="0.25">
      <c r="A1222" s="342" t="s">
        <v>67</v>
      </c>
      <c r="B1222" s="274" t="s">
        <v>106</v>
      </c>
      <c r="C1222" s="274" t="s">
        <v>66</v>
      </c>
      <c r="D1222" s="274" t="s">
        <v>65</v>
      </c>
      <c r="E1222" s="274" t="s">
        <v>64</v>
      </c>
      <c r="F1222" s="274" t="s">
        <v>40</v>
      </c>
      <c r="G1222" s="274" t="s">
        <v>105</v>
      </c>
      <c r="H1222" s="274" t="s">
        <v>104</v>
      </c>
      <c r="I1222" s="274" t="s">
        <v>58</v>
      </c>
      <c r="J1222" s="95"/>
      <c r="K1222" s="95"/>
      <c r="L1222" s="95"/>
      <c r="M1222" s="95"/>
      <c r="N1222" s="95"/>
      <c r="O1222" s="93"/>
    </row>
    <row r="1223" spans="1:15" x14ac:dyDescent="0.25">
      <c r="A1223" s="282">
        <v>10</v>
      </c>
      <c r="B1223" s="376" t="s">
        <v>463</v>
      </c>
      <c r="C1223" s="376" t="s">
        <v>716</v>
      </c>
      <c r="D1223" s="283">
        <v>0.15</v>
      </c>
      <c r="E1223" s="282" t="s">
        <v>101</v>
      </c>
      <c r="F1223" s="282">
        <v>2.4</v>
      </c>
      <c r="G1223" s="282"/>
      <c r="H1223" s="282">
        <v>1</v>
      </c>
      <c r="I1223" s="293">
        <f>IF(H1223="",D1223*F1223,D1223*F1223*H1223)</f>
        <v>0.36</v>
      </c>
      <c r="J1223" s="142"/>
      <c r="K1223" s="142"/>
      <c r="L1223" s="142"/>
      <c r="M1223" s="142"/>
      <c r="N1223" s="142"/>
      <c r="O1223" s="120"/>
    </row>
    <row r="1224" spans="1:15" x14ac:dyDescent="0.25">
      <c r="A1224" s="282">
        <v>20</v>
      </c>
      <c r="B1224" s="376" t="s">
        <v>715</v>
      </c>
      <c r="C1224" s="285"/>
      <c r="D1224" s="283">
        <v>0.75</v>
      </c>
      <c r="E1224" s="282" t="s">
        <v>537</v>
      </c>
      <c r="F1224" s="282">
        <v>2</v>
      </c>
      <c r="G1224" s="282"/>
      <c r="H1224" s="282">
        <v>1</v>
      </c>
      <c r="I1224" s="293">
        <f>IF(H1224="",D1224*F1224,D1224*F1224*H1224)</f>
        <v>1.5</v>
      </c>
      <c r="J1224" s="94"/>
      <c r="K1224" s="94"/>
      <c r="L1224" s="94"/>
      <c r="M1224" s="94"/>
      <c r="N1224" s="94"/>
      <c r="O1224" s="93"/>
    </row>
    <row r="1225" spans="1:15" ht="30" x14ac:dyDescent="0.25">
      <c r="A1225" s="282">
        <v>30</v>
      </c>
      <c r="B1225" s="376" t="s">
        <v>714</v>
      </c>
      <c r="C1225" s="376" t="s">
        <v>713</v>
      </c>
      <c r="D1225" s="283">
        <v>0.03</v>
      </c>
      <c r="E1225" s="282" t="s">
        <v>354</v>
      </c>
      <c r="F1225" s="282">
        <f>2*3*1.2</f>
        <v>7.1999999999999993</v>
      </c>
      <c r="G1225" s="282"/>
      <c r="H1225" s="282"/>
      <c r="I1225" s="276">
        <f>IF(H1225="",D1225*F1225,D1225*F1225*H1225)</f>
        <v>0.21599999999999997</v>
      </c>
      <c r="J1225" s="99"/>
      <c r="K1225" s="99"/>
      <c r="L1225" s="99"/>
      <c r="M1225" s="99"/>
      <c r="N1225" s="99"/>
      <c r="O1225" s="130"/>
    </row>
    <row r="1226" spans="1:15" x14ac:dyDescent="0.25">
      <c r="A1226" s="282">
        <v>40</v>
      </c>
      <c r="B1226" s="309" t="s">
        <v>296</v>
      </c>
      <c r="C1226" s="376" t="s">
        <v>712</v>
      </c>
      <c r="D1226" s="283">
        <v>0.35</v>
      </c>
      <c r="E1226" s="282" t="s">
        <v>294</v>
      </c>
      <c r="F1226" s="282">
        <v>2</v>
      </c>
      <c r="G1226" s="282"/>
      <c r="H1226" s="282"/>
      <c r="I1226" s="276">
        <f>IF(H1226="",D1226*F1226,D1226*F1226*H1226)</f>
        <v>0.7</v>
      </c>
      <c r="J1226" s="94"/>
      <c r="K1226" s="94"/>
      <c r="L1226" s="94"/>
      <c r="M1226" s="94"/>
      <c r="N1226" s="94"/>
      <c r="O1226" s="93"/>
    </row>
    <row r="1227" spans="1:15" x14ac:dyDescent="0.25">
      <c r="A1227" s="98"/>
      <c r="B1227" s="95"/>
      <c r="C1227" s="95"/>
      <c r="D1227" s="95"/>
      <c r="E1227" s="95"/>
      <c r="F1227" s="95"/>
      <c r="G1227" s="95"/>
      <c r="H1227" s="256" t="s">
        <v>58</v>
      </c>
      <c r="I1227" s="255">
        <f>SUM(I1223:I1226)</f>
        <v>2.7759999999999998</v>
      </c>
      <c r="J1227" s="95"/>
      <c r="K1227" s="95"/>
      <c r="L1227" s="95"/>
      <c r="M1227" s="95"/>
      <c r="N1227" s="95"/>
      <c r="O1227" s="93"/>
    </row>
    <row r="1228" spans="1:15" x14ac:dyDescent="0.25">
      <c r="A1228" s="107"/>
      <c r="B1228" s="94"/>
      <c r="C1228" s="94"/>
      <c r="D1228" s="94"/>
      <c r="E1228" s="94"/>
      <c r="F1228" s="94"/>
      <c r="G1228" s="94"/>
      <c r="H1228" s="94"/>
      <c r="I1228" s="99"/>
      <c r="J1228" s="94"/>
      <c r="K1228" s="94"/>
      <c r="L1228" s="94"/>
      <c r="M1228" s="94"/>
      <c r="N1228" s="94"/>
      <c r="O1228" s="93"/>
    </row>
    <row r="1229" spans="1:15" ht="15.75" thickBot="1" x14ac:dyDescent="0.3">
      <c r="A1229" s="92"/>
      <c r="B1229" s="91"/>
      <c r="C1229" s="91"/>
      <c r="D1229" s="91"/>
      <c r="E1229" s="91"/>
      <c r="F1229" s="91"/>
      <c r="G1229" s="91"/>
      <c r="H1229" s="91"/>
      <c r="I1229" s="91"/>
      <c r="J1229" s="91"/>
      <c r="K1229" s="91"/>
      <c r="L1229" s="91"/>
      <c r="M1229" s="91"/>
      <c r="N1229" s="91"/>
      <c r="O1229" s="90"/>
    </row>
    <row r="1230" spans="1:15" ht="15.75" thickBot="1" x14ac:dyDescent="0.3"/>
    <row r="1231" spans="1:15" x14ac:dyDescent="0.25">
      <c r="A1231" s="141"/>
      <c r="B1231" s="140"/>
      <c r="C1231" s="140"/>
      <c r="D1231" s="140"/>
      <c r="E1231" s="140"/>
      <c r="F1231" s="140"/>
      <c r="G1231" s="140"/>
      <c r="H1231" s="140"/>
      <c r="I1231" s="140"/>
      <c r="J1231" s="272"/>
      <c r="K1231" s="140"/>
      <c r="L1231" s="140"/>
      <c r="M1231" s="140"/>
      <c r="N1231" s="140"/>
      <c r="O1231" s="139"/>
    </row>
    <row r="1232" spans="1:15" x14ac:dyDescent="0.25">
      <c r="A1232" s="267" t="s">
        <v>57</v>
      </c>
      <c r="B1232" s="133" t="s">
        <v>523</v>
      </c>
      <c r="C1232" s="94"/>
      <c r="D1232" s="94"/>
      <c r="E1232" s="94"/>
      <c r="F1232" s="94"/>
      <c r="G1232" s="94"/>
      <c r="H1232" s="94"/>
      <c r="I1232" s="94"/>
      <c r="J1232" s="271" t="s">
        <v>51</v>
      </c>
      <c r="K1232" s="138">
        <v>81</v>
      </c>
      <c r="L1232" s="94"/>
      <c r="M1232" s="267" t="s">
        <v>113</v>
      </c>
      <c r="N1232" s="100">
        <f>EN_09001_m+EN_09001_p</f>
        <v>67.473779046899992</v>
      </c>
      <c r="O1232" s="93"/>
    </row>
    <row r="1233" spans="1:15" x14ac:dyDescent="0.25">
      <c r="A1233" s="267" t="s">
        <v>125</v>
      </c>
      <c r="B1233" s="133" t="s">
        <v>21</v>
      </c>
      <c r="C1233" s="94"/>
      <c r="D1233" s="267" t="s">
        <v>122</v>
      </c>
      <c r="E1233" s="94"/>
      <c r="F1233" s="94"/>
      <c r="G1233" s="94"/>
      <c r="H1233" s="94"/>
      <c r="I1233" s="94"/>
      <c r="J1233" s="94"/>
      <c r="K1233" s="94"/>
      <c r="L1233" s="94"/>
      <c r="M1233" s="267" t="s">
        <v>124</v>
      </c>
      <c r="N1233" s="136">
        <v>1</v>
      </c>
      <c r="O1233" s="93"/>
    </row>
    <row r="1234" spans="1:15" x14ac:dyDescent="0.25">
      <c r="A1234" s="267" t="s">
        <v>123</v>
      </c>
      <c r="B1234" s="270" t="str">
        <f>'EN Assemblies'!B439</f>
        <v>Shifter</v>
      </c>
      <c r="C1234" s="94"/>
      <c r="D1234" s="267" t="s">
        <v>119</v>
      </c>
      <c r="E1234" s="94"/>
      <c r="F1234" s="94"/>
      <c r="G1234" s="94"/>
      <c r="H1234" s="94"/>
      <c r="I1234" s="94"/>
      <c r="J1234" s="268" t="s">
        <v>122</v>
      </c>
      <c r="K1234" s="94"/>
      <c r="L1234" s="94"/>
      <c r="M1234" s="94"/>
      <c r="N1234" s="94"/>
      <c r="O1234" s="93"/>
    </row>
    <row r="1235" spans="1:15" x14ac:dyDescent="0.25">
      <c r="A1235" s="267" t="s">
        <v>114</v>
      </c>
      <c r="B1235" s="135" t="s">
        <v>711</v>
      </c>
      <c r="C1235" s="94"/>
      <c r="D1235" s="267" t="s">
        <v>116</v>
      </c>
      <c r="E1235" s="94"/>
      <c r="F1235" s="94"/>
      <c r="G1235" s="94"/>
      <c r="H1235" s="94"/>
      <c r="I1235" s="94"/>
      <c r="J1235" s="268" t="s">
        <v>119</v>
      </c>
      <c r="K1235" s="94"/>
      <c r="L1235" s="94"/>
      <c r="M1235" s="267" t="s">
        <v>118</v>
      </c>
      <c r="N1235" s="100">
        <f>N1233*N1232</f>
        <v>67.473779046899992</v>
      </c>
      <c r="O1235" s="93"/>
    </row>
    <row r="1236" spans="1:15" x14ac:dyDescent="0.25">
      <c r="A1236" s="267" t="s">
        <v>121</v>
      </c>
      <c r="B1236" s="269" t="s">
        <v>710</v>
      </c>
      <c r="C1236" s="94"/>
      <c r="D1236" s="94"/>
      <c r="E1236" s="94"/>
      <c r="F1236" s="94"/>
      <c r="G1236" s="94"/>
      <c r="H1236" s="94"/>
      <c r="I1236" s="94"/>
      <c r="J1236" s="268" t="s">
        <v>116</v>
      </c>
      <c r="K1236" s="94"/>
      <c r="L1236" s="94"/>
      <c r="M1236" s="94"/>
      <c r="N1236" s="94"/>
      <c r="O1236" s="93"/>
    </row>
    <row r="1237" spans="1:15" x14ac:dyDescent="0.25">
      <c r="A1237" s="267" t="s">
        <v>117</v>
      </c>
      <c r="B1237" s="133" t="s">
        <v>23</v>
      </c>
      <c r="C1237" s="94"/>
      <c r="D1237" s="94"/>
      <c r="E1237" s="94"/>
      <c r="F1237" s="94"/>
      <c r="G1237" s="94"/>
      <c r="H1237" s="94"/>
      <c r="I1237" s="94"/>
      <c r="J1237" s="94"/>
      <c r="K1237" s="94"/>
      <c r="L1237" s="94"/>
      <c r="M1237" s="94"/>
      <c r="N1237" s="94"/>
      <c r="O1237" s="93"/>
    </row>
    <row r="1238" spans="1:15" x14ac:dyDescent="0.25">
      <c r="A1238" s="267" t="s">
        <v>115</v>
      </c>
      <c r="B1238" s="133" t="s">
        <v>709</v>
      </c>
      <c r="C1238" s="94"/>
      <c r="D1238" s="94"/>
      <c r="E1238" s="94"/>
      <c r="F1238" s="94"/>
      <c r="G1238" s="94"/>
      <c r="H1238" s="94"/>
      <c r="I1238" s="94"/>
      <c r="J1238" s="94"/>
      <c r="K1238" s="94"/>
      <c r="L1238" s="94"/>
      <c r="M1238" s="94"/>
      <c r="N1238" s="94"/>
      <c r="O1238" s="93"/>
    </row>
    <row r="1239" spans="1:15" x14ac:dyDescent="0.25">
      <c r="A1239" s="266"/>
      <c r="B1239" s="265"/>
      <c r="C1239" s="265"/>
      <c r="D1239" s="265"/>
      <c r="E1239" s="265"/>
      <c r="F1239" s="94"/>
      <c r="G1239" s="94"/>
      <c r="H1239" s="94"/>
      <c r="I1239" s="94"/>
      <c r="J1239" s="94"/>
      <c r="K1239" s="94"/>
      <c r="L1239" s="94"/>
      <c r="M1239" s="94"/>
      <c r="N1239" s="94"/>
      <c r="O1239" s="93"/>
    </row>
    <row r="1240" spans="1:15" x14ac:dyDescent="0.25">
      <c r="A1240" s="264" t="s">
        <v>67</v>
      </c>
      <c r="B1240" s="263" t="s">
        <v>112</v>
      </c>
      <c r="C1240" s="263" t="s">
        <v>66</v>
      </c>
      <c r="D1240" s="263" t="s">
        <v>65</v>
      </c>
      <c r="E1240" s="263" t="s">
        <v>81</v>
      </c>
      <c r="F1240" s="274" t="s">
        <v>80</v>
      </c>
      <c r="G1240" s="274" t="s">
        <v>79</v>
      </c>
      <c r="H1240" s="274" t="s">
        <v>78</v>
      </c>
      <c r="I1240" s="274" t="s">
        <v>111</v>
      </c>
      <c r="J1240" s="274" t="s">
        <v>110</v>
      </c>
      <c r="K1240" s="274" t="s">
        <v>109</v>
      </c>
      <c r="L1240" s="274" t="s">
        <v>108</v>
      </c>
      <c r="M1240" s="274" t="s">
        <v>40</v>
      </c>
      <c r="N1240" s="274" t="s">
        <v>58</v>
      </c>
      <c r="O1240" s="93"/>
    </row>
    <row r="1241" spans="1:15" x14ac:dyDescent="0.25">
      <c r="A1241" s="315">
        <v>10</v>
      </c>
      <c r="B1241" s="370" t="s">
        <v>583</v>
      </c>
      <c r="C1241" s="315" t="s">
        <v>708</v>
      </c>
      <c r="D1241" s="324">
        <v>2.25</v>
      </c>
      <c r="E1241" s="315">
        <v>57</v>
      </c>
      <c r="F1241" s="315" t="s">
        <v>68</v>
      </c>
      <c r="G1241" s="315"/>
      <c r="H1241" s="314"/>
      <c r="I1241" s="357" t="s">
        <v>707</v>
      </c>
      <c r="J1241" s="379">
        <v>2.550465E-3</v>
      </c>
      <c r="K1241" s="320">
        <v>3.5999999999999997E-2</v>
      </c>
      <c r="L1241" s="319">
        <v>7860</v>
      </c>
      <c r="M1241" s="369">
        <v>1</v>
      </c>
      <c r="N1241" s="276">
        <f>IF(J1241="",D1241*M1241,D1241*J1241*K1241*L1241*M1241)</f>
        <v>1.6237790469</v>
      </c>
      <c r="O1241" s="143"/>
    </row>
    <row r="1242" spans="1:15" x14ac:dyDescent="0.25">
      <c r="A1242" s="98"/>
      <c r="B1242" s="95"/>
      <c r="C1242" s="95"/>
      <c r="D1242" s="95"/>
      <c r="E1242" s="95"/>
      <c r="F1242" s="95"/>
      <c r="G1242" s="95"/>
      <c r="H1242" s="95"/>
      <c r="I1242" s="95"/>
      <c r="J1242" s="95"/>
      <c r="K1242" s="95"/>
      <c r="L1242" s="95"/>
      <c r="M1242" s="256" t="s">
        <v>58</v>
      </c>
      <c r="N1242" s="255">
        <f>SUM(N1241:N1241)</f>
        <v>1.6237790469</v>
      </c>
      <c r="O1242" s="93"/>
    </row>
    <row r="1243" spans="1:15" x14ac:dyDescent="0.25">
      <c r="A1243" s="107"/>
      <c r="B1243" s="94"/>
      <c r="C1243" s="94"/>
      <c r="D1243" s="94"/>
      <c r="E1243" s="94"/>
      <c r="F1243" s="94"/>
      <c r="G1243" s="94"/>
      <c r="H1243" s="94"/>
      <c r="I1243" s="94"/>
      <c r="J1243" s="94"/>
      <c r="K1243" s="94"/>
      <c r="L1243" s="94"/>
      <c r="M1243" s="94"/>
      <c r="N1243" s="94"/>
      <c r="O1243" s="93"/>
    </row>
    <row r="1244" spans="1:15" x14ac:dyDescent="0.25">
      <c r="A1244" s="342" t="s">
        <v>67</v>
      </c>
      <c r="B1244" s="274" t="s">
        <v>106</v>
      </c>
      <c r="C1244" s="274" t="s">
        <v>66</v>
      </c>
      <c r="D1244" s="274" t="s">
        <v>65</v>
      </c>
      <c r="E1244" s="274" t="s">
        <v>64</v>
      </c>
      <c r="F1244" s="274" t="s">
        <v>40</v>
      </c>
      <c r="G1244" s="274" t="s">
        <v>105</v>
      </c>
      <c r="H1244" s="274" t="s">
        <v>104</v>
      </c>
      <c r="I1244" s="274" t="s">
        <v>58</v>
      </c>
      <c r="J1244" s="95"/>
      <c r="K1244" s="95"/>
      <c r="L1244" s="95"/>
      <c r="M1244" s="95"/>
      <c r="N1244" s="95"/>
      <c r="O1244" s="93"/>
    </row>
    <row r="1245" spans="1:15" ht="30" x14ac:dyDescent="0.25">
      <c r="A1245" s="331">
        <v>10</v>
      </c>
      <c r="B1245" s="326" t="s">
        <v>516</v>
      </c>
      <c r="C1245" s="331" t="s">
        <v>528</v>
      </c>
      <c r="D1245" s="334">
        <v>1.3</v>
      </c>
      <c r="E1245" s="326" t="s">
        <v>64</v>
      </c>
      <c r="F1245" s="331">
        <v>1</v>
      </c>
      <c r="G1245" s="331"/>
      <c r="H1245" s="331"/>
      <c r="I1245" s="293">
        <f t="shared" ref="I1245:I1250" si="8">IF(H1245="",D1245*F1245,D1245*F1245*H1245)</f>
        <v>1.3</v>
      </c>
      <c r="J1245" s="142"/>
      <c r="K1245" s="142"/>
      <c r="L1245" s="142"/>
      <c r="M1245" s="142"/>
      <c r="N1245" s="142"/>
      <c r="O1245" s="120"/>
    </row>
    <row r="1246" spans="1:15" x14ac:dyDescent="0.25">
      <c r="A1246" s="328">
        <v>20</v>
      </c>
      <c r="B1246" s="326" t="s">
        <v>514</v>
      </c>
      <c r="C1246" s="328" t="s">
        <v>706</v>
      </c>
      <c r="D1246" s="329">
        <v>0.04</v>
      </c>
      <c r="E1246" s="328" t="s">
        <v>679</v>
      </c>
      <c r="F1246" s="333">
        <v>50</v>
      </c>
      <c r="G1246" s="326" t="s">
        <v>695</v>
      </c>
      <c r="H1246" s="325">
        <v>3</v>
      </c>
      <c r="I1246" s="293">
        <f t="shared" si="8"/>
        <v>6</v>
      </c>
      <c r="J1246" s="94"/>
      <c r="K1246" s="94"/>
      <c r="L1246" s="94"/>
      <c r="M1246" s="94"/>
      <c r="N1246" s="94"/>
      <c r="O1246" s="93"/>
    </row>
    <row r="1247" spans="1:15" x14ac:dyDescent="0.25">
      <c r="A1247" s="325">
        <v>30</v>
      </c>
      <c r="B1247" s="326" t="s">
        <v>680</v>
      </c>
      <c r="C1247" s="325"/>
      <c r="D1247" s="329">
        <v>0.65</v>
      </c>
      <c r="E1247" s="326" t="s">
        <v>64</v>
      </c>
      <c r="F1247" s="325">
        <v>1</v>
      </c>
      <c r="G1247" s="325"/>
      <c r="H1247" s="325"/>
      <c r="I1247" s="276">
        <f t="shared" si="8"/>
        <v>0.65</v>
      </c>
      <c r="J1247" s="99"/>
      <c r="K1247" s="99"/>
      <c r="L1247" s="99"/>
      <c r="M1247" s="99"/>
      <c r="N1247" s="99"/>
      <c r="O1247" s="130"/>
    </row>
    <row r="1248" spans="1:15" x14ac:dyDescent="0.25">
      <c r="A1248" s="328">
        <v>40</v>
      </c>
      <c r="B1248" s="326" t="s">
        <v>514</v>
      </c>
      <c r="C1248" s="328" t="s">
        <v>705</v>
      </c>
      <c r="D1248" s="329">
        <v>0.04</v>
      </c>
      <c r="E1248" s="328" t="s">
        <v>679</v>
      </c>
      <c r="F1248" s="333">
        <v>5</v>
      </c>
      <c r="G1248" s="326" t="s">
        <v>695</v>
      </c>
      <c r="H1248" s="325">
        <v>3</v>
      </c>
      <c r="I1248" s="276">
        <f t="shared" si="8"/>
        <v>0.60000000000000009</v>
      </c>
      <c r="J1248" s="94"/>
      <c r="K1248" s="94"/>
      <c r="L1248" s="94"/>
      <c r="M1248" s="94"/>
      <c r="N1248" s="94"/>
      <c r="O1248" s="93"/>
    </row>
    <row r="1249" spans="1:15" x14ac:dyDescent="0.25">
      <c r="A1249" s="325">
        <v>50</v>
      </c>
      <c r="B1249" s="328" t="s">
        <v>296</v>
      </c>
      <c r="C1249" s="325"/>
      <c r="D1249" s="329">
        <v>0.35</v>
      </c>
      <c r="E1249" s="326" t="s">
        <v>64</v>
      </c>
      <c r="F1249" s="325">
        <v>6</v>
      </c>
      <c r="G1249" s="325" t="s">
        <v>695</v>
      </c>
      <c r="H1249" s="325">
        <v>3</v>
      </c>
      <c r="I1249" s="276">
        <f t="shared" si="8"/>
        <v>6.2999999999999989</v>
      </c>
      <c r="J1249" s="94"/>
      <c r="K1249" s="94"/>
      <c r="L1249" s="94"/>
      <c r="M1249" s="94"/>
      <c r="N1249" s="94"/>
      <c r="O1249" s="93"/>
    </row>
    <row r="1250" spans="1:15" x14ac:dyDescent="0.25">
      <c r="A1250" s="328">
        <v>60</v>
      </c>
      <c r="B1250" s="326" t="s">
        <v>700</v>
      </c>
      <c r="C1250" s="328"/>
      <c r="D1250" s="329">
        <v>0.5</v>
      </c>
      <c r="E1250" s="328" t="s">
        <v>101</v>
      </c>
      <c r="F1250" s="333">
        <v>34</v>
      </c>
      <c r="G1250" s="326" t="s">
        <v>695</v>
      </c>
      <c r="H1250" s="325">
        <v>3</v>
      </c>
      <c r="I1250" s="276">
        <f t="shared" si="8"/>
        <v>51</v>
      </c>
      <c r="J1250" s="94"/>
      <c r="K1250" s="94"/>
      <c r="L1250" s="94"/>
      <c r="M1250" s="94"/>
      <c r="N1250" s="94"/>
      <c r="O1250" s="93"/>
    </row>
    <row r="1251" spans="1:15" x14ac:dyDescent="0.25">
      <c r="A1251" s="98"/>
      <c r="B1251" s="95"/>
      <c r="C1251" s="95"/>
      <c r="D1251" s="95"/>
      <c r="E1251" s="95"/>
      <c r="F1251" s="95"/>
      <c r="G1251" s="95"/>
      <c r="H1251" s="256" t="s">
        <v>58</v>
      </c>
      <c r="I1251" s="255">
        <f>SUM(I1245:I1250)</f>
        <v>65.849999999999994</v>
      </c>
      <c r="J1251" s="95"/>
      <c r="K1251" s="95"/>
      <c r="L1251" s="95"/>
      <c r="M1251" s="95"/>
      <c r="N1251" s="95"/>
      <c r="O1251" s="93"/>
    </row>
    <row r="1252" spans="1:15" x14ac:dyDescent="0.25">
      <c r="A1252" s="107"/>
      <c r="B1252" s="94"/>
      <c r="C1252" s="94"/>
      <c r="D1252" s="94"/>
      <c r="E1252" s="94"/>
      <c r="F1252" s="94"/>
      <c r="G1252" s="94"/>
      <c r="H1252" s="94"/>
      <c r="I1252" s="99"/>
      <c r="J1252" s="94"/>
      <c r="K1252" s="94"/>
      <c r="L1252" s="94"/>
      <c r="M1252" s="94"/>
      <c r="N1252" s="94"/>
      <c r="O1252" s="93"/>
    </row>
    <row r="1253" spans="1:15" ht="15.75" thickBot="1" x14ac:dyDescent="0.3">
      <c r="A1253" s="92"/>
      <c r="B1253" s="91"/>
      <c r="C1253" s="91"/>
      <c r="D1253" s="91"/>
      <c r="E1253" s="91"/>
      <c r="F1253" s="91"/>
      <c r="G1253" s="91"/>
      <c r="H1253" s="91"/>
      <c r="I1253" s="91"/>
      <c r="J1253" s="91"/>
      <c r="K1253" s="91"/>
      <c r="L1253" s="91"/>
      <c r="M1253" s="91"/>
      <c r="N1253" s="91"/>
      <c r="O1253" s="90"/>
    </row>
    <row r="1254" spans="1:15" ht="15.75" thickBot="1" x14ac:dyDescent="0.3"/>
    <row r="1255" spans="1:15" x14ac:dyDescent="0.25">
      <c r="A1255" s="141"/>
      <c r="B1255" s="140"/>
      <c r="C1255" s="140"/>
      <c r="D1255" s="140"/>
      <c r="E1255" s="140"/>
      <c r="F1255" s="140"/>
      <c r="G1255" s="140"/>
      <c r="H1255" s="140"/>
      <c r="I1255" s="140"/>
      <c r="J1255" s="272"/>
      <c r="K1255" s="140"/>
      <c r="L1255" s="140"/>
      <c r="M1255" s="140"/>
      <c r="N1255" s="140"/>
      <c r="O1255" s="139"/>
    </row>
    <row r="1256" spans="1:15" x14ac:dyDescent="0.25">
      <c r="A1256" s="267" t="s">
        <v>57</v>
      </c>
      <c r="B1256" s="133" t="s">
        <v>523</v>
      </c>
      <c r="C1256" s="94"/>
      <c r="D1256" s="94"/>
      <c r="E1256" s="94"/>
      <c r="F1256" s="94"/>
      <c r="G1256" s="94"/>
      <c r="H1256" s="94"/>
      <c r="I1256" s="94"/>
      <c r="J1256" s="271" t="s">
        <v>51</v>
      </c>
      <c r="K1256" s="138">
        <v>81</v>
      </c>
      <c r="L1256" s="94"/>
      <c r="M1256" s="267" t="s">
        <v>113</v>
      </c>
      <c r="N1256" s="100">
        <f>EN_09002_m+EN_09002_p</f>
        <v>37.098439539899999</v>
      </c>
      <c r="O1256" s="93"/>
    </row>
    <row r="1257" spans="1:15" x14ac:dyDescent="0.25">
      <c r="A1257" s="267" t="s">
        <v>125</v>
      </c>
      <c r="B1257" s="133" t="s">
        <v>21</v>
      </c>
      <c r="C1257" s="94"/>
      <c r="D1257" s="267" t="s">
        <v>122</v>
      </c>
      <c r="E1257" s="94"/>
      <c r="F1257" s="94"/>
      <c r="G1257" s="94"/>
      <c r="H1257" s="94"/>
      <c r="I1257" s="94"/>
      <c r="J1257" s="94"/>
      <c r="K1257" s="94"/>
      <c r="L1257" s="94"/>
      <c r="M1257" s="267" t="s">
        <v>124</v>
      </c>
      <c r="N1257" s="136">
        <v>1</v>
      </c>
      <c r="O1257" s="93"/>
    </row>
    <row r="1258" spans="1:15" x14ac:dyDescent="0.25">
      <c r="A1258" s="267" t="s">
        <v>123</v>
      </c>
      <c r="B1258" s="270" t="str">
        <f>'EN Assemblies'!B439</f>
        <v>Shifter</v>
      </c>
      <c r="C1258" s="94"/>
      <c r="D1258" s="267" t="s">
        <v>119</v>
      </c>
      <c r="E1258" s="94"/>
      <c r="F1258" s="94"/>
      <c r="G1258" s="94"/>
      <c r="H1258" s="94"/>
      <c r="I1258" s="94"/>
      <c r="J1258" s="268" t="s">
        <v>122</v>
      </c>
      <c r="K1258" s="94"/>
      <c r="L1258" s="94"/>
      <c r="M1258" s="94"/>
      <c r="N1258" s="94"/>
      <c r="O1258" s="93"/>
    </row>
    <row r="1259" spans="1:15" x14ac:dyDescent="0.25">
      <c r="A1259" s="267" t="s">
        <v>114</v>
      </c>
      <c r="B1259" s="135" t="s">
        <v>704</v>
      </c>
      <c r="C1259" s="94"/>
      <c r="D1259" s="267" t="s">
        <v>116</v>
      </c>
      <c r="E1259" s="94"/>
      <c r="F1259" s="94"/>
      <c r="G1259" s="94"/>
      <c r="H1259" s="94"/>
      <c r="I1259" s="94"/>
      <c r="J1259" s="268" t="s">
        <v>119</v>
      </c>
      <c r="K1259" s="94"/>
      <c r="L1259" s="94"/>
      <c r="M1259" s="267" t="s">
        <v>118</v>
      </c>
      <c r="N1259" s="100">
        <f>N1257*N1256</f>
        <v>37.098439539899999</v>
      </c>
      <c r="O1259" s="93"/>
    </row>
    <row r="1260" spans="1:15" x14ac:dyDescent="0.25">
      <c r="A1260" s="267" t="s">
        <v>121</v>
      </c>
      <c r="B1260" s="269" t="s">
        <v>703</v>
      </c>
      <c r="C1260" s="94"/>
      <c r="D1260" s="94"/>
      <c r="E1260" s="94"/>
      <c r="F1260" s="94"/>
      <c r="G1260" s="94"/>
      <c r="H1260" s="94"/>
      <c r="I1260" s="94"/>
      <c r="J1260" s="268" t="s">
        <v>116</v>
      </c>
      <c r="K1260" s="94"/>
      <c r="L1260" s="94"/>
      <c r="M1260" s="94"/>
      <c r="N1260" s="94"/>
      <c r="O1260" s="93"/>
    </row>
    <row r="1261" spans="1:15" x14ac:dyDescent="0.25">
      <c r="A1261" s="267" t="s">
        <v>117</v>
      </c>
      <c r="B1261" s="133" t="s">
        <v>23</v>
      </c>
      <c r="C1261" s="94"/>
      <c r="D1261" s="94"/>
      <c r="E1261" s="94"/>
      <c r="F1261" s="94"/>
      <c r="G1261" s="94"/>
      <c r="H1261" s="94"/>
      <c r="I1261" s="94"/>
      <c r="J1261" s="94"/>
      <c r="K1261" s="94"/>
      <c r="L1261" s="94"/>
      <c r="M1261" s="94"/>
      <c r="N1261" s="94"/>
      <c r="O1261" s="93"/>
    </row>
    <row r="1262" spans="1:15" x14ac:dyDescent="0.25">
      <c r="A1262" s="267" t="s">
        <v>115</v>
      </c>
      <c r="B1262" s="194" t="s">
        <v>702</v>
      </c>
      <c r="C1262" s="94"/>
      <c r="D1262" s="94"/>
      <c r="E1262" s="94"/>
      <c r="F1262" s="94"/>
      <c r="G1262" s="94"/>
      <c r="H1262" s="94"/>
      <c r="I1262" s="94"/>
      <c r="J1262" s="94"/>
      <c r="K1262" s="94"/>
      <c r="L1262" s="94"/>
      <c r="M1262" s="94"/>
      <c r="N1262" s="94"/>
      <c r="O1262" s="93"/>
    </row>
    <row r="1263" spans="1:15" x14ac:dyDescent="0.25">
      <c r="A1263" s="266"/>
      <c r="B1263" s="265"/>
      <c r="C1263" s="265"/>
      <c r="D1263" s="265"/>
      <c r="E1263" s="265"/>
      <c r="F1263" s="94"/>
      <c r="G1263" s="94"/>
      <c r="H1263" s="94"/>
      <c r="I1263" s="94"/>
      <c r="J1263" s="94"/>
      <c r="K1263" s="94"/>
      <c r="L1263" s="94"/>
      <c r="M1263" s="94"/>
      <c r="N1263" s="94"/>
      <c r="O1263" s="93"/>
    </row>
    <row r="1264" spans="1:15" x14ac:dyDescent="0.25">
      <c r="A1264" s="264" t="s">
        <v>67</v>
      </c>
      <c r="B1264" s="263" t="s">
        <v>112</v>
      </c>
      <c r="C1264" s="263" t="s">
        <v>66</v>
      </c>
      <c r="D1264" s="263" t="s">
        <v>65</v>
      </c>
      <c r="E1264" s="263" t="s">
        <v>81</v>
      </c>
      <c r="F1264" s="274" t="s">
        <v>80</v>
      </c>
      <c r="G1264" s="274" t="s">
        <v>79</v>
      </c>
      <c r="H1264" s="274" t="s">
        <v>78</v>
      </c>
      <c r="I1264" s="274" t="s">
        <v>111</v>
      </c>
      <c r="J1264" s="274" t="s">
        <v>110</v>
      </c>
      <c r="K1264" s="274" t="s">
        <v>109</v>
      </c>
      <c r="L1264" s="274" t="s">
        <v>108</v>
      </c>
      <c r="M1264" s="274" t="s">
        <v>40</v>
      </c>
      <c r="N1264" s="274" t="s">
        <v>58</v>
      </c>
      <c r="O1264" s="93"/>
    </row>
    <row r="1265" spans="1:15" x14ac:dyDescent="0.25">
      <c r="A1265" s="315">
        <v>10</v>
      </c>
      <c r="B1265" s="354" t="s">
        <v>583</v>
      </c>
      <c r="C1265" s="292" t="s">
        <v>682</v>
      </c>
      <c r="D1265" s="324">
        <v>2.25</v>
      </c>
      <c r="E1265" s="315">
        <v>27</v>
      </c>
      <c r="F1265" s="315" t="s">
        <v>68</v>
      </c>
      <c r="G1265" s="315"/>
      <c r="H1265" s="314"/>
      <c r="I1265" s="357" t="s">
        <v>681</v>
      </c>
      <c r="J1265" s="375">
        <v>5.7226499999999997E-4</v>
      </c>
      <c r="K1265" s="320">
        <v>0.23599999999999999</v>
      </c>
      <c r="L1265" s="319">
        <v>7860</v>
      </c>
      <c r="M1265" s="299">
        <v>1</v>
      </c>
      <c r="N1265" s="276">
        <f>IF(J1265="",D1265*M1265,D1265*J1265*K1265*L1265*M1265)</f>
        <v>2.3884395398999998</v>
      </c>
      <c r="O1265" s="143"/>
    </row>
    <row r="1266" spans="1:15" x14ac:dyDescent="0.25">
      <c r="A1266" s="98"/>
      <c r="B1266" s="95"/>
      <c r="C1266" s="95"/>
      <c r="D1266" s="95"/>
      <c r="E1266" s="95"/>
      <c r="F1266" s="95"/>
      <c r="G1266" s="95"/>
      <c r="H1266" s="95"/>
      <c r="I1266" s="95"/>
      <c r="J1266" s="95"/>
      <c r="K1266" s="95"/>
      <c r="L1266" s="95"/>
      <c r="M1266" s="256" t="s">
        <v>58</v>
      </c>
      <c r="N1266" s="255">
        <f>SUM(N1265:N1265)</f>
        <v>2.3884395398999998</v>
      </c>
      <c r="O1266" s="93"/>
    </row>
    <row r="1267" spans="1:15" x14ac:dyDescent="0.25">
      <c r="A1267" s="107"/>
      <c r="B1267" s="94"/>
      <c r="C1267" s="94"/>
      <c r="D1267" s="94"/>
      <c r="E1267" s="94"/>
      <c r="F1267" s="94"/>
      <c r="G1267" s="94"/>
      <c r="H1267" s="94"/>
      <c r="I1267" s="94"/>
      <c r="J1267" s="94"/>
      <c r="K1267" s="94"/>
      <c r="L1267" s="94"/>
      <c r="M1267" s="94"/>
      <c r="N1267" s="94"/>
      <c r="O1267" s="93"/>
    </row>
    <row r="1268" spans="1:15" x14ac:dyDescent="0.25">
      <c r="A1268" s="342" t="s">
        <v>67</v>
      </c>
      <c r="B1268" s="274" t="s">
        <v>106</v>
      </c>
      <c r="C1268" s="274" t="s">
        <v>66</v>
      </c>
      <c r="D1268" s="274" t="s">
        <v>65</v>
      </c>
      <c r="E1268" s="274" t="s">
        <v>64</v>
      </c>
      <c r="F1268" s="274" t="s">
        <v>40</v>
      </c>
      <c r="G1268" s="274" t="s">
        <v>105</v>
      </c>
      <c r="H1268" s="274" t="s">
        <v>104</v>
      </c>
      <c r="I1268" s="274" t="s">
        <v>58</v>
      </c>
      <c r="J1268" s="95"/>
      <c r="K1268" s="95"/>
      <c r="L1268" s="95"/>
      <c r="M1268" s="95"/>
      <c r="N1268" s="95"/>
      <c r="O1268" s="93"/>
    </row>
    <row r="1269" spans="1:15" ht="30" x14ac:dyDescent="0.25">
      <c r="A1269" s="325">
        <v>10</v>
      </c>
      <c r="B1269" s="326" t="s">
        <v>516</v>
      </c>
      <c r="C1269" s="325" t="s">
        <v>528</v>
      </c>
      <c r="D1269" s="329">
        <v>1.3</v>
      </c>
      <c r="E1269" s="326" t="s">
        <v>64</v>
      </c>
      <c r="F1269" s="325">
        <v>1</v>
      </c>
      <c r="G1269" s="325"/>
      <c r="H1269" s="325"/>
      <c r="I1269" s="293">
        <f>IF(H1269="",D1269*F1269,D1269*F1269*H1269)</f>
        <v>1.3</v>
      </c>
      <c r="J1269" s="142"/>
      <c r="K1269" s="142"/>
      <c r="L1269" s="142"/>
      <c r="M1269" s="142"/>
      <c r="N1269" s="142"/>
      <c r="O1269" s="120"/>
    </row>
    <row r="1270" spans="1:15" x14ac:dyDescent="0.25">
      <c r="A1270" s="328">
        <v>20</v>
      </c>
      <c r="B1270" s="326" t="s">
        <v>514</v>
      </c>
      <c r="C1270" s="328"/>
      <c r="D1270" s="329">
        <v>0.04</v>
      </c>
      <c r="E1270" s="328" t="s">
        <v>701</v>
      </c>
      <c r="F1270" s="328">
        <v>97</v>
      </c>
      <c r="G1270" s="326" t="s">
        <v>695</v>
      </c>
      <c r="H1270" s="325">
        <v>3</v>
      </c>
      <c r="I1270" s="293">
        <f>IF(H1270="",D1270*F1270,D1270*F1270*H1270)</f>
        <v>11.64</v>
      </c>
      <c r="J1270" s="94"/>
      <c r="K1270" s="94"/>
      <c r="L1270" s="94"/>
      <c r="M1270" s="94"/>
      <c r="N1270" s="94"/>
      <c r="O1270" s="93"/>
    </row>
    <row r="1271" spans="1:15" x14ac:dyDescent="0.25">
      <c r="A1271" s="325">
        <v>30</v>
      </c>
      <c r="B1271" s="326" t="s">
        <v>680</v>
      </c>
      <c r="C1271" s="325"/>
      <c r="D1271" s="329">
        <v>0.65</v>
      </c>
      <c r="E1271" s="326" t="s">
        <v>64</v>
      </c>
      <c r="F1271" s="325">
        <v>1</v>
      </c>
      <c r="G1271" s="325"/>
      <c r="H1271" s="325"/>
      <c r="I1271" s="276">
        <f>IF(H1271="",D1271*F1271,D1271*F1271*H1271)</f>
        <v>0.65</v>
      </c>
      <c r="J1271" s="99"/>
      <c r="K1271" s="99"/>
      <c r="L1271" s="99"/>
      <c r="M1271" s="99"/>
      <c r="N1271" s="99"/>
      <c r="O1271" s="130"/>
    </row>
    <row r="1272" spans="1:15" x14ac:dyDescent="0.25">
      <c r="A1272" s="325">
        <v>40</v>
      </c>
      <c r="B1272" s="326" t="s">
        <v>514</v>
      </c>
      <c r="C1272" s="325"/>
      <c r="D1272" s="329">
        <v>0.04</v>
      </c>
      <c r="E1272" s="326" t="s">
        <v>701</v>
      </c>
      <c r="F1272" s="325">
        <v>1</v>
      </c>
      <c r="G1272" s="325" t="s">
        <v>695</v>
      </c>
      <c r="H1272" s="325">
        <v>3</v>
      </c>
      <c r="I1272" s="276">
        <f>IF(H1272="",D1272*F1272,D1272*F1272*H1272)</f>
        <v>0.12</v>
      </c>
      <c r="J1272" s="94"/>
      <c r="K1272" s="94"/>
      <c r="L1272" s="94"/>
      <c r="M1272" s="94"/>
      <c r="N1272" s="94"/>
      <c r="O1272" s="93"/>
    </row>
    <row r="1273" spans="1:15" x14ac:dyDescent="0.25">
      <c r="A1273" s="328">
        <v>50</v>
      </c>
      <c r="B1273" s="326" t="s">
        <v>700</v>
      </c>
      <c r="C1273" s="328"/>
      <c r="D1273" s="329">
        <v>0.5</v>
      </c>
      <c r="E1273" s="328" t="s">
        <v>101</v>
      </c>
      <c r="F1273" s="328">
        <v>14</v>
      </c>
      <c r="G1273" s="326" t="s">
        <v>695</v>
      </c>
      <c r="H1273" s="325">
        <v>3</v>
      </c>
      <c r="I1273" s="276">
        <f>IF(H1273="",D1273*F1273,D1273*F1273*H1273)</f>
        <v>21</v>
      </c>
      <c r="J1273" s="94"/>
      <c r="K1273" s="94"/>
      <c r="L1273" s="94"/>
      <c r="M1273" s="94"/>
      <c r="N1273" s="94"/>
      <c r="O1273" s="93"/>
    </row>
    <row r="1274" spans="1:15" x14ac:dyDescent="0.25">
      <c r="A1274" s="98"/>
      <c r="B1274" s="95"/>
      <c r="C1274" s="95"/>
      <c r="D1274" s="95"/>
      <c r="E1274" s="95"/>
      <c r="F1274" s="95"/>
      <c r="G1274" s="95"/>
      <c r="H1274" s="256" t="s">
        <v>58</v>
      </c>
      <c r="I1274" s="255">
        <f>SUM(I1269:I1273)</f>
        <v>34.71</v>
      </c>
      <c r="J1274" s="95"/>
      <c r="K1274" s="95"/>
      <c r="L1274" s="95"/>
      <c r="M1274" s="95"/>
      <c r="N1274" s="95"/>
      <c r="O1274" s="93"/>
    </row>
    <row r="1275" spans="1:15" x14ac:dyDescent="0.25">
      <c r="A1275" s="107"/>
      <c r="B1275" s="94"/>
      <c r="C1275" s="94"/>
      <c r="D1275" s="94"/>
      <c r="E1275" s="94"/>
      <c r="F1275" s="94"/>
      <c r="G1275" s="94"/>
      <c r="H1275" s="94"/>
      <c r="I1275" s="99"/>
      <c r="J1275" s="94"/>
      <c r="K1275" s="94"/>
      <c r="L1275" s="94"/>
      <c r="M1275" s="94"/>
      <c r="N1275" s="94"/>
      <c r="O1275" s="93"/>
    </row>
    <row r="1276" spans="1:15" ht="15.75" thickBot="1" x14ac:dyDescent="0.3">
      <c r="A1276" s="92"/>
      <c r="B1276" s="91"/>
      <c r="C1276" s="91"/>
      <c r="D1276" s="91"/>
      <c r="E1276" s="91"/>
      <c r="F1276" s="91"/>
      <c r="G1276" s="91"/>
      <c r="H1276" s="91"/>
      <c r="I1276" s="91"/>
      <c r="J1276" s="91"/>
      <c r="K1276" s="91"/>
      <c r="L1276" s="91"/>
      <c r="M1276" s="91"/>
      <c r="N1276" s="91"/>
      <c r="O1276" s="90"/>
    </row>
    <row r="1277" spans="1:15" ht="15.75" thickBot="1" x14ac:dyDescent="0.3"/>
    <row r="1278" spans="1:15" x14ac:dyDescent="0.25">
      <c r="A1278" s="141"/>
      <c r="B1278" s="140"/>
      <c r="C1278" s="140"/>
      <c r="D1278" s="140"/>
      <c r="E1278" s="140"/>
      <c r="F1278" s="140"/>
      <c r="G1278" s="140"/>
      <c r="H1278" s="140"/>
      <c r="I1278" s="140"/>
      <c r="J1278" s="272"/>
      <c r="K1278" s="140"/>
      <c r="L1278" s="140"/>
      <c r="M1278" s="140"/>
      <c r="N1278" s="140"/>
      <c r="O1278" s="139"/>
    </row>
    <row r="1279" spans="1:15" x14ac:dyDescent="0.25">
      <c r="A1279" s="267" t="s">
        <v>57</v>
      </c>
      <c r="B1279" s="133" t="s">
        <v>523</v>
      </c>
      <c r="C1279" s="94"/>
      <c r="D1279" s="94"/>
      <c r="E1279" s="94"/>
      <c r="F1279" s="94"/>
      <c r="G1279" s="94"/>
      <c r="H1279" s="94"/>
      <c r="I1279" s="94"/>
      <c r="J1279" s="271" t="s">
        <v>51</v>
      </c>
      <c r="K1279" s="138">
        <v>81</v>
      </c>
      <c r="L1279" s="94"/>
      <c r="M1279" s="267" t="s">
        <v>113</v>
      </c>
      <c r="N1279" s="100">
        <f>EN_09003_m+EN_09003_p</f>
        <v>1.8851498050000002</v>
      </c>
      <c r="O1279" s="93"/>
    </row>
    <row r="1280" spans="1:15" x14ac:dyDescent="0.25">
      <c r="A1280" s="267" t="s">
        <v>125</v>
      </c>
      <c r="B1280" s="133" t="s">
        <v>21</v>
      </c>
      <c r="C1280" s="94"/>
      <c r="D1280" s="267" t="s">
        <v>122</v>
      </c>
      <c r="E1280" s="270" t="s">
        <v>522</v>
      </c>
      <c r="F1280" s="94"/>
      <c r="G1280" s="94"/>
      <c r="H1280" s="94"/>
      <c r="I1280" s="94"/>
      <c r="J1280" s="94"/>
      <c r="K1280" s="94"/>
      <c r="L1280" s="94"/>
      <c r="M1280" s="267" t="s">
        <v>124</v>
      </c>
      <c r="N1280" s="136">
        <v>1</v>
      </c>
      <c r="O1280" s="93"/>
    </row>
    <row r="1281" spans="1:15" x14ac:dyDescent="0.25">
      <c r="A1281" s="267" t="s">
        <v>123</v>
      </c>
      <c r="B1281" s="270" t="str">
        <f>'EN Assemblies'!B439</f>
        <v>Shifter</v>
      </c>
      <c r="C1281" s="94"/>
      <c r="D1281" s="267" t="s">
        <v>119</v>
      </c>
      <c r="E1281" s="94"/>
      <c r="F1281" s="94"/>
      <c r="G1281" s="94"/>
      <c r="H1281" s="94"/>
      <c r="I1281" s="94"/>
      <c r="J1281" s="268" t="s">
        <v>122</v>
      </c>
      <c r="K1281" s="94"/>
      <c r="L1281" s="94"/>
      <c r="M1281" s="94"/>
      <c r="N1281" s="94"/>
      <c r="O1281" s="93"/>
    </row>
    <row r="1282" spans="1:15" x14ac:dyDescent="0.25">
      <c r="A1282" s="267" t="s">
        <v>114</v>
      </c>
      <c r="B1282" s="135" t="s">
        <v>699</v>
      </c>
      <c r="C1282" s="94"/>
      <c r="D1282" s="267" t="s">
        <v>116</v>
      </c>
      <c r="E1282" s="94"/>
      <c r="F1282" s="94"/>
      <c r="G1282" s="94"/>
      <c r="H1282" s="94"/>
      <c r="I1282" s="94"/>
      <c r="J1282" s="268" t="s">
        <v>119</v>
      </c>
      <c r="K1282" s="94"/>
      <c r="L1282" s="94"/>
      <c r="M1282" s="267" t="s">
        <v>118</v>
      </c>
      <c r="N1282" s="100">
        <f>N1280*N1279</f>
        <v>1.8851498050000002</v>
      </c>
      <c r="O1282" s="93"/>
    </row>
    <row r="1283" spans="1:15" x14ac:dyDescent="0.25">
      <c r="A1283" s="267" t="s">
        <v>121</v>
      </c>
      <c r="B1283" s="269" t="s">
        <v>698</v>
      </c>
      <c r="C1283" s="94"/>
      <c r="D1283" s="94"/>
      <c r="E1283" s="94"/>
      <c r="F1283" s="94"/>
      <c r="G1283" s="94"/>
      <c r="H1283" s="94"/>
      <c r="I1283" s="94"/>
      <c r="J1283" s="268" t="s">
        <v>116</v>
      </c>
      <c r="K1283" s="94"/>
      <c r="L1283" s="94"/>
      <c r="M1283" s="94"/>
      <c r="N1283" s="94"/>
      <c r="O1283" s="93"/>
    </row>
    <row r="1284" spans="1:15" x14ac:dyDescent="0.25">
      <c r="A1284" s="267" t="s">
        <v>117</v>
      </c>
      <c r="B1284" s="133" t="s">
        <v>23</v>
      </c>
      <c r="C1284" s="94"/>
      <c r="D1284" s="94"/>
      <c r="E1284" s="94"/>
      <c r="F1284" s="94"/>
      <c r="G1284" s="94"/>
      <c r="H1284" s="94"/>
      <c r="I1284" s="94"/>
      <c r="J1284" s="94"/>
      <c r="K1284" s="94"/>
      <c r="L1284" s="94"/>
      <c r="M1284" s="94"/>
      <c r="N1284" s="94"/>
      <c r="O1284" s="93"/>
    </row>
    <row r="1285" spans="1:15" x14ac:dyDescent="0.25">
      <c r="A1285" s="267" t="s">
        <v>115</v>
      </c>
      <c r="B1285" s="133" t="s">
        <v>697</v>
      </c>
      <c r="C1285" s="94"/>
      <c r="D1285" s="94"/>
      <c r="E1285" s="94"/>
      <c r="F1285" s="94"/>
      <c r="G1285" s="94"/>
      <c r="H1285" s="94"/>
      <c r="I1285" s="94"/>
      <c r="J1285" s="94"/>
      <c r="K1285" s="94"/>
      <c r="L1285" s="94"/>
      <c r="M1285" s="94"/>
      <c r="N1285" s="94"/>
      <c r="O1285" s="93"/>
    </row>
    <row r="1286" spans="1:15" x14ac:dyDescent="0.25">
      <c r="A1286" s="266"/>
      <c r="B1286" s="265"/>
      <c r="C1286" s="265"/>
      <c r="D1286" s="265"/>
      <c r="E1286" s="265"/>
      <c r="F1286" s="94"/>
      <c r="G1286" s="94"/>
      <c r="H1286" s="94"/>
      <c r="I1286" s="94"/>
      <c r="J1286" s="94"/>
      <c r="K1286" s="94"/>
      <c r="L1286" s="94"/>
      <c r="M1286" s="94"/>
      <c r="N1286" s="94"/>
      <c r="O1286" s="93"/>
    </row>
    <row r="1287" spans="1:15" x14ac:dyDescent="0.25">
      <c r="A1287" s="264" t="s">
        <v>67</v>
      </c>
      <c r="B1287" s="263" t="s">
        <v>112</v>
      </c>
      <c r="C1287" s="263" t="s">
        <v>66</v>
      </c>
      <c r="D1287" s="263" t="s">
        <v>65</v>
      </c>
      <c r="E1287" s="263" t="s">
        <v>81</v>
      </c>
      <c r="F1287" s="274" t="s">
        <v>80</v>
      </c>
      <c r="G1287" s="274" t="s">
        <v>79</v>
      </c>
      <c r="H1287" s="274" t="s">
        <v>78</v>
      </c>
      <c r="I1287" s="274" t="s">
        <v>111</v>
      </c>
      <c r="J1287" s="274" t="s">
        <v>110</v>
      </c>
      <c r="K1287" s="274" t="s">
        <v>109</v>
      </c>
      <c r="L1287" s="274" t="s">
        <v>108</v>
      </c>
      <c r="M1287" s="274" t="s">
        <v>40</v>
      </c>
      <c r="N1287" s="274" t="s">
        <v>58</v>
      </c>
      <c r="O1287" s="93"/>
    </row>
    <row r="1288" spans="1:15" ht="30" x14ac:dyDescent="0.25">
      <c r="A1288" s="282">
        <v>10</v>
      </c>
      <c r="B1288" s="354" t="s">
        <v>519</v>
      </c>
      <c r="C1288" s="378" t="s">
        <v>682</v>
      </c>
      <c r="D1288" s="337">
        <v>2.25</v>
      </c>
      <c r="E1288" s="282">
        <v>23</v>
      </c>
      <c r="F1288" s="282" t="s">
        <v>68</v>
      </c>
      <c r="G1288" s="282">
        <v>3</v>
      </c>
      <c r="H1288" s="278" t="s">
        <v>688</v>
      </c>
      <c r="I1288" s="281" t="s">
        <v>696</v>
      </c>
      <c r="J1288" s="377">
        <f>0.023*0.003</f>
        <v>6.8999999999999997E-5</v>
      </c>
      <c r="K1288" s="279">
        <v>3.6999999999999998E-2</v>
      </c>
      <c r="L1288" s="319">
        <v>7860</v>
      </c>
      <c r="M1288" s="302">
        <v>1</v>
      </c>
      <c r="N1288" s="276">
        <f>IF(J1288="",D1288*M1288,D1288*J1288*K1288*L1288*M1288)</f>
        <v>4.5149805000000001E-2</v>
      </c>
      <c r="O1288" s="143"/>
    </row>
    <row r="1289" spans="1:15" x14ac:dyDescent="0.25">
      <c r="A1289" s="98"/>
      <c r="B1289" s="95"/>
      <c r="C1289" s="95"/>
      <c r="D1289" s="95"/>
      <c r="E1289" s="95"/>
      <c r="F1289" s="95"/>
      <c r="G1289" s="95"/>
      <c r="H1289" s="95"/>
      <c r="I1289" s="95"/>
      <c r="J1289" s="95"/>
      <c r="K1289" s="95"/>
      <c r="L1289" s="95"/>
      <c r="M1289" s="256" t="s">
        <v>58</v>
      </c>
      <c r="N1289" s="255">
        <f>SUM(N1288:N1288)</f>
        <v>4.5149805000000001E-2</v>
      </c>
      <c r="O1289" s="93"/>
    </row>
    <row r="1290" spans="1:15" x14ac:dyDescent="0.25">
      <c r="A1290" s="107"/>
      <c r="B1290" s="94"/>
      <c r="C1290" s="94"/>
      <c r="D1290" s="94"/>
      <c r="E1290" s="94"/>
      <c r="F1290" s="94"/>
      <c r="G1290" s="94"/>
      <c r="H1290" s="94"/>
      <c r="I1290" s="94"/>
      <c r="J1290" s="94"/>
      <c r="K1290" s="94"/>
      <c r="L1290" s="94"/>
      <c r="M1290" s="94"/>
      <c r="N1290" s="94"/>
      <c r="O1290" s="93"/>
    </row>
    <row r="1291" spans="1:15" x14ac:dyDescent="0.25">
      <c r="A1291" s="342" t="s">
        <v>67</v>
      </c>
      <c r="B1291" s="274" t="s">
        <v>106</v>
      </c>
      <c r="C1291" s="274" t="s">
        <v>66</v>
      </c>
      <c r="D1291" s="274" t="s">
        <v>65</v>
      </c>
      <c r="E1291" s="274" t="s">
        <v>64</v>
      </c>
      <c r="F1291" s="274" t="s">
        <v>40</v>
      </c>
      <c r="G1291" s="274" t="s">
        <v>105</v>
      </c>
      <c r="H1291" s="274" t="s">
        <v>104</v>
      </c>
      <c r="I1291" s="274" t="s">
        <v>58</v>
      </c>
      <c r="J1291" s="95"/>
      <c r="K1291" s="95"/>
      <c r="L1291" s="95"/>
      <c r="M1291" s="95"/>
      <c r="N1291" s="95"/>
      <c r="O1291" s="93"/>
    </row>
    <row r="1292" spans="1:15" ht="30" x14ac:dyDescent="0.25">
      <c r="A1292" s="325">
        <v>10</v>
      </c>
      <c r="B1292" s="326" t="s">
        <v>516</v>
      </c>
      <c r="C1292" s="325" t="s">
        <v>686</v>
      </c>
      <c r="D1292" s="329">
        <v>1.3</v>
      </c>
      <c r="E1292" s="326" t="s">
        <v>64</v>
      </c>
      <c r="F1292" s="325">
        <v>1</v>
      </c>
      <c r="G1292" s="325"/>
      <c r="H1292" s="325"/>
      <c r="I1292" s="293">
        <f>IF(H1292="",D1292*F1292,D1292*F1292*H1292)</f>
        <v>1.3</v>
      </c>
      <c r="J1292" s="142"/>
      <c r="K1292" s="142"/>
      <c r="L1292" s="142"/>
      <c r="M1292" s="142"/>
      <c r="N1292" s="142"/>
      <c r="O1292" s="120"/>
    </row>
    <row r="1293" spans="1:15" x14ac:dyDescent="0.25">
      <c r="A1293" s="328">
        <v>20</v>
      </c>
      <c r="B1293" s="328" t="s">
        <v>527</v>
      </c>
      <c r="C1293" s="328"/>
      <c r="D1293" s="329">
        <v>0.01</v>
      </c>
      <c r="E1293" s="328" t="s">
        <v>101</v>
      </c>
      <c r="F1293" s="333">
        <v>18</v>
      </c>
      <c r="G1293" s="326" t="s">
        <v>695</v>
      </c>
      <c r="H1293" s="325">
        <v>3</v>
      </c>
      <c r="I1293" s="293">
        <f>IF(H1293="",D1293*F1293,D1293*F1293*H1293)</f>
        <v>0.54</v>
      </c>
      <c r="J1293" s="94"/>
      <c r="K1293" s="94"/>
      <c r="L1293" s="94"/>
      <c r="M1293" s="94"/>
      <c r="N1293" s="94"/>
      <c r="O1293" s="93"/>
    </row>
    <row r="1294" spans="1:15" x14ac:dyDescent="0.25">
      <c r="A1294" s="98"/>
      <c r="B1294" s="95"/>
      <c r="C1294" s="95"/>
      <c r="D1294" s="95"/>
      <c r="E1294" s="95"/>
      <c r="F1294" s="95"/>
      <c r="G1294" s="95"/>
      <c r="H1294" s="256" t="s">
        <v>58</v>
      </c>
      <c r="I1294" s="255">
        <f>SUM(I1292:I1293)</f>
        <v>1.84</v>
      </c>
      <c r="J1294" s="95"/>
      <c r="K1294" s="95"/>
      <c r="L1294" s="95"/>
      <c r="M1294" s="95"/>
      <c r="N1294" s="95"/>
      <c r="O1294" s="93"/>
    </row>
    <row r="1295" spans="1:15" x14ac:dyDescent="0.25">
      <c r="A1295" s="107"/>
      <c r="B1295" s="94"/>
      <c r="C1295" s="94"/>
      <c r="D1295" s="94"/>
      <c r="E1295" s="94"/>
      <c r="F1295" s="94"/>
      <c r="G1295" s="94"/>
      <c r="H1295" s="94"/>
      <c r="I1295" s="99"/>
      <c r="J1295" s="94"/>
      <c r="K1295" s="94"/>
      <c r="L1295" s="94"/>
      <c r="M1295" s="94"/>
      <c r="N1295" s="94"/>
      <c r="O1295" s="93"/>
    </row>
    <row r="1296" spans="1:15" ht="15.75" thickBot="1" x14ac:dyDescent="0.3">
      <c r="A1296" s="92"/>
      <c r="B1296" s="91"/>
      <c r="C1296" s="91"/>
      <c r="D1296" s="91"/>
      <c r="E1296" s="91"/>
      <c r="F1296" s="91"/>
      <c r="G1296" s="91"/>
      <c r="H1296" s="91"/>
      <c r="I1296" s="91"/>
      <c r="J1296" s="91"/>
      <c r="K1296" s="91"/>
      <c r="L1296" s="91"/>
      <c r="M1296" s="91"/>
      <c r="N1296" s="91"/>
      <c r="O1296" s="90"/>
    </row>
    <row r="1297" spans="1:15" ht="15.75" thickBot="1" x14ac:dyDescent="0.3"/>
    <row r="1298" spans="1:15" x14ac:dyDescent="0.25">
      <c r="A1298" s="141"/>
      <c r="B1298" s="140"/>
      <c r="C1298" s="140"/>
      <c r="D1298" s="140"/>
      <c r="E1298" s="140"/>
      <c r="F1298" s="140"/>
      <c r="G1298" s="140"/>
      <c r="H1298" s="140"/>
      <c r="I1298" s="140"/>
      <c r="J1298" s="272"/>
      <c r="K1298" s="140"/>
      <c r="L1298" s="140"/>
      <c r="M1298" s="140"/>
      <c r="N1298" s="140"/>
      <c r="O1298" s="139"/>
    </row>
    <row r="1299" spans="1:15" x14ac:dyDescent="0.25">
      <c r="A1299" s="267" t="s">
        <v>57</v>
      </c>
      <c r="B1299" s="133" t="s">
        <v>523</v>
      </c>
      <c r="C1299" s="94"/>
      <c r="D1299" s="94"/>
      <c r="E1299" s="94"/>
      <c r="F1299" s="94"/>
      <c r="G1299" s="94"/>
      <c r="H1299" s="94"/>
      <c r="I1299" s="94"/>
      <c r="J1299" s="271" t="s">
        <v>51</v>
      </c>
      <c r="K1299" s="138">
        <v>81</v>
      </c>
      <c r="L1299" s="94"/>
      <c r="M1299" s="267" t="s">
        <v>113</v>
      </c>
      <c r="N1299" s="100">
        <f>EN_09004_m+EN_09004_p</f>
        <v>2.5660420159999999</v>
      </c>
      <c r="O1299" s="93"/>
    </row>
    <row r="1300" spans="1:15" x14ac:dyDescent="0.25">
      <c r="A1300" s="267" t="s">
        <v>125</v>
      </c>
      <c r="B1300" s="133" t="s">
        <v>21</v>
      </c>
      <c r="C1300" s="94"/>
      <c r="D1300" s="267" t="s">
        <v>122</v>
      </c>
      <c r="E1300" s="270" t="s">
        <v>522</v>
      </c>
      <c r="F1300" s="94"/>
      <c r="G1300" s="94"/>
      <c r="H1300" s="94"/>
      <c r="I1300" s="94"/>
      <c r="J1300" s="94"/>
      <c r="K1300" s="94"/>
      <c r="L1300" s="94"/>
      <c r="M1300" s="267" t="s">
        <v>124</v>
      </c>
      <c r="N1300" s="136">
        <v>1</v>
      </c>
      <c r="O1300" s="93"/>
    </row>
    <row r="1301" spans="1:15" x14ac:dyDescent="0.25">
      <c r="A1301" s="267" t="s">
        <v>123</v>
      </c>
      <c r="B1301" s="270" t="str">
        <f>'EN Assemblies'!B439</f>
        <v>Shifter</v>
      </c>
      <c r="C1301" s="94"/>
      <c r="D1301" s="267" t="s">
        <v>119</v>
      </c>
      <c r="E1301" s="94"/>
      <c r="F1301" s="94"/>
      <c r="G1301" s="94"/>
      <c r="H1301" s="94"/>
      <c r="I1301" s="94"/>
      <c r="J1301" s="268" t="s">
        <v>122</v>
      </c>
      <c r="K1301" s="94"/>
      <c r="L1301" s="94"/>
      <c r="M1301" s="94"/>
      <c r="N1301" s="94"/>
      <c r="O1301" s="93"/>
    </row>
    <row r="1302" spans="1:15" x14ac:dyDescent="0.25">
      <c r="A1302" s="267" t="s">
        <v>114</v>
      </c>
      <c r="B1302" s="135" t="s">
        <v>694</v>
      </c>
      <c r="C1302" s="94"/>
      <c r="D1302" s="267" t="s">
        <v>116</v>
      </c>
      <c r="E1302" s="94"/>
      <c r="F1302" s="94"/>
      <c r="G1302" s="94"/>
      <c r="H1302" s="94"/>
      <c r="I1302" s="94"/>
      <c r="J1302" s="268" t="s">
        <v>119</v>
      </c>
      <c r="K1302" s="94"/>
      <c r="L1302" s="94"/>
      <c r="M1302" s="267" t="s">
        <v>118</v>
      </c>
      <c r="N1302" s="100">
        <f>N1300*N1299</f>
        <v>2.5660420159999999</v>
      </c>
      <c r="O1302" s="93"/>
    </row>
    <row r="1303" spans="1:15" x14ac:dyDescent="0.25">
      <c r="A1303" s="267" t="s">
        <v>121</v>
      </c>
      <c r="B1303" s="269" t="s">
        <v>693</v>
      </c>
      <c r="C1303" s="94"/>
      <c r="D1303" s="94"/>
      <c r="E1303" s="94"/>
      <c r="F1303" s="94"/>
      <c r="G1303" s="94"/>
      <c r="H1303" s="94"/>
      <c r="I1303" s="94"/>
      <c r="J1303" s="268" t="s">
        <v>116</v>
      </c>
      <c r="K1303" s="94"/>
      <c r="L1303" s="94"/>
      <c r="M1303" s="94"/>
      <c r="N1303" s="94"/>
      <c r="O1303" s="93"/>
    </row>
    <row r="1304" spans="1:15" x14ac:dyDescent="0.25">
      <c r="A1304" s="267" t="s">
        <v>117</v>
      </c>
      <c r="B1304" s="133" t="s">
        <v>23</v>
      </c>
      <c r="C1304" s="94"/>
      <c r="D1304" s="94"/>
      <c r="E1304" s="94"/>
      <c r="F1304" s="94"/>
      <c r="G1304" s="94"/>
      <c r="H1304" s="94"/>
      <c r="I1304" s="94"/>
      <c r="J1304" s="94"/>
      <c r="K1304" s="94"/>
      <c r="L1304" s="94"/>
      <c r="M1304" s="94"/>
      <c r="N1304" s="94"/>
      <c r="O1304" s="93"/>
    </row>
    <row r="1305" spans="1:15" x14ac:dyDescent="0.25">
      <c r="A1305" s="267" t="s">
        <v>115</v>
      </c>
      <c r="B1305" s="133" t="s">
        <v>689</v>
      </c>
      <c r="C1305" s="94"/>
      <c r="D1305" s="94"/>
      <c r="E1305" s="94"/>
      <c r="F1305" s="94"/>
      <c r="G1305" s="94"/>
      <c r="H1305" s="94"/>
      <c r="I1305" s="94"/>
      <c r="J1305" s="94"/>
      <c r="K1305" s="94"/>
      <c r="L1305" s="94"/>
      <c r="M1305" s="94"/>
      <c r="N1305" s="94"/>
      <c r="O1305" s="93"/>
    </row>
    <row r="1306" spans="1:15" x14ac:dyDescent="0.25">
      <c r="A1306" s="266"/>
      <c r="B1306" s="265"/>
      <c r="C1306" s="265"/>
      <c r="D1306" s="265"/>
      <c r="E1306" s="265"/>
      <c r="F1306" s="94"/>
      <c r="G1306" s="94"/>
      <c r="H1306" s="94"/>
      <c r="I1306" s="94"/>
      <c r="J1306" s="94"/>
      <c r="K1306" s="94"/>
      <c r="L1306" s="94"/>
      <c r="M1306" s="94"/>
      <c r="N1306" s="94"/>
      <c r="O1306" s="93"/>
    </row>
    <row r="1307" spans="1:15" x14ac:dyDescent="0.25">
      <c r="A1307" s="264" t="s">
        <v>67</v>
      </c>
      <c r="B1307" s="263" t="s">
        <v>112</v>
      </c>
      <c r="C1307" s="263" t="s">
        <v>66</v>
      </c>
      <c r="D1307" s="263" t="s">
        <v>65</v>
      </c>
      <c r="E1307" s="263" t="s">
        <v>81</v>
      </c>
      <c r="F1307" s="274" t="s">
        <v>80</v>
      </c>
      <c r="G1307" s="274" t="s">
        <v>79</v>
      </c>
      <c r="H1307" s="274" t="s">
        <v>78</v>
      </c>
      <c r="I1307" s="274" t="s">
        <v>111</v>
      </c>
      <c r="J1307" s="274" t="s">
        <v>110</v>
      </c>
      <c r="K1307" s="274" t="s">
        <v>109</v>
      </c>
      <c r="L1307" s="274" t="s">
        <v>108</v>
      </c>
      <c r="M1307" s="274" t="s">
        <v>40</v>
      </c>
      <c r="N1307" s="274" t="s">
        <v>58</v>
      </c>
      <c r="O1307" s="93"/>
    </row>
    <row r="1308" spans="1:15" ht="30" x14ac:dyDescent="0.25">
      <c r="A1308" s="282">
        <v>10</v>
      </c>
      <c r="B1308" s="282" t="s">
        <v>683</v>
      </c>
      <c r="C1308" s="282" t="s">
        <v>682</v>
      </c>
      <c r="D1308" s="283">
        <v>4.2</v>
      </c>
      <c r="E1308" s="282">
        <v>11</v>
      </c>
      <c r="F1308" s="282" t="s">
        <v>68</v>
      </c>
      <c r="G1308" s="282">
        <v>2</v>
      </c>
      <c r="H1308" s="278" t="s">
        <v>688</v>
      </c>
      <c r="I1308" s="281" t="s">
        <v>692</v>
      </c>
      <c r="J1308" s="377">
        <f>0.011*0.002</f>
        <v>2.1999999999999999E-5</v>
      </c>
      <c r="K1308" s="279">
        <v>0.104</v>
      </c>
      <c r="L1308" s="278">
        <v>2710</v>
      </c>
      <c r="M1308" s="284">
        <v>1</v>
      </c>
      <c r="N1308" s="276">
        <f>IF(J1308="",D1308*M1308,D1308*J1308*K1308*L1308*M1308)</f>
        <v>2.6042015999999998E-2</v>
      </c>
      <c r="O1308" s="143"/>
    </row>
    <row r="1309" spans="1:15" x14ac:dyDescent="0.25">
      <c r="A1309" s="98"/>
      <c r="B1309" s="95"/>
      <c r="C1309" s="95"/>
      <c r="D1309" s="95"/>
      <c r="E1309" s="95"/>
      <c r="F1309" s="95"/>
      <c r="G1309" s="95"/>
      <c r="H1309" s="95"/>
      <c r="I1309" s="95"/>
      <c r="J1309" s="95"/>
      <c r="K1309" s="95"/>
      <c r="L1309" s="95"/>
      <c r="M1309" s="256" t="s">
        <v>58</v>
      </c>
      <c r="N1309" s="255">
        <f>SUM(N1308:N1308)</f>
        <v>2.6042015999999998E-2</v>
      </c>
      <c r="O1309" s="93"/>
    </row>
    <row r="1310" spans="1:15" x14ac:dyDescent="0.25">
      <c r="A1310" s="107"/>
      <c r="B1310" s="94"/>
      <c r="C1310" s="94"/>
      <c r="D1310" s="94"/>
      <c r="E1310" s="94"/>
      <c r="F1310" s="94"/>
      <c r="G1310" s="94"/>
      <c r="H1310" s="94"/>
      <c r="I1310" s="94"/>
      <c r="J1310" s="94"/>
      <c r="K1310" s="94"/>
      <c r="L1310" s="94"/>
      <c r="M1310" s="94"/>
      <c r="N1310" s="94"/>
      <c r="O1310" s="93"/>
    </row>
    <row r="1311" spans="1:15" x14ac:dyDescent="0.25">
      <c r="A1311" s="342" t="s">
        <v>67</v>
      </c>
      <c r="B1311" s="274" t="s">
        <v>106</v>
      </c>
      <c r="C1311" s="274" t="s">
        <v>66</v>
      </c>
      <c r="D1311" s="274" t="s">
        <v>65</v>
      </c>
      <c r="E1311" s="274" t="s">
        <v>64</v>
      </c>
      <c r="F1311" s="274" t="s">
        <v>40</v>
      </c>
      <c r="G1311" s="274" t="s">
        <v>105</v>
      </c>
      <c r="H1311" s="274" t="s">
        <v>104</v>
      </c>
      <c r="I1311" s="274" t="s">
        <v>58</v>
      </c>
      <c r="J1311" s="95"/>
      <c r="K1311" s="95"/>
      <c r="L1311" s="95"/>
      <c r="M1311" s="95"/>
      <c r="N1311" s="95"/>
      <c r="O1311" s="93"/>
    </row>
    <row r="1312" spans="1:15" ht="30" x14ac:dyDescent="0.25">
      <c r="A1312" s="282">
        <v>10</v>
      </c>
      <c r="B1312" s="309" t="s">
        <v>516</v>
      </c>
      <c r="C1312" s="285" t="s">
        <v>686</v>
      </c>
      <c r="D1312" s="283">
        <v>1.3</v>
      </c>
      <c r="E1312" s="282" t="s">
        <v>64</v>
      </c>
      <c r="F1312" s="282">
        <v>1</v>
      </c>
      <c r="G1312" s="282"/>
      <c r="H1312" s="282"/>
      <c r="I1312" s="293">
        <f>IF(H1312="",D1312*F1312,D1312*F1312*H1312)</f>
        <v>1.3</v>
      </c>
      <c r="J1312" s="142"/>
      <c r="K1312" s="142"/>
      <c r="L1312" s="142"/>
      <c r="M1312" s="142"/>
      <c r="N1312" s="142"/>
      <c r="O1312" s="120"/>
    </row>
    <row r="1313" spans="1:15" x14ac:dyDescent="0.25">
      <c r="A1313" s="282">
        <v>20</v>
      </c>
      <c r="B1313" s="285" t="s">
        <v>527</v>
      </c>
      <c r="C1313" s="285"/>
      <c r="D1313" s="283">
        <v>0.01</v>
      </c>
      <c r="E1313" s="282" t="s">
        <v>101</v>
      </c>
      <c r="F1313" s="282">
        <v>24</v>
      </c>
      <c r="G1313" s="282" t="s">
        <v>678</v>
      </c>
      <c r="H1313" s="282">
        <v>1</v>
      </c>
      <c r="I1313" s="293">
        <f>IF(H1313="",D1313*F1313,D1313*F1313*H1313)</f>
        <v>0.24</v>
      </c>
      <c r="J1313" s="94"/>
      <c r="K1313" s="94"/>
      <c r="L1313" s="94"/>
      <c r="M1313" s="94"/>
      <c r="N1313" s="94"/>
      <c r="O1313" s="93"/>
    </row>
    <row r="1314" spans="1:15" x14ac:dyDescent="0.25">
      <c r="A1314" s="282">
        <v>30</v>
      </c>
      <c r="B1314" s="309" t="s">
        <v>539</v>
      </c>
      <c r="C1314" s="376"/>
      <c r="D1314" s="283">
        <v>0.25</v>
      </c>
      <c r="E1314" s="282" t="s">
        <v>64</v>
      </c>
      <c r="F1314" s="282">
        <v>4</v>
      </c>
      <c r="G1314" s="282"/>
      <c r="H1314" s="282"/>
      <c r="I1314" s="276">
        <f>IF(H1314="",D1314*F1314,D1314*F1314*H1314)</f>
        <v>1</v>
      </c>
      <c r="J1314" s="99"/>
      <c r="K1314" s="99"/>
      <c r="L1314" s="99"/>
      <c r="M1314" s="99"/>
      <c r="N1314" s="99"/>
      <c r="O1314" s="130"/>
    </row>
    <row r="1315" spans="1:15" x14ac:dyDescent="0.25">
      <c r="A1315" s="98"/>
      <c r="B1315" s="95"/>
      <c r="C1315" s="95"/>
      <c r="D1315" s="95"/>
      <c r="E1315" s="95"/>
      <c r="F1315" s="95"/>
      <c r="G1315" s="95"/>
      <c r="H1315" s="256" t="s">
        <v>58</v>
      </c>
      <c r="I1315" s="255">
        <f>SUM(I1312:I1314)</f>
        <v>2.54</v>
      </c>
      <c r="J1315" s="95"/>
      <c r="K1315" s="95"/>
      <c r="L1315" s="95"/>
      <c r="M1315" s="95"/>
      <c r="N1315" s="95"/>
      <c r="O1315" s="93"/>
    </row>
    <row r="1316" spans="1:15" x14ac:dyDescent="0.25">
      <c r="A1316" s="107"/>
      <c r="B1316" s="94"/>
      <c r="C1316" s="94"/>
      <c r="D1316" s="94"/>
      <c r="E1316" s="94"/>
      <c r="F1316" s="94"/>
      <c r="G1316" s="94"/>
      <c r="H1316" s="94"/>
      <c r="I1316" s="99"/>
      <c r="J1316" s="94"/>
      <c r="K1316" s="94"/>
      <c r="L1316" s="94"/>
      <c r="M1316" s="94"/>
      <c r="N1316" s="94"/>
      <c r="O1316" s="93"/>
    </row>
    <row r="1317" spans="1:15" ht="15.75" thickBot="1" x14ac:dyDescent="0.3">
      <c r="A1317" s="92"/>
      <c r="B1317" s="91"/>
      <c r="C1317" s="91"/>
      <c r="D1317" s="91"/>
      <c r="E1317" s="91"/>
      <c r="F1317" s="91"/>
      <c r="G1317" s="91"/>
      <c r="H1317" s="91"/>
      <c r="I1317" s="91"/>
      <c r="J1317" s="91"/>
      <c r="K1317" s="91"/>
      <c r="L1317" s="91"/>
      <c r="M1317" s="91"/>
      <c r="N1317" s="91"/>
      <c r="O1317" s="90"/>
    </row>
    <row r="1318" spans="1:15" ht="15.75" thickBot="1" x14ac:dyDescent="0.3"/>
    <row r="1319" spans="1:15" x14ac:dyDescent="0.25">
      <c r="A1319" s="141"/>
      <c r="B1319" s="140"/>
      <c r="C1319" s="140"/>
      <c r="D1319" s="140"/>
      <c r="E1319" s="140"/>
      <c r="F1319" s="140"/>
      <c r="G1319" s="140"/>
      <c r="H1319" s="140"/>
      <c r="I1319" s="140"/>
      <c r="J1319" s="272"/>
      <c r="K1319" s="140"/>
      <c r="L1319" s="140"/>
      <c r="M1319" s="140"/>
      <c r="N1319" s="140"/>
      <c r="O1319" s="139"/>
    </row>
    <row r="1320" spans="1:15" x14ac:dyDescent="0.25">
      <c r="A1320" s="267" t="s">
        <v>57</v>
      </c>
      <c r="B1320" s="133" t="s">
        <v>523</v>
      </c>
      <c r="C1320" s="94"/>
      <c r="D1320" s="94"/>
      <c r="E1320" s="94"/>
      <c r="F1320" s="94"/>
      <c r="G1320" s="94"/>
      <c r="H1320" s="94"/>
      <c r="I1320" s="94"/>
      <c r="J1320" s="271" t="s">
        <v>51</v>
      </c>
      <c r="K1320" s="138">
        <v>81</v>
      </c>
      <c r="L1320" s="94"/>
      <c r="M1320" s="267" t="s">
        <v>113</v>
      </c>
      <c r="N1320" s="100">
        <f>EN_09005_m+EN_09005_p</f>
        <v>2.9317066000000005</v>
      </c>
      <c r="O1320" s="93"/>
    </row>
    <row r="1321" spans="1:15" x14ac:dyDescent="0.25">
      <c r="A1321" s="267" t="s">
        <v>125</v>
      </c>
      <c r="B1321" s="133" t="s">
        <v>21</v>
      </c>
      <c r="C1321" s="94"/>
      <c r="D1321" s="267" t="s">
        <v>122</v>
      </c>
      <c r="E1321" s="270" t="s">
        <v>522</v>
      </c>
      <c r="F1321" s="94"/>
      <c r="G1321" s="94"/>
      <c r="H1321" s="94"/>
      <c r="I1321" s="94"/>
      <c r="J1321" s="94"/>
      <c r="K1321" s="94"/>
      <c r="L1321" s="94"/>
      <c r="M1321" s="267" t="s">
        <v>124</v>
      </c>
      <c r="N1321" s="136">
        <v>1</v>
      </c>
      <c r="O1321" s="93"/>
    </row>
    <row r="1322" spans="1:15" x14ac:dyDescent="0.25">
      <c r="A1322" s="267" t="s">
        <v>123</v>
      </c>
      <c r="B1322" s="270" t="str">
        <f>'EN Assemblies'!B439</f>
        <v>Shifter</v>
      </c>
      <c r="C1322" s="94"/>
      <c r="D1322" s="267" t="s">
        <v>119</v>
      </c>
      <c r="E1322" s="94"/>
      <c r="F1322" s="94"/>
      <c r="G1322" s="94"/>
      <c r="H1322" s="94"/>
      <c r="I1322" s="94"/>
      <c r="J1322" s="268" t="s">
        <v>122</v>
      </c>
      <c r="K1322" s="94"/>
      <c r="L1322" s="94"/>
      <c r="M1322" s="94"/>
      <c r="N1322" s="94"/>
      <c r="O1322" s="93"/>
    </row>
    <row r="1323" spans="1:15" x14ac:dyDescent="0.25">
      <c r="A1323" s="267" t="s">
        <v>114</v>
      </c>
      <c r="B1323" s="135" t="s">
        <v>691</v>
      </c>
      <c r="C1323" s="94"/>
      <c r="D1323" s="267" t="s">
        <v>116</v>
      </c>
      <c r="E1323" s="94"/>
      <c r="F1323" s="94"/>
      <c r="G1323" s="94"/>
      <c r="H1323" s="94"/>
      <c r="I1323" s="94"/>
      <c r="J1323" s="268" t="s">
        <v>119</v>
      </c>
      <c r="K1323" s="94"/>
      <c r="L1323" s="94"/>
      <c r="M1323" s="267" t="s">
        <v>118</v>
      </c>
      <c r="N1323" s="100">
        <f>N1321*N1320</f>
        <v>2.9317066000000005</v>
      </c>
      <c r="O1323" s="93"/>
    </row>
    <row r="1324" spans="1:15" x14ac:dyDescent="0.25">
      <c r="A1324" s="267" t="s">
        <v>121</v>
      </c>
      <c r="B1324" s="269" t="s">
        <v>690</v>
      </c>
      <c r="C1324" s="94"/>
      <c r="D1324" s="94"/>
      <c r="E1324" s="94"/>
      <c r="F1324" s="94"/>
      <c r="G1324" s="94"/>
      <c r="H1324" s="94"/>
      <c r="I1324" s="94"/>
      <c r="J1324" s="268" t="s">
        <v>116</v>
      </c>
      <c r="K1324" s="94"/>
      <c r="L1324" s="94"/>
      <c r="M1324" s="94"/>
      <c r="N1324" s="94"/>
      <c r="O1324" s="93"/>
    </row>
    <row r="1325" spans="1:15" x14ac:dyDescent="0.25">
      <c r="A1325" s="267" t="s">
        <v>117</v>
      </c>
      <c r="B1325" s="133" t="s">
        <v>23</v>
      </c>
      <c r="C1325" s="94"/>
      <c r="D1325" s="94"/>
      <c r="E1325" s="94"/>
      <c r="F1325" s="94"/>
      <c r="G1325" s="94"/>
      <c r="H1325" s="94"/>
      <c r="I1325" s="94"/>
      <c r="J1325" s="94"/>
      <c r="K1325" s="94"/>
      <c r="L1325" s="94"/>
      <c r="M1325" s="94"/>
      <c r="N1325" s="94"/>
      <c r="O1325" s="93"/>
    </row>
    <row r="1326" spans="1:15" x14ac:dyDescent="0.25">
      <c r="A1326" s="267" t="s">
        <v>115</v>
      </c>
      <c r="B1326" s="133" t="s">
        <v>689</v>
      </c>
      <c r="C1326" s="94"/>
      <c r="D1326" s="94"/>
      <c r="E1326" s="94"/>
      <c r="F1326" s="94"/>
      <c r="G1326" s="94"/>
      <c r="H1326" s="94"/>
      <c r="I1326" s="94"/>
      <c r="J1326" s="94"/>
      <c r="K1326" s="94"/>
      <c r="L1326" s="94"/>
      <c r="M1326" s="94"/>
      <c r="N1326" s="94"/>
      <c r="O1326" s="93"/>
    </row>
    <row r="1327" spans="1:15" x14ac:dyDescent="0.25">
      <c r="A1327" s="266"/>
      <c r="B1327" s="265"/>
      <c r="C1327" s="265"/>
      <c r="D1327" s="265"/>
      <c r="E1327" s="265"/>
      <c r="F1327" s="94"/>
      <c r="G1327" s="94"/>
      <c r="H1327" s="94"/>
      <c r="I1327" s="94"/>
      <c r="J1327" s="94"/>
      <c r="K1327" s="94"/>
      <c r="L1327" s="94"/>
      <c r="M1327" s="94"/>
      <c r="N1327" s="94"/>
      <c r="O1327" s="93"/>
    </row>
    <row r="1328" spans="1:15" x14ac:dyDescent="0.25">
      <c r="A1328" s="264" t="s">
        <v>67</v>
      </c>
      <c r="B1328" s="263" t="s">
        <v>112</v>
      </c>
      <c r="C1328" s="263" t="s">
        <v>66</v>
      </c>
      <c r="D1328" s="263" t="s">
        <v>65</v>
      </c>
      <c r="E1328" s="263" t="s">
        <v>81</v>
      </c>
      <c r="F1328" s="274" t="s">
        <v>80</v>
      </c>
      <c r="G1328" s="274" t="s">
        <v>79</v>
      </c>
      <c r="H1328" s="274" t="s">
        <v>78</v>
      </c>
      <c r="I1328" s="274" t="s">
        <v>111</v>
      </c>
      <c r="J1328" s="274" t="s">
        <v>110</v>
      </c>
      <c r="K1328" s="274" t="s">
        <v>109</v>
      </c>
      <c r="L1328" s="274" t="s">
        <v>108</v>
      </c>
      <c r="M1328" s="274" t="s">
        <v>40</v>
      </c>
      <c r="N1328" s="274" t="s">
        <v>58</v>
      </c>
      <c r="O1328" s="93"/>
    </row>
    <row r="1329" spans="1:15" ht="30" x14ac:dyDescent="0.25">
      <c r="A1329" s="282">
        <v>10</v>
      </c>
      <c r="B1329" s="282" t="s">
        <v>683</v>
      </c>
      <c r="C1329" s="282" t="s">
        <v>682</v>
      </c>
      <c r="D1329" s="283">
        <v>4.2</v>
      </c>
      <c r="E1329" s="282">
        <v>30</v>
      </c>
      <c r="F1329" s="282" t="s">
        <v>68</v>
      </c>
      <c r="G1329" s="282">
        <v>2</v>
      </c>
      <c r="H1329" s="278" t="s">
        <v>688</v>
      </c>
      <c r="I1329" s="281" t="s">
        <v>687</v>
      </c>
      <c r="J1329" s="280">
        <f>0.03*0.002</f>
        <v>6.0000000000000002E-5</v>
      </c>
      <c r="K1329" s="279">
        <v>0.105</v>
      </c>
      <c r="L1329" s="278">
        <v>2710</v>
      </c>
      <c r="M1329" s="284">
        <v>1</v>
      </c>
      <c r="N1329" s="276">
        <f>IF(J1329="",D1329*M1329,D1329*J1329*K1329*L1329*M1329)</f>
        <v>7.1706599999999995E-2</v>
      </c>
      <c r="O1329" s="143"/>
    </row>
    <row r="1330" spans="1:15" x14ac:dyDescent="0.25">
      <c r="A1330" s="98"/>
      <c r="B1330" s="95"/>
      <c r="C1330" s="95"/>
      <c r="D1330" s="95"/>
      <c r="E1330" s="95"/>
      <c r="F1330" s="95"/>
      <c r="G1330" s="95"/>
      <c r="H1330" s="95"/>
      <c r="I1330" s="95"/>
      <c r="J1330" s="95"/>
      <c r="K1330" s="95"/>
      <c r="L1330" s="95"/>
      <c r="M1330" s="256" t="s">
        <v>58</v>
      </c>
      <c r="N1330" s="255">
        <f>SUM(N1329:N1329)</f>
        <v>7.1706599999999995E-2</v>
      </c>
      <c r="O1330" s="93"/>
    </row>
    <row r="1331" spans="1:15" x14ac:dyDescent="0.25">
      <c r="A1331" s="107"/>
      <c r="B1331" s="94"/>
      <c r="C1331" s="94"/>
      <c r="D1331" s="94"/>
      <c r="E1331" s="94"/>
      <c r="F1331" s="94"/>
      <c r="G1331" s="94"/>
      <c r="H1331" s="94"/>
      <c r="I1331" s="94"/>
      <c r="J1331" s="94"/>
      <c r="K1331" s="94"/>
      <c r="L1331" s="94"/>
      <c r="M1331" s="94"/>
      <c r="N1331" s="94"/>
      <c r="O1331" s="93"/>
    </row>
    <row r="1332" spans="1:15" x14ac:dyDescent="0.25">
      <c r="A1332" s="342" t="s">
        <v>67</v>
      </c>
      <c r="B1332" s="274" t="s">
        <v>106</v>
      </c>
      <c r="C1332" s="274" t="s">
        <v>66</v>
      </c>
      <c r="D1332" s="274" t="s">
        <v>65</v>
      </c>
      <c r="E1332" s="274" t="s">
        <v>64</v>
      </c>
      <c r="F1332" s="274" t="s">
        <v>40</v>
      </c>
      <c r="G1332" s="274" t="s">
        <v>105</v>
      </c>
      <c r="H1332" s="274" t="s">
        <v>104</v>
      </c>
      <c r="I1332" s="274" t="s">
        <v>58</v>
      </c>
      <c r="J1332" s="95"/>
      <c r="K1332" s="95"/>
      <c r="L1332" s="95"/>
      <c r="M1332" s="95"/>
      <c r="N1332" s="95"/>
      <c r="O1332" s="93"/>
    </row>
    <row r="1333" spans="1:15" ht="30" x14ac:dyDescent="0.25">
      <c r="A1333" s="282">
        <v>10</v>
      </c>
      <c r="B1333" s="309" t="s">
        <v>516</v>
      </c>
      <c r="C1333" s="285" t="s">
        <v>686</v>
      </c>
      <c r="D1333" s="283">
        <v>1.3</v>
      </c>
      <c r="E1333" s="282" t="s">
        <v>64</v>
      </c>
      <c r="F1333" s="282">
        <v>1</v>
      </c>
      <c r="G1333" s="282"/>
      <c r="H1333" s="282"/>
      <c r="I1333" s="293">
        <f>IF(H1333="",D1333*F1333,D1333*F1333*H1333)</f>
        <v>1.3</v>
      </c>
      <c r="J1333" s="142"/>
      <c r="K1333" s="142"/>
      <c r="L1333" s="142"/>
      <c r="M1333" s="142"/>
      <c r="N1333" s="142"/>
      <c r="O1333" s="120"/>
    </row>
    <row r="1334" spans="1:15" x14ac:dyDescent="0.25">
      <c r="A1334" s="282">
        <v>20</v>
      </c>
      <c r="B1334" s="285" t="s">
        <v>527</v>
      </c>
      <c r="C1334" s="285"/>
      <c r="D1334" s="283">
        <v>0.01</v>
      </c>
      <c r="E1334" s="282" t="s">
        <v>101</v>
      </c>
      <c r="F1334" s="282">
        <v>31</v>
      </c>
      <c r="G1334" s="282" t="s">
        <v>678</v>
      </c>
      <c r="H1334" s="282">
        <v>1</v>
      </c>
      <c r="I1334" s="293">
        <f>IF(H1334="",D1334*F1334,D1334*F1334*H1334)</f>
        <v>0.31</v>
      </c>
      <c r="J1334" s="94"/>
      <c r="K1334" s="94"/>
      <c r="L1334" s="94"/>
      <c r="M1334" s="94"/>
      <c r="N1334" s="94"/>
      <c r="O1334" s="93"/>
    </row>
    <row r="1335" spans="1:15" x14ac:dyDescent="0.25">
      <c r="A1335" s="282">
        <v>30</v>
      </c>
      <c r="B1335" s="309" t="s">
        <v>539</v>
      </c>
      <c r="C1335" s="376"/>
      <c r="D1335" s="283">
        <v>0.25</v>
      </c>
      <c r="E1335" s="282" t="s">
        <v>64</v>
      </c>
      <c r="F1335" s="282">
        <v>5</v>
      </c>
      <c r="G1335" s="282"/>
      <c r="H1335" s="282"/>
      <c r="I1335" s="276">
        <f>IF(H1335="",D1335*F1335,D1335*F1335*H1335)</f>
        <v>1.25</v>
      </c>
      <c r="J1335" s="99"/>
      <c r="K1335" s="99"/>
      <c r="L1335" s="99"/>
      <c r="M1335" s="99"/>
      <c r="N1335" s="99"/>
      <c r="O1335" s="130"/>
    </row>
    <row r="1336" spans="1:15" x14ac:dyDescent="0.25">
      <c r="A1336" s="98"/>
      <c r="B1336" s="95"/>
      <c r="C1336" s="95"/>
      <c r="D1336" s="95"/>
      <c r="E1336" s="95"/>
      <c r="F1336" s="95"/>
      <c r="G1336" s="95"/>
      <c r="H1336" s="256" t="s">
        <v>58</v>
      </c>
      <c r="I1336" s="255">
        <f>SUM(I1333:I1335)</f>
        <v>2.8600000000000003</v>
      </c>
      <c r="J1336" s="95"/>
      <c r="K1336" s="95"/>
      <c r="L1336" s="95"/>
      <c r="M1336" s="95"/>
      <c r="N1336" s="95"/>
      <c r="O1336" s="93"/>
    </row>
    <row r="1337" spans="1:15" x14ac:dyDescent="0.25">
      <c r="A1337" s="107"/>
      <c r="B1337" s="94"/>
      <c r="C1337" s="94"/>
      <c r="D1337" s="94"/>
      <c r="E1337" s="94"/>
      <c r="F1337" s="94"/>
      <c r="G1337" s="94"/>
      <c r="H1337" s="94"/>
      <c r="I1337" s="99"/>
      <c r="J1337" s="94"/>
      <c r="K1337" s="94"/>
      <c r="L1337" s="94"/>
      <c r="M1337" s="94"/>
      <c r="N1337" s="94"/>
      <c r="O1337" s="93"/>
    </row>
    <row r="1338" spans="1:15" ht="15.75" thickBot="1" x14ac:dyDescent="0.3">
      <c r="A1338" s="92"/>
      <c r="B1338" s="91"/>
      <c r="C1338" s="91"/>
      <c r="D1338" s="91"/>
      <c r="E1338" s="91"/>
      <c r="F1338" s="91"/>
      <c r="G1338" s="91"/>
      <c r="H1338" s="91"/>
      <c r="I1338" s="91"/>
      <c r="J1338" s="91"/>
      <c r="K1338" s="91"/>
      <c r="L1338" s="91"/>
      <c r="M1338" s="91"/>
      <c r="N1338" s="91"/>
      <c r="O1338" s="90"/>
    </row>
    <row r="1339" spans="1:15" ht="15.75" thickBot="1" x14ac:dyDescent="0.3"/>
    <row r="1340" spans="1:15" x14ac:dyDescent="0.25">
      <c r="A1340" s="141"/>
      <c r="B1340" s="140"/>
      <c r="C1340" s="140"/>
      <c r="D1340" s="140"/>
      <c r="E1340" s="140"/>
      <c r="F1340" s="140"/>
      <c r="G1340" s="140"/>
      <c r="H1340" s="140"/>
      <c r="I1340" s="140"/>
      <c r="J1340" s="272"/>
      <c r="K1340" s="140"/>
      <c r="L1340" s="140"/>
      <c r="M1340" s="140"/>
      <c r="N1340" s="140"/>
      <c r="O1340" s="139"/>
    </row>
    <row r="1341" spans="1:15" x14ac:dyDescent="0.25">
      <c r="A1341" s="267" t="s">
        <v>57</v>
      </c>
      <c r="B1341" s="133" t="s">
        <v>523</v>
      </c>
      <c r="C1341" s="94"/>
      <c r="D1341" s="94"/>
      <c r="E1341" s="94"/>
      <c r="F1341" s="94"/>
      <c r="G1341" s="94"/>
      <c r="H1341" s="94"/>
      <c r="I1341" s="94"/>
      <c r="J1341" s="271" t="s">
        <v>51</v>
      </c>
      <c r="K1341" s="138">
        <v>81</v>
      </c>
      <c r="L1341" s="94"/>
      <c r="M1341" s="267" t="s">
        <v>113</v>
      </c>
      <c r="N1341" s="100">
        <f>EN_09006_f+EN_09006_m+EN_09006_p</f>
        <v>5.7375137687400004</v>
      </c>
      <c r="O1341" s="93"/>
    </row>
    <row r="1342" spans="1:15" x14ac:dyDescent="0.25">
      <c r="A1342" s="267" t="s">
        <v>125</v>
      </c>
      <c r="B1342" s="133" t="s">
        <v>21</v>
      </c>
      <c r="C1342" s="94"/>
      <c r="D1342" s="267" t="s">
        <v>122</v>
      </c>
      <c r="E1342" s="94"/>
      <c r="F1342" s="94"/>
      <c r="G1342" s="94"/>
      <c r="H1342" s="94"/>
      <c r="I1342" s="94"/>
      <c r="J1342" s="94"/>
      <c r="K1342" s="94"/>
      <c r="L1342" s="94"/>
      <c r="M1342" s="267" t="s">
        <v>124</v>
      </c>
      <c r="N1342" s="136">
        <v>1</v>
      </c>
      <c r="O1342" s="93"/>
    </row>
    <row r="1343" spans="1:15" x14ac:dyDescent="0.25">
      <c r="A1343" s="267" t="s">
        <v>123</v>
      </c>
      <c r="B1343" s="270" t="str">
        <f>'EN Assemblies'!B439</f>
        <v>Shifter</v>
      </c>
      <c r="C1343" s="94"/>
      <c r="D1343" s="267" t="s">
        <v>119</v>
      </c>
      <c r="E1343" s="94"/>
      <c r="F1343" s="94"/>
      <c r="G1343" s="94"/>
      <c r="H1343" s="94"/>
      <c r="I1343" s="94"/>
      <c r="J1343" s="268" t="s">
        <v>122</v>
      </c>
      <c r="K1343" s="94"/>
      <c r="L1343" s="94"/>
      <c r="M1343" s="94"/>
      <c r="N1343" s="94"/>
      <c r="O1343" s="93"/>
    </row>
    <row r="1344" spans="1:15" x14ac:dyDescent="0.25">
      <c r="A1344" s="267" t="s">
        <v>114</v>
      </c>
      <c r="B1344" s="372" t="s">
        <v>685</v>
      </c>
      <c r="C1344" s="94"/>
      <c r="D1344" s="267" t="s">
        <v>116</v>
      </c>
      <c r="E1344" s="94"/>
      <c r="F1344" s="94"/>
      <c r="G1344" s="94"/>
      <c r="H1344" s="94"/>
      <c r="I1344" s="94"/>
      <c r="J1344" s="268" t="s">
        <v>119</v>
      </c>
      <c r="K1344" s="94"/>
      <c r="L1344" s="94"/>
      <c r="M1344" s="267" t="s">
        <v>118</v>
      </c>
      <c r="N1344" s="100">
        <f>N1342*N1341</f>
        <v>5.7375137687400004</v>
      </c>
      <c r="O1344" s="93"/>
    </row>
    <row r="1345" spans="1:15" x14ac:dyDescent="0.25">
      <c r="A1345" s="267" t="s">
        <v>121</v>
      </c>
      <c r="B1345" s="269" t="s">
        <v>684</v>
      </c>
      <c r="C1345" s="94"/>
      <c r="D1345" s="94"/>
      <c r="E1345" s="94"/>
      <c r="F1345" s="94"/>
      <c r="G1345" s="94"/>
      <c r="H1345" s="94"/>
      <c r="I1345" s="94"/>
      <c r="J1345" s="268" t="s">
        <v>116</v>
      </c>
      <c r="K1345" s="94"/>
      <c r="L1345" s="94"/>
      <c r="M1345" s="94"/>
      <c r="N1345" s="94"/>
      <c r="O1345" s="93"/>
    </row>
    <row r="1346" spans="1:15" x14ac:dyDescent="0.25">
      <c r="A1346" s="267" t="s">
        <v>117</v>
      </c>
      <c r="B1346" s="133" t="s">
        <v>23</v>
      </c>
      <c r="C1346" s="94"/>
      <c r="D1346" s="94"/>
      <c r="E1346" s="94"/>
      <c r="F1346" s="94"/>
      <c r="G1346" s="94"/>
      <c r="H1346" s="94"/>
      <c r="I1346" s="94"/>
      <c r="J1346" s="94"/>
      <c r="K1346" s="94"/>
      <c r="L1346" s="94"/>
      <c r="M1346" s="94"/>
      <c r="N1346" s="94"/>
      <c r="O1346" s="93"/>
    </row>
    <row r="1347" spans="1:15" x14ac:dyDescent="0.25">
      <c r="A1347" s="267" t="s">
        <v>115</v>
      </c>
      <c r="B1347" s="133"/>
      <c r="C1347" s="94"/>
      <c r="D1347" s="94"/>
      <c r="E1347" s="94"/>
      <c r="F1347" s="94"/>
      <c r="G1347" s="94"/>
      <c r="H1347" s="94"/>
      <c r="I1347" s="94"/>
      <c r="J1347" s="94"/>
      <c r="K1347" s="94"/>
      <c r="L1347" s="94"/>
      <c r="M1347" s="94"/>
      <c r="N1347" s="94"/>
      <c r="O1347" s="93"/>
    </row>
    <row r="1348" spans="1:15" x14ac:dyDescent="0.25">
      <c r="A1348" s="266"/>
      <c r="B1348" s="265"/>
      <c r="C1348" s="265"/>
      <c r="D1348" s="265"/>
      <c r="E1348" s="265"/>
      <c r="F1348" s="94"/>
      <c r="G1348" s="94"/>
      <c r="H1348" s="94"/>
      <c r="I1348" s="94"/>
      <c r="J1348" s="94"/>
      <c r="K1348" s="94"/>
      <c r="L1348" s="94"/>
      <c r="M1348" s="94"/>
      <c r="N1348" s="94"/>
      <c r="O1348" s="93"/>
    </row>
    <row r="1349" spans="1:15" x14ac:dyDescent="0.25">
      <c r="A1349" s="264" t="s">
        <v>67</v>
      </c>
      <c r="B1349" s="263" t="s">
        <v>112</v>
      </c>
      <c r="C1349" s="263" t="s">
        <v>66</v>
      </c>
      <c r="D1349" s="263" t="s">
        <v>65</v>
      </c>
      <c r="E1349" s="263" t="s">
        <v>81</v>
      </c>
      <c r="F1349" s="274" t="s">
        <v>80</v>
      </c>
      <c r="G1349" s="274" t="s">
        <v>79</v>
      </c>
      <c r="H1349" s="274" t="s">
        <v>78</v>
      </c>
      <c r="I1349" s="274" t="s">
        <v>111</v>
      </c>
      <c r="J1349" s="274" t="s">
        <v>110</v>
      </c>
      <c r="K1349" s="274" t="s">
        <v>109</v>
      </c>
      <c r="L1349" s="274" t="s">
        <v>108</v>
      </c>
      <c r="M1349" s="274" t="s">
        <v>40</v>
      </c>
      <c r="N1349" s="274" t="s">
        <v>58</v>
      </c>
      <c r="O1349" s="93"/>
    </row>
    <row r="1350" spans="1:15" x14ac:dyDescent="0.25">
      <c r="A1350" s="315">
        <v>10</v>
      </c>
      <c r="B1350" s="370" t="s">
        <v>683</v>
      </c>
      <c r="C1350" s="315" t="s">
        <v>682</v>
      </c>
      <c r="D1350" s="324">
        <v>4.2</v>
      </c>
      <c r="E1350" s="315">
        <v>27</v>
      </c>
      <c r="F1350" s="315" t="s">
        <v>68</v>
      </c>
      <c r="G1350" s="315"/>
      <c r="H1350" s="314"/>
      <c r="I1350" s="357" t="s">
        <v>681</v>
      </c>
      <c r="J1350" s="375">
        <v>5.7226499999999997E-4</v>
      </c>
      <c r="K1350" s="320">
        <v>3.7999999999999999E-2</v>
      </c>
      <c r="L1350" s="319">
        <v>2710</v>
      </c>
      <c r="M1350" s="369">
        <v>1</v>
      </c>
      <c r="N1350" s="276">
        <f>IF(J1350="",D1350*M1350,D1350*J1350*K1350*L1350*M1350)</f>
        <v>0.24751376873999997</v>
      </c>
      <c r="O1350" s="143"/>
    </row>
    <row r="1351" spans="1:15" x14ac:dyDescent="0.25">
      <c r="A1351" s="98"/>
      <c r="B1351" s="95"/>
      <c r="C1351" s="95"/>
      <c r="D1351" s="95"/>
      <c r="E1351" s="95"/>
      <c r="F1351" s="95"/>
      <c r="G1351" s="95"/>
      <c r="H1351" s="95"/>
      <c r="I1351" s="95"/>
      <c r="J1351" s="95"/>
      <c r="K1351" s="95"/>
      <c r="L1351" s="95"/>
      <c r="M1351" s="256" t="s">
        <v>58</v>
      </c>
      <c r="N1351" s="255">
        <f>SUM(N1350:N1350)</f>
        <v>0.24751376873999997</v>
      </c>
      <c r="O1351" s="93"/>
    </row>
    <row r="1352" spans="1:15" x14ac:dyDescent="0.25">
      <c r="A1352" s="107"/>
      <c r="B1352" s="94"/>
      <c r="C1352" s="94"/>
      <c r="D1352" s="94"/>
      <c r="E1352" s="94"/>
      <c r="F1352" s="94"/>
      <c r="G1352" s="94"/>
      <c r="H1352" s="94"/>
      <c r="I1352" s="94"/>
      <c r="J1352" s="94"/>
      <c r="K1352" s="94"/>
      <c r="L1352" s="94"/>
      <c r="M1352" s="94"/>
      <c r="N1352" s="94"/>
      <c r="O1352" s="93"/>
    </row>
    <row r="1353" spans="1:15" x14ac:dyDescent="0.25">
      <c r="A1353" s="342" t="s">
        <v>67</v>
      </c>
      <c r="B1353" s="274" t="s">
        <v>106</v>
      </c>
      <c r="C1353" s="274" t="s">
        <v>66</v>
      </c>
      <c r="D1353" s="274" t="s">
        <v>65</v>
      </c>
      <c r="E1353" s="274" t="s">
        <v>64</v>
      </c>
      <c r="F1353" s="274" t="s">
        <v>40</v>
      </c>
      <c r="G1353" s="274" t="s">
        <v>105</v>
      </c>
      <c r="H1353" s="274" t="s">
        <v>104</v>
      </c>
      <c r="I1353" s="274" t="s">
        <v>58</v>
      </c>
      <c r="J1353" s="95"/>
      <c r="K1353" s="95"/>
      <c r="L1353" s="95"/>
      <c r="M1353" s="95"/>
      <c r="N1353" s="95"/>
      <c r="O1353" s="93"/>
    </row>
    <row r="1354" spans="1:15" ht="30" x14ac:dyDescent="0.25">
      <c r="A1354" s="331">
        <v>10</v>
      </c>
      <c r="B1354" s="326" t="s">
        <v>516</v>
      </c>
      <c r="C1354" s="331" t="s">
        <v>528</v>
      </c>
      <c r="D1354" s="334">
        <v>1.3</v>
      </c>
      <c r="E1354" s="326" t="s">
        <v>64</v>
      </c>
      <c r="F1354" s="331">
        <v>1</v>
      </c>
      <c r="G1354" s="331"/>
      <c r="H1354" s="331"/>
      <c r="I1354" s="293">
        <f t="shared" ref="I1354:I1363" si="9">IF(H1354="",D1354*F1354,D1354*F1354*H1354)</f>
        <v>1.3</v>
      </c>
      <c r="J1354" s="142"/>
      <c r="K1354" s="142"/>
      <c r="L1354" s="142"/>
      <c r="M1354" s="142"/>
      <c r="N1354" s="142"/>
      <c r="O1354" s="120"/>
    </row>
    <row r="1355" spans="1:15" x14ac:dyDescent="0.25">
      <c r="A1355" s="328">
        <v>20</v>
      </c>
      <c r="B1355" s="326" t="s">
        <v>514</v>
      </c>
      <c r="C1355" s="328"/>
      <c r="D1355" s="329">
        <v>0.04</v>
      </c>
      <c r="E1355" s="328" t="s">
        <v>679</v>
      </c>
      <c r="F1355" s="333">
        <v>5</v>
      </c>
      <c r="G1355" s="282" t="s">
        <v>678</v>
      </c>
      <c r="H1355" s="282">
        <v>1</v>
      </c>
      <c r="I1355" s="293">
        <f t="shared" si="9"/>
        <v>0.2</v>
      </c>
      <c r="J1355" s="142"/>
      <c r="K1355" s="142"/>
      <c r="L1355" s="142"/>
      <c r="M1355" s="142"/>
      <c r="N1355" s="142"/>
      <c r="O1355" s="120"/>
    </row>
    <row r="1356" spans="1:15" x14ac:dyDescent="0.25">
      <c r="A1356" s="328">
        <v>30</v>
      </c>
      <c r="B1356" s="326" t="s">
        <v>680</v>
      </c>
      <c r="C1356" s="328"/>
      <c r="D1356" s="329">
        <v>0.65</v>
      </c>
      <c r="E1356" s="328" t="s">
        <v>64</v>
      </c>
      <c r="F1356" s="333">
        <v>1</v>
      </c>
      <c r="G1356" s="326"/>
      <c r="H1356" s="325"/>
      <c r="I1356" s="293">
        <f t="shared" si="9"/>
        <v>0.65</v>
      </c>
      <c r="J1356" s="142"/>
      <c r="K1356" s="142"/>
      <c r="L1356" s="142"/>
      <c r="M1356" s="142"/>
      <c r="N1356" s="142"/>
      <c r="O1356" s="120"/>
    </row>
    <row r="1357" spans="1:15" x14ac:dyDescent="0.25">
      <c r="A1357" s="328">
        <v>40</v>
      </c>
      <c r="B1357" s="326" t="s">
        <v>514</v>
      </c>
      <c r="C1357" s="328"/>
      <c r="D1357" s="329">
        <v>0.04</v>
      </c>
      <c r="E1357" s="328" t="s">
        <v>679</v>
      </c>
      <c r="F1357" s="333">
        <v>3</v>
      </c>
      <c r="G1357" s="282" t="s">
        <v>678</v>
      </c>
      <c r="H1357" s="282">
        <v>1</v>
      </c>
      <c r="I1357" s="293">
        <f t="shared" si="9"/>
        <v>0.12</v>
      </c>
      <c r="J1357" s="142"/>
      <c r="K1357" s="142"/>
      <c r="L1357" s="142"/>
      <c r="M1357" s="142"/>
      <c r="N1357" s="142"/>
      <c r="O1357" s="120"/>
    </row>
    <row r="1358" spans="1:15" x14ac:dyDescent="0.25">
      <c r="A1358" s="328">
        <v>50</v>
      </c>
      <c r="B1358" s="326" t="s">
        <v>680</v>
      </c>
      <c r="C1358" s="328"/>
      <c r="D1358" s="329">
        <v>0.65</v>
      </c>
      <c r="E1358" s="328" t="s">
        <v>64</v>
      </c>
      <c r="F1358" s="333">
        <v>1</v>
      </c>
      <c r="G1358" s="326"/>
      <c r="H1358" s="325"/>
      <c r="I1358" s="293">
        <f t="shared" si="9"/>
        <v>0.65</v>
      </c>
      <c r="J1358" s="142"/>
      <c r="K1358" s="142"/>
      <c r="L1358" s="142"/>
      <c r="M1358" s="142"/>
      <c r="N1358" s="142"/>
      <c r="O1358" s="120"/>
    </row>
    <row r="1359" spans="1:15" x14ac:dyDescent="0.25">
      <c r="A1359" s="328">
        <v>60</v>
      </c>
      <c r="B1359" s="326" t="s">
        <v>514</v>
      </c>
      <c r="C1359" s="328"/>
      <c r="D1359" s="329">
        <v>0.04</v>
      </c>
      <c r="E1359" s="328" t="s">
        <v>679</v>
      </c>
      <c r="F1359" s="333">
        <v>1</v>
      </c>
      <c r="G1359" s="282" t="s">
        <v>678</v>
      </c>
      <c r="H1359" s="282">
        <v>1</v>
      </c>
      <c r="I1359" s="293">
        <f t="shared" si="9"/>
        <v>0.04</v>
      </c>
      <c r="J1359" s="142"/>
      <c r="K1359" s="142"/>
      <c r="L1359" s="142"/>
      <c r="M1359" s="142"/>
      <c r="N1359" s="142"/>
      <c r="O1359" s="120"/>
    </row>
    <row r="1360" spans="1:15" x14ac:dyDescent="0.25">
      <c r="A1360" s="328">
        <v>70</v>
      </c>
      <c r="B1360" s="326" t="s">
        <v>680</v>
      </c>
      <c r="C1360" s="328"/>
      <c r="D1360" s="329">
        <v>0.65</v>
      </c>
      <c r="E1360" s="328" t="s">
        <v>64</v>
      </c>
      <c r="F1360" s="333">
        <v>1</v>
      </c>
      <c r="G1360" s="326"/>
      <c r="H1360" s="325"/>
      <c r="I1360" s="293">
        <f t="shared" si="9"/>
        <v>0.65</v>
      </c>
      <c r="J1360" s="142"/>
      <c r="K1360" s="142"/>
      <c r="L1360" s="142"/>
      <c r="M1360" s="142"/>
      <c r="N1360" s="142"/>
      <c r="O1360" s="120"/>
    </row>
    <row r="1361" spans="1:15" x14ac:dyDescent="0.25">
      <c r="A1361" s="328">
        <v>80</v>
      </c>
      <c r="B1361" s="326" t="s">
        <v>514</v>
      </c>
      <c r="C1361" s="328"/>
      <c r="D1361" s="329">
        <v>0.04</v>
      </c>
      <c r="E1361" s="328" t="s">
        <v>679</v>
      </c>
      <c r="F1361" s="333">
        <v>1</v>
      </c>
      <c r="G1361" s="282" t="s">
        <v>678</v>
      </c>
      <c r="H1361" s="282">
        <v>1</v>
      </c>
      <c r="I1361" s="293">
        <f t="shared" si="9"/>
        <v>0.04</v>
      </c>
      <c r="J1361" s="94"/>
      <c r="K1361" s="94"/>
      <c r="L1361" s="94"/>
      <c r="M1361" s="94"/>
      <c r="N1361" s="94"/>
      <c r="O1361" s="93"/>
    </row>
    <row r="1362" spans="1:15" x14ac:dyDescent="0.25">
      <c r="A1362" s="328">
        <v>90</v>
      </c>
      <c r="B1362" s="326" t="s">
        <v>296</v>
      </c>
      <c r="C1362" s="328"/>
      <c r="D1362" s="329">
        <v>0.35</v>
      </c>
      <c r="E1362" s="328" t="s">
        <v>64</v>
      </c>
      <c r="F1362" s="333">
        <v>4</v>
      </c>
      <c r="G1362" s="282" t="s">
        <v>678</v>
      </c>
      <c r="H1362" s="282">
        <v>1</v>
      </c>
      <c r="I1362" s="293">
        <f t="shared" si="9"/>
        <v>1.4</v>
      </c>
      <c r="J1362" s="99"/>
      <c r="K1362" s="99"/>
      <c r="L1362" s="99"/>
      <c r="M1362" s="99"/>
      <c r="N1362" s="99"/>
      <c r="O1362" s="130"/>
    </row>
    <row r="1363" spans="1:15" ht="30" x14ac:dyDescent="0.25">
      <c r="A1363" s="328">
        <v>100</v>
      </c>
      <c r="B1363" s="326" t="s">
        <v>631</v>
      </c>
      <c r="C1363" s="328"/>
      <c r="D1363" s="329">
        <v>0.1</v>
      </c>
      <c r="E1363" s="328" t="s">
        <v>679</v>
      </c>
      <c r="F1363" s="333">
        <v>4</v>
      </c>
      <c r="G1363" s="282" t="s">
        <v>678</v>
      </c>
      <c r="H1363" s="282">
        <v>1</v>
      </c>
      <c r="I1363" s="293">
        <f t="shared" si="9"/>
        <v>0.4</v>
      </c>
      <c r="J1363" s="94"/>
      <c r="K1363" s="94"/>
      <c r="L1363" s="94"/>
      <c r="M1363" s="94"/>
      <c r="N1363" s="94"/>
      <c r="O1363" s="93"/>
    </row>
    <row r="1364" spans="1:15" x14ac:dyDescent="0.25">
      <c r="A1364" s="98"/>
      <c r="B1364" s="95"/>
      <c r="C1364" s="95"/>
      <c r="D1364" s="95"/>
      <c r="E1364" s="95"/>
      <c r="F1364" s="95"/>
      <c r="G1364" s="95"/>
      <c r="H1364" s="256" t="s">
        <v>58</v>
      </c>
      <c r="I1364" s="255">
        <f>SUM(I1354:I1363)</f>
        <v>5.45</v>
      </c>
      <c r="J1364" s="95"/>
      <c r="K1364" s="95"/>
      <c r="L1364" s="95"/>
      <c r="M1364" s="95"/>
      <c r="N1364" s="95"/>
      <c r="O1364" s="93"/>
    </row>
    <row r="1365" spans="1:15" x14ac:dyDescent="0.25">
      <c r="A1365" s="107"/>
      <c r="B1365" s="94"/>
      <c r="C1365" s="94"/>
      <c r="D1365" s="94"/>
      <c r="E1365" s="94"/>
      <c r="F1365" s="94"/>
      <c r="G1365" s="94"/>
      <c r="H1365" s="94"/>
      <c r="I1365" s="99"/>
      <c r="J1365" s="94"/>
      <c r="K1365" s="94"/>
      <c r="L1365" s="94"/>
      <c r="M1365" s="94"/>
      <c r="N1365" s="94"/>
      <c r="O1365" s="93"/>
    </row>
    <row r="1366" spans="1:15" x14ac:dyDescent="0.25">
      <c r="A1366" s="342" t="s">
        <v>67</v>
      </c>
      <c r="B1366" s="274" t="s">
        <v>82</v>
      </c>
      <c r="C1366" s="274" t="s">
        <v>66</v>
      </c>
      <c r="D1366" s="274" t="s">
        <v>65</v>
      </c>
      <c r="E1366" s="274" t="s">
        <v>81</v>
      </c>
      <c r="F1366" s="274" t="s">
        <v>80</v>
      </c>
      <c r="G1366" s="274" t="s">
        <v>79</v>
      </c>
      <c r="H1366" s="274" t="s">
        <v>78</v>
      </c>
      <c r="I1366" s="274" t="s">
        <v>40</v>
      </c>
      <c r="J1366" s="274" t="s">
        <v>58</v>
      </c>
      <c r="K1366" s="94"/>
      <c r="L1366" s="94"/>
      <c r="M1366" s="94"/>
      <c r="N1366" s="94"/>
      <c r="O1366" s="93"/>
    </row>
    <row r="1367" spans="1:15" x14ac:dyDescent="0.25">
      <c r="A1367" s="282">
        <v>10</v>
      </c>
      <c r="B1367" s="282" t="s">
        <v>72</v>
      </c>
      <c r="C1367" s="282"/>
      <c r="D1367" s="337">
        <v>0.01</v>
      </c>
      <c r="E1367" s="282">
        <v>3</v>
      </c>
      <c r="F1367" s="374" t="s">
        <v>68</v>
      </c>
      <c r="G1367" s="282">
        <v>10</v>
      </c>
      <c r="H1367" s="285" t="s">
        <v>68</v>
      </c>
      <c r="I1367" s="373">
        <v>4</v>
      </c>
      <c r="J1367" s="276">
        <f>I1367*D1367</f>
        <v>0.04</v>
      </c>
      <c r="K1367" s="94"/>
      <c r="L1367" s="94"/>
      <c r="M1367" s="94"/>
      <c r="N1367" s="94"/>
      <c r="O1367" s="93"/>
    </row>
    <row r="1368" spans="1:15" x14ac:dyDescent="0.25">
      <c r="A1368" s="98"/>
      <c r="B1368" s="95"/>
      <c r="C1368" s="95"/>
      <c r="D1368" s="95"/>
      <c r="E1368" s="95"/>
      <c r="F1368" s="95"/>
      <c r="G1368" s="95"/>
      <c r="H1368" s="95"/>
      <c r="I1368" s="256" t="s">
        <v>58</v>
      </c>
      <c r="J1368" s="255">
        <f>SUM(J1367:J1367)</f>
        <v>0.04</v>
      </c>
      <c r="K1368" s="94"/>
      <c r="L1368" s="94"/>
      <c r="M1368" s="94"/>
      <c r="N1368" s="94"/>
      <c r="O1368" s="93"/>
    </row>
    <row r="1369" spans="1:15" x14ac:dyDescent="0.25">
      <c r="A1369" s="360"/>
      <c r="B1369" s="99"/>
      <c r="C1369" s="99"/>
      <c r="D1369" s="99"/>
      <c r="E1369" s="99"/>
      <c r="F1369" s="99"/>
      <c r="G1369" s="99"/>
      <c r="H1369" s="359"/>
      <c r="I1369" s="358"/>
      <c r="J1369" s="99"/>
      <c r="K1369" s="94"/>
      <c r="L1369" s="94"/>
      <c r="M1369" s="94"/>
      <c r="N1369" s="94"/>
      <c r="O1369" s="93"/>
    </row>
    <row r="1370" spans="1:15" ht="15.75" thickBot="1" x14ac:dyDescent="0.3">
      <c r="A1370" s="92"/>
      <c r="B1370" s="91"/>
      <c r="C1370" s="91"/>
      <c r="D1370" s="91"/>
      <c r="E1370" s="91"/>
      <c r="F1370" s="91"/>
      <c r="G1370" s="91"/>
      <c r="H1370" s="91"/>
      <c r="I1370" s="91"/>
      <c r="J1370" s="91"/>
      <c r="K1370" s="91"/>
      <c r="L1370" s="91"/>
      <c r="M1370" s="91"/>
      <c r="N1370" s="91"/>
      <c r="O1370" s="90"/>
    </row>
    <row r="1371" spans="1:15" ht="15.75" thickBot="1" x14ac:dyDescent="0.3"/>
    <row r="1372" spans="1:15" x14ac:dyDescent="0.25">
      <c r="A1372" s="141"/>
      <c r="B1372" s="140"/>
      <c r="C1372" s="140"/>
      <c r="D1372" s="140"/>
      <c r="E1372" s="140"/>
      <c r="F1372" s="140"/>
      <c r="G1372" s="140"/>
      <c r="H1372" s="140"/>
      <c r="I1372" s="140"/>
      <c r="J1372" s="272"/>
      <c r="K1372" s="140"/>
      <c r="L1372" s="140"/>
      <c r="M1372" s="140"/>
      <c r="N1372" s="140"/>
      <c r="O1372" s="139"/>
    </row>
    <row r="1373" spans="1:15" x14ac:dyDescent="0.25">
      <c r="A1373" s="267" t="s">
        <v>57</v>
      </c>
      <c r="B1373" s="133" t="s">
        <v>523</v>
      </c>
      <c r="C1373" s="94"/>
      <c r="D1373" s="94"/>
      <c r="E1373" s="94"/>
      <c r="F1373" s="94"/>
      <c r="G1373" s="94"/>
      <c r="H1373" s="94"/>
      <c r="I1373" s="94"/>
      <c r="J1373" s="271" t="s">
        <v>51</v>
      </c>
      <c r="K1373" s="138">
        <v>81</v>
      </c>
      <c r="L1373" s="94"/>
      <c r="M1373" s="267" t="s">
        <v>113</v>
      </c>
      <c r="N1373" s="100">
        <f>EN_10001_f+EN_10001_m+EN_10001_p</f>
        <v>125.31212934775738</v>
      </c>
      <c r="O1373" s="93"/>
    </row>
    <row r="1374" spans="1:15" x14ac:dyDescent="0.25">
      <c r="A1374" s="267" t="s">
        <v>125</v>
      </c>
      <c r="B1374" s="133" t="s">
        <v>21</v>
      </c>
      <c r="C1374" s="94"/>
      <c r="D1374" s="267" t="s">
        <v>122</v>
      </c>
      <c r="E1374" s="94"/>
      <c r="F1374" s="94"/>
      <c r="G1374" s="94"/>
      <c r="H1374" s="94"/>
      <c r="I1374" s="94"/>
      <c r="J1374" s="94"/>
      <c r="K1374" s="94"/>
      <c r="L1374" s="94"/>
      <c r="M1374" s="267" t="s">
        <v>124</v>
      </c>
      <c r="N1374" s="136">
        <v>1</v>
      </c>
      <c r="O1374" s="93"/>
    </row>
    <row r="1375" spans="1:15" x14ac:dyDescent="0.25">
      <c r="A1375" s="267" t="s">
        <v>123</v>
      </c>
      <c r="B1375" s="270" t="str">
        <f>'EN Assemblies'!B533</f>
        <v>Differential</v>
      </c>
      <c r="C1375" s="94"/>
      <c r="D1375" s="267" t="s">
        <v>119</v>
      </c>
      <c r="E1375" s="94"/>
      <c r="F1375" s="94"/>
      <c r="G1375" s="94"/>
      <c r="H1375" s="94"/>
      <c r="I1375" s="94"/>
      <c r="J1375" s="268" t="s">
        <v>122</v>
      </c>
      <c r="K1375" s="94"/>
      <c r="L1375" s="94"/>
      <c r="M1375" s="94"/>
      <c r="N1375" s="94"/>
      <c r="O1375" s="93"/>
    </row>
    <row r="1376" spans="1:15" x14ac:dyDescent="0.25">
      <c r="A1376" s="267" t="s">
        <v>114</v>
      </c>
      <c r="B1376" s="135" t="s">
        <v>677</v>
      </c>
      <c r="C1376" s="94"/>
      <c r="D1376" s="267" t="s">
        <v>116</v>
      </c>
      <c r="E1376" s="94"/>
      <c r="F1376" s="94"/>
      <c r="G1376" s="94"/>
      <c r="H1376" s="94"/>
      <c r="I1376" s="94"/>
      <c r="J1376" s="268" t="s">
        <v>119</v>
      </c>
      <c r="K1376" s="94"/>
      <c r="L1376" s="94"/>
      <c r="M1376" s="267" t="s">
        <v>118</v>
      </c>
      <c r="N1376" s="100">
        <f>N1374*N1373</f>
        <v>125.31212934775738</v>
      </c>
      <c r="O1376" s="93"/>
    </row>
    <row r="1377" spans="1:15" x14ac:dyDescent="0.25">
      <c r="A1377" s="267" t="s">
        <v>121</v>
      </c>
      <c r="B1377" s="269" t="s">
        <v>676</v>
      </c>
      <c r="C1377" s="94"/>
      <c r="D1377" s="94"/>
      <c r="E1377" s="94"/>
      <c r="F1377" s="94"/>
      <c r="G1377" s="94"/>
      <c r="H1377" s="94"/>
      <c r="I1377" s="94"/>
      <c r="J1377" s="268" t="s">
        <v>116</v>
      </c>
      <c r="K1377" s="94"/>
      <c r="L1377" s="94"/>
      <c r="M1377" s="94"/>
      <c r="N1377" s="94"/>
      <c r="O1377" s="93"/>
    </row>
    <row r="1378" spans="1:15" x14ac:dyDescent="0.25">
      <c r="A1378" s="267" t="s">
        <v>117</v>
      </c>
      <c r="B1378" s="133" t="s">
        <v>23</v>
      </c>
      <c r="C1378" s="94"/>
      <c r="D1378" s="94"/>
      <c r="E1378" s="94"/>
      <c r="F1378" s="94"/>
      <c r="G1378" s="94"/>
      <c r="H1378" s="94"/>
      <c r="I1378" s="94"/>
      <c r="J1378" s="94"/>
      <c r="K1378" s="94"/>
      <c r="L1378" s="94"/>
      <c r="M1378" s="94"/>
      <c r="N1378" s="94"/>
      <c r="O1378" s="93"/>
    </row>
    <row r="1379" spans="1:15" x14ac:dyDescent="0.25">
      <c r="A1379" s="267" t="s">
        <v>115</v>
      </c>
      <c r="B1379" s="372" t="s">
        <v>675</v>
      </c>
      <c r="C1379" s="94"/>
      <c r="D1379" s="94"/>
      <c r="E1379" s="94"/>
      <c r="F1379" s="94"/>
      <c r="G1379" s="94"/>
      <c r="H1379" s="94"/>
      <c r="I1379" s="94"/>
      <c r="J1379" s="94"/>
      <c r="K1379" s="94"/>
      <c r="L1379" s="94"/>
      <c r="M1379" s="94"/>
      <c r="N1379" s="94"/>
      <c r="O1379" s="93"/>
    </row>
    <row r="1380" spans="1:15" x14ac:dyDescent="0.25">
      <c r="A1380" s="266"/>
      <c r="B1380" s="265"/>
      <c r="C1380" s="265"/>
      <c r="D1380" s="265"/>
      <c r="E1380" s="265"/>
      <c r="F1380" s="94"/>
      <c r="G1380" s="94"/>
      <c r="H1380" s="94"/>
      <c r="I1380" s="94"/>
      <c r="J1380" s="94"/>
      <c r="K1380" s="94"/>
      <c r="L1380" s="94"/>
      <c r="M1380" s="94"/>
      <c r="N1380" s="94"/>
      <c r="O1380" s="93"/>
    </row>
    <row r="1381" spans="1:15" x14ac:dyDescent="0.25">
      <c r="A1381" s="264" t="s">
        <v>67</v>
      </c>
      <c r="B1381" s="263" t="s">
        <v>112</v>
      </c>
      <c r="C1381" s="263" t="s">
        <v>66</v>
      </c>
      <c r="D1381" s="263" t="s">
        <v>65</v>
      </c>
      <c r="E1381" s="263" t="s">
        <v>81</v>
      </c>
      <c r="F1381" s="274" t="s">
        <v>80</v>
      </c>
      <c r="G1381" s="274" t="s">
        <v>79</v>
      </c>
      <c r="H1381" s="274" t="s">
        <v>78</v>
      </c>
      <c r="I1381" s="274" t="s">
        <v>111</v>
      </c>
      <c r="J1381" s="274" t="s">
        <v>110</v>
      </c>
      <c r="K1381" s="274" t="s">
        <v>109</v>
      </c>
      <c r="L1381" s="274" t="s">
        <v>108</v>
      </c>
      <c r="M1381" s="274" t="s">
        <v>40</v>
      </c>
      <c r="N1381" s="274" t="s">
        <v>58</v>
      </c>
      <c r="O1381" s="93"/>
    </row>
    <row r="1382" spans="1:15" x14ac:dyDescent="0.25">
      <c r="A1382" s="315">
        <v>10</v>
      </c>
      <c r="B1382" s="370" t="s">
        <v>557</v>
      </c>
      <c r="C1382" s="297" t="s">
        <v>674</v>
      </c>
      <c r="D1382" s="324">
        <v>4.2</v>
      </c>
      <c r="E1382" s="315"/>
      <c r="F1382" s="315"/>
      <c r="G1382" s="315"/>
      <c r="H1382" s="314"/>
      <c r="I1382" s="357" t="s">
        <v>673</v>
      </c>
      <c r="J1382" s="371">
        <f>PI()*(0.051)^2</f>
        <v>8.1712824919870503E-3</v>
      </c>
      <c r="K1382" s="320">
        <v>8.8050000000000003E-2</v>
      </c>
      <c r="L1382" s="319">
        <v>2710</v>
      </c>
      <c r="M1382" s="369">
        <v>1</v>
      </c>
      <c r="N1382" s="276">
        <f>IF(J1382="",D1382*M1382,D1382*J1382*K1382*L1382*M1382)</f>
        <v>8.1891375613602921</v>
      </c>
      <c r="O1382" s="143"/>
    </row>
    <row r="1383" spans="1:15" x14ac:dyDescent="0.25">
      <c r="A1383" s="315">
        <v>20</v>
      </c>
      <c r="B1383" s="370" t="s">
        <v>557</v>
      </c>
      <c r="C1383" s="297" t="s">
        <v>672</v>
      </c>
      <c r="D1383" s="324">
        <v>4.2</v>
      </c>
      <c r="E1383" s="315"/>
      <c r="F1383" s="315"/>
      <c r="G1383" s="315"/>
      <c r="H1383" s="314"/>
      <c r="I1383" s="357" t="s">
        <v>670</v>
      </c>
      <c r="J1383" s="371">
        <f>PI()*(0.051)^2</f>
        <v>8.1712824919870503E-3</v>
      </c>
      <c r="K1383" s="320">
        <v>6.5199999999999994E-2</v>
      </c>
      <c r="L1383" s="319">
        <v>2710</v>
      </c>
      <c r="M1383" s="369">
        <v>1</v>
      </c>
      <c r="N1383" s="276">
        <f>IF(J1383="",D1383*M1383,D1383*J1383*K1383*L1383*M1383)</f>
        <v>6.0639610335115393</v>
      </c>
      <c r="O1383" s="143"/>
    </row>
    <row r="1384" spans="1:15" x14ac:dyDescent="0.25">
      <c r="A1384" s="315">
        <v>30</v>
      </c>
      <c r="B1384" s="370" t="s">
        <v>557</v>
      </c>
      <c r="C1384" s="297" t="s">
        <v>671</v>
      </c>
      <c r="D1384" s="324">
        <v>4.2</v>
      </c>
      <c r="E1384" s="315"/>
      <c r="F1384" s="315"/>
      <c r="G1384" s="315"/>
      <c r="H1384" s="314"/>
      <c r="I1384" s="357" t="s">
        <v>670</v>
      </c>
      <c r="J1384" s="371">
        <f>PI()*(0.051)^2</f>
        <v>8.1712824919870503E-3</v>
      </c>
      <c r="K1384" s="320">
        <v>7.775E-2</v>
      </c>
      <c r="L1384" s="319">
        <v>2710</v>
      </c>
      <c r="M1384" s="369">
        <v>1</v>
      </c>
      <c r="N1384" s="276">
        <f>IF(J1384="",D1384*M1384,D1384*J1384*K1384*L1384*M1384)</f>
        <v>7.2311805269251872</v>
      </c>
      <c r="O1384" s="143"/>
    </row>
    <row r="1385" spans="1:15" x14ac:dyDescent="0.25">
      <c r="A1385" s="315">
        <v>40</v>
      </c>
      <c r="B1385" s="370" t="s">
        <v>349</v>
      </c>
      <c r="C1385" s="315"/>
      <c r="D1385" s="324">
        <v>0.05</v>
      </c>
      <c r="E1385" s="315"/>
      <c r="F1385" s="315"/>
      <c r="G1385" s="315"/>
      <c r="H1385" s="314"/>
      <c r="I1385" s="357"/>
      <c r="J1385" s="356"/>
      <c r="K1385" s="320"/>
      <c r="L1385" s="319"/>
      <c r="M1385" s="369">
        <v>2</v>
      </c>
      <c r="N1385" s="276">
        <f>IF(J1385="",D1385*M1385,D1385*J1385*K1385*L1385*M1385)</f>
        <v>0.1</v>
      </c>
      <c r="O1385" s="143"/>
    </row>
    <row r="1386" spans="1:15" x14ac:dyDescent="0.25">
      <c r="A1386" s="98"/>
      <c r="B1386" s="95"/>
      <c r="C1386" s="95"/>
      <c r="D1386" s="95"/>
      <c r="E1386" s="95"/>
      <c r="F1386" s="95"/>
      <c r="G1386" s="95"/>
      <c r="H1386" s="95"/>
      <c r="I1386" s="95"/>
      <c r="J1386" s="95"/>
      <c r="K1386" s="95"/>
      <c r="L1386" s="95"/>
      <c r="M1386" s="256" t="s">
        <v>58</v>
      </c>
      <c r="N1386" s="255">
        <f>SUM(N1382:N1385)</f>
        <v>21.584279121797021</v>
      </c>
      <c r="O1386" s="93"/>
    </row>
    <row r="1387" spans="1:15" x14ac:dyDescent="0.25">
      <c r="A1387" s="107"/>
      <c r="B1387" s="94"/>
      <c r="C1387" s="94"/>
      <c r="D1387" s="94"/>
      <c r="E1387" s="94"/>
      <c r="F1387" s="94"/>
      <c r="G1387" s="94"/>
      <c r="H1387" s="94"/>
      <c r="I1387" s="94"/>
      <c r="J1387" s="94"/>
      <c r="K1387" s="94"/>
      <c r="L1387" s="94"/>
      <c r="M1387" s="94"/>
      <c r="N1387" s="94"/>
      <c r="O1387" s="93"/>
    </row>
    <row r="1388" spans="1:15" x14ac:dyDescent="0.25">
      <c r="A1388" s="342" t="s">
        <v>67</v>
      </c>
      <c r="B1388" s="274" t="s">
        <v>106</v>
      </c>
      <c r="C1388" s="274" t="s">
        <v>66</v>
      </c>
      <c r="D1388" s="274" t="s">
        <v>65</v>
      </c>
      <c r="E1388" s="274" t="s">
        <v>64</v>
      </c>
      <c r="F1388" s="274" t="s">
        <v>40</v>
      </c>
      <c r="G1388" s="274" t="s">
        <v>105</v>
      </c>
      <c r="H1388" s="274" t="s">
        <v>104</v>
      </c>
      <c r="I1388" s="274" t="s">
        <v>58</v>
      </c>
      <c r="J1388" s="95"/>
      <c r="K1388" s="95"/>
      <c r="L1388" s="95"/>
      <c r="M1388" s="95"/>
      <c r="N1388" s="95"/>
      <c r="O1388" s="93"/>
    </row>
    <row r="1389" spans="1:15" ht="30" x14ac:dyDescent="0.25">
      <c r="A1389" s="367">
        <v>10</v>
      </c>
      <c r="B1389" s="309" t="s">
        <v>516</v>
      </c>
      <c r="C1389" s="291" t="s">
        <v>669</v>
      </c>
      <c r="D1389" s="368">
        <v>1.3</v>
      </c>
      <c r="E1389" s="300" t="s">
        <v>64</v>
      </c>
      <c r="F1389" s="288">
        <v>1</v>
      </c>
      <c r="G1389" s="287"/>
      <c r="H1389" s="287"/>
      <c r="I1389" s="293">
        <f t="shared" ref="I1389:I1402" si="10">IF(H1389="",D1389*F1389,D1389*F1389*H1389)</f>
        <v>1.3</v>
      </c>
      <c r="J1389" s="142"/>
      <c r="K1389" s="142"/>
      <c r="L1389" s="142"/>
      <c r="M1389" s="142"/>
      <c r="N1389" s="142"/>
      <c r="O1389" s="120"/>
    </row>
    <row r="1390" spans="1:15" x14ac:dyDescent="0.25">
      <c r="A1390" s="282">
        <v>20</v>
      </c>
      <c r="B1390" s="291" t="s">
        <v>514</v>
      </c>
      <c r="C1390" s="291" t="s">
        <v>668</v>
      </c>
      <c r="D1390" s="337">
        <v>0.04</v>
      </c>
      <c r="E1390" s="282" t="s">
        <v>512</v>
      </c>
      <c r="F1390" s="301">
        <f>J1382*K1382*1000000-96.02</f>
        <v>623.46142341945983</v>
      </c>
      <c r="G1390" s="287" t="s">
        <v>629</v>
      </c>
      <c r="H1390" s="287">
        <v>1</v>
      </c>
      <c r="I1390" s="293">
        <f t="shared" si="10"/>
        <v>24.938456936778394</v>
      </c>
      <c r="J1390" s="142"/>
      <c r="K1390" s="142"/>
      <c r="L1390" s="142"/>
      <c r="M1390" s="142"/>
      <c r="N1390" s="142"/>
      <c r="O1390" s="120"/>
    </row>
    <row r="1391" spans="1:15" ht="30" x14ac:dyDescent="0.25">
      <c r="A1391" s="367">
        <v>30</v>
      </c>
      <c r="B1391" s="291" t="s">
        <v>666</v>
      </c>
      <c r="C1391" s="291" t="s">
        <v>667</v>
      </c>
      <c r="D1391" s="290">
        <v>0.35</v>
      </c>
      <c r="E1391" s="289" t="s">
        <v>294</v>
      </c>
      <c r="F1391" s="288">
        <v>24</v>
      </c>
      <c r="G1391" s="287"/>
      <c r="H1391" s="287"/>
      <c r="I1391" s="293">
        <f t="shared" si="10"/>
        <v>8.3999999999999986</v>
      </c>
      <c r="J1391" s="142"/>
      <c r="K1391" s="142"/>
      <c r="L1391" s="142"/>
      <c r="M1391" s="142"/>
      <c r="N1391" s="142"/>
      <c r="O1391" s="120"/>
    </row>
    <row r="1392" spans="1:15" ht="30" x14ac:dyDescent="0.25">
      <c r="A1392" s="282">
        <v>40</v>
      </c>
      <c r="B1392" s="291" t="s">
        <v>666</v>
      </c>
      <c r="C1392" s="291" t="s">
        <v>665</v>
      </c>
      <c r="D1392" s="290">
        <v>0.35</v>
      </c>
      <c r="E1392" s="289" t="s">
        <v>294</v>
      </c>
      <c r="F1392" s="288">
        <v>3</v>
      </c>
      <c r="G1392" s="287"/>
      <c r="H1392" s="287"/>
      <c r="I1392" s="293">
        <f t="shared" si="10"/>
        <v>1.0499999999999998</v>
      </c>
      <c r="J1392" s="142"/>
      <c r="K1392" s="142"/>
      <c r="L1392" s="142"/>
      <c r="M1392" s="142"/>
      <c r="N1392" s="142"/>
      <c r="O1392" s="120"/>
    </row>
    <row r="1393" spans="1:15" ht="30" x14ac:dyDescent="0.25">
      <c r="A1393" s="367">
        <v>50</v>
      </c>
      <c r="B1393" s="291" t="s">
        <v>516</v>
      </c>
      <c r="C1393" s="291" t="s">
        <v>664</v>
      </c>
      <c r="D1393" s="290">
        <v>1.3</v>
      </c>
      <c r="E1393" s="289" t="s">
        <v>64</v>
      </c>
      <c r="F1393" s="288">
        <v>1</v>
      </c>
      <c r="G1393" s="287"/>
      <c r="H1393" s="287"/>
      <c r="I1393" s="293">
        <f t="shared" si="10"/>
        <v>1.3</v>
      </c>
      <c r="J1393" s="142"/>
      <c r="K1393" s="142"/>
      <c r="L1393" s="142"/>
      <c r="M1393" s="142"/>
      <c r="N1393" s="142"/>
      <c r="O1393" s="120"/>
    </row>
    <row r="1394" spans="1:15" ht="30" x14ac:dyDescent="0.25">
      <c r="A1394" s="367">
        <v>60</v>
      </c>
      <c r="B1394" s="291" t="s">
        <v>514</v>
      </c>
      <c r="C1394" s="291" t="s">
        <v>663</v>
      </c>
      <c r="D1394" s="290">
        <v>0.04</v>
      </c>
      <c r="E1394" s="289" t="s">
        <v>512</v>
      </c>
      <c r="F1394" s="301">
        <f>J1383*K1383*1000000-106.3</f>
        <v>426.46761847755562</v>
      </c>
      <c r="G1394" s="287" t="s">
        <v>629</v>
      </c>
      <c r="H1394" s="287">
        <v>1</v>
      </c>
      <c r="I1394" s="293">
        <f t="shared" si="10"/>
        <v>17.058704739102225</v>
      </c>
      <c r="J1394" s="142"/>
      <c r="K1394" s="142"/>
      <c r="L1394" s="142"/>
      <c r="M1394" s="142"/>
      <c r="N1394" s="142"/>
      <c r="O1394" s="120"/>
    </row>
    <row r="1395" spans="1:15" x14ac:dyDescent="0.25">
      <c r="A1395" s="282">
        <v>70</v>
      </c>
      <c r="B1395" s="291" t="s">
        <v>658</v>
      </c>
      <c r="C1395" s="291" t="s">
        <v>662</v>
      </c>
      <c r="D1395" s="290">
        <v>0.35</v>
      </c>
      <c r="E1395" s="289" t="s">
        <v>294</v>
      </c>
      <c r="F1395" s="288">
        <v>12</v>
      </c>
      <c r="G1395" s="287"/>
      <c r="H1395" s="287"/>
      <c r="I1395" s="293">
        <f t="shared" si="10"/>
        <v>4.1999999999999993</v>
      </c>
      <c r="J1395" s="142"/>
      <c r="K1395" s="142"/>
      <c r="L1395" s="142"/>
      <c r="M1395" s="142"/>
      <c r="N1395" s="142"/>
      <c r="O1395" s="120"/>
    </row>
    <row r="1396" spans="1:15" x14ac:dyDescent="0.25">
      <c r="A1396" s="367">
        <v>80</v>
      </c>
      <c r="B1396" s="291" t="s">
        <v>577</v>
      </c>
      <c r="C1396" s="291" t="s">
        <v>661</v>
      </c>
      <c r="D1396" s="290">
        <v>0.5</v>
      </c>
      <c r="E1396" s="289" t="s">
        <v>101</v>
      </c>
      <c r="F1396" s="288">
        <v>3.5</v>
      </c>
      <c r="G1396" s="287"/>
      <c r="H1396" s="287"/>
      <c r="I1396" s="293">
        <f t="shared" si="10"/>
        <v>1.75</v>
      </c>
      <c r="J1396" s="142"/>
      <c r="K1396" s="142"/>
      <c r="L1396" s="142"/>
      <c r="M1396" s="142"/>
      <c r="N1396" s="142"/>
      <c r="O1396" s="120"/>
    </row>
    <row r="1397" spans="1:15" ht="30" x14ac:dyDescent="0.25">
      <c r="A1397" s="282">
        <v>90</v>
      </c>
      <c r="B1397" s="291" t="s">
        <v>516</v>
      </c>
      <c r="C1397" s="291" t="s">
        <v>660</v>
      </c>
      <c r="D1397" s="290">
        <v>0.35</v>
      </c>
      <c r="E1397" s="289" t="s">
        <v>64</v>
      </c>
      <c r="F1397" s="288">
        <v>1</v>
      </c>
      <c r="G1397" s="287"/>
      <c r="H1397" s="287"/>
      <c r="I1397" s="293">
        <f t="shared" si="10"/>
        <v>0.35</v>
      </c>
      <c r="J1397" s="142"/>
      <c r="K1397" s="142"/>
      <c r="L1397" s="142"/>
      <c r="M1397" s="142"/>
      <c r="N1397" s="142"/>
      <c r="O1397" s="120"/>
    </row>
    <row r="1398" spans="1:15" x14ac:dyDescent="0.25">
      <c r="A1398" s="367">
        <v>100</v>
      </c>
      <c r="B1398" s="291" t="s">
        <v>514</v>
      </c>
      <c r="C1398" s="291" t="s">
        <v>659</v>
      </c>
      <c r="D1398" s="290">
        <v>0.04</v>
      </c>
      <c r="E1398" s="289" t="s">
        <v>512</v>
      </c>
      <c r="F1398" s="301">
        <f>J1384*K1384*1000000-97</f>
        <v>538.31721375199311</v>
      </c>
      <c r="G1398" s="287" t="s">
        <v>629</v>
      </c>
      <c r="H1398" s="287">
        <v>1</v>
      </c>
      <c r="I1398" s="293">
        <f t="shared" si="10"/>
        <v>21.532688550079726</v>
      </c>
      <c r="J1398" s="142"/>
      <c r="K1398" s="142"/>
      <c r="L1398" s="142"/>
      <c r="M1398" s="142"/>
      <c r="N1398" s="142"/>
      <c r="O1398" s="120"/>
    </row>
    <row r="1399" spans="1:15" x14ac:dyDescent="0.25">
      <c r="A1399" s="367">
        <v>110</v>
      </c>
      <c r="B1399" s="291" t="s">
        <v>658</v>
      </c>
      <c r="C1399" s="291" t="s">
        <v>657</v>
      </c>
      <c r="D1399" s="290">
        <v>0.35</v>
      </c>
      <c r="E1399" s="289" t="s">
        <v>294</v>
      </c>
      <c r="F1399" s="288">
        <v>12</v>
      </c>
      <c r="G1399" s="287"/>
      <c r="H1399" s="287"/>
      <c r="I1399" s="293">
        <f t="shared" si="10"/>
        <v>4.1999999999999993</v>
      </c>
      <c r="J1399" s="142"/>
      <c r="K1399" s="142"/>
      <c r="L1399" s="142"/>
      <c r="M1399" s="142"/>
      <c r="N1399" s="142"/>
      <c r="O1399" s="120"/>
    </row>
    <row r="1400" spans="1:15" ht="30" x14ac:dyDescent="0.25">
      <c r="A1400" s="282">
        <v>120</v>
      </c>
      <c r="B1400" s="291" t="s">
        <v>145</v>
      </c>
      <c r="C1400" s="291" t="s">
        <v>656</v>
      </c>
      <c r="D1400" s="290">
        <v>0.13</v>
      </c>
      <c r="E1400" s="289" t="s">
        <v>64</v>
      </c>
      <c r="F1400" s="288">
        <v>2</v>
      </c>
      <c r="G1400" s="287"/>
      <c r="H1400" s="287"/>
      <c r="I1400" s="293">
        <f t="shared" si="10"/>
        <v>0.26</v>
      </c>
      <c r="J1400" s="142"/>
      <c r="K1400" s="142"/>
      <c r="L1400" s="142"/>
      <c r="M1400" s="142"/>
      <c r="N1400" s="142"/>
      <c r="O1400" s="120"/>
    </row>
    <row r="1401" spans="1:15" x14ac:dyDescent="0.25">
      <c r="A1401" s="367">
        <v>130</v>
      </c>
      <c r="B1401" s="291" t="s">
        <v>163</v>
      </c>
      <c r="C1401" s="291" t="s">
        <v>655</v>
      </c>
      <c r="D1401" s="290">
        <v>0.5</v>
      </c>
      <c r="E1401" s="289" t="s">
        <v>64</v>
      </c>
      <c r="F1401" s="288">
        <v>24</v>
      </c>
      <c r="G1401" s="287"/>
      <c r="H1401" s="287"/>
      <c r="I1401" s="293">
        <f t="shared" si="10"/>
        <v>12</v>
      </c>
      <c r="J1401" s="142"/>
      <c r="K1401" s="142"/>
      <c r="L1401" s="142"/>
      <c r="M1401" s="142"/>
      <c r="N1401" s="142"/>
      <c r="O1401" s="120"/>
    </row>
    <row r="1402" spans="1:15" x14ac:dyDescent="0.25">
      <c r="A1402" s="282">
        <v>140</v>
      </c>
      <c r="B1402" s="291" t="s">
        <v>85</v>
      </c>
      <c r="C1402" s="291" t="s">
        <v>654</v>
      </c>
      <c r="D1402" s="290">
        <v>0.75</v>
      </c>
      <c r="E1402" s="289" t="s">
        <v>64</v>
      </c>
      <c r="F1402" s="288">
        <v>3</v>
      </c>
      <c r="G1402" s="287"/>
      <c r="H1402" s="287"/>
      <c r="I1402" s="293">
        <f t="shared" si="10"/>
        <v>2.25</v>
      </c>
      <c r="J1402" s="142"/>
      <c r="K1402" s="142"/>
      <c r="L1402" s="142"/>
      <c r="M1402" s="142"/>
      <c r="N1402" s="142"/>
      <c r="O1402" s="120"/>
    </row>
    <row r="1403" spans="1:15" x14ac:dyDescent="0.25">
      <c r="A1403" s="98"/>
      <c r="B1403" s="95"/>
      <c r="C1403" s="95"/>
      <c r="D1403" s="95"/>
      <c r="E1403" s="95"/>
      <c r="F1403" s="95"/>
      <c r="G1403" s="95"/>
      <c r="H1403" s="256" t="s">
        <v>58</v>
      </c>
      <c r="I1403" s="255">
        <f>SUM(I1389:I1402)</f>
        <v>100.58985022596036</v>
      </c>
      <c r="J1403" s="95"/>
      <c r="K1403" s="95"/>
      <c r="L1403" s="95"/>
      <c r="M1403" s="95"/>
      <c r="N1403" s="95"/>
      <c r="O1403" s="93"/>
    </row>
    <row r="1404" spans="1:15" x14ac:dyDescent="0.25">
      <c r="A1404" s="107"/>
      <c r="B1404" s="94"/>
      <c r="C1404" s="94"/>
      <c r="D1404" s="94"/>
      <c r="E1404" s="94"/>
      <c r="F1404" s="94"/>
      <c r="G1404" s="94"/>
      <c r="H1404" s="94"/>
      <c r="I1404" s="99"/>
      <c r="J1404" s="94"/>
      <c r="K1404" s="94"/>
      <c r="L1404" s="94"/>
      <c r="M1404" s="94"/>
      <c r="N1404" s="94"/>
      <c r="O1404" s="93"/>
    </row>
    <row r="1405" spans="1:15" x14ac:dyDescent="0.25">
      <c r="A1405" s="342" t="s">
        <v>67</v>
      </c>
      <c r="B1405" s="274" t="s">
        <v>82</v>
      </c>
      <c r="C1405" s="274" t="s">
        <v>66</v>
      </c>
      <c r="D1405" s="274" t="s">
        <v>65</v>
      </c>
      <c r="E1405" s="274" t="s">
        <v>81</v>
      </c>
      <c r="F1405" s="274" t="s">
        <v>80</v>
      </c>
      <c r="G1405" s="274" t="s">
        <v>79</v>
      </c>
      <c r="H1405" s="274" t="s">
        <v>78</v>
      </c>
      <c r="I1405" s="274" t="s">
        <v>40</v>
      </c>
      <c r="J1405" s="274" t="s">
        <v>58</v>
      </c>
      <c r="K1405" s="94"/>
      <c r="L1405" s="94"/>
      <c r="M1405" s="94"/>
      <c r="N1405" s="94"/>
      <c r="O1405" s="93"/>
    </row>
    <row r="1406" spans="1:15" x14ac:dyDescent="0.25">
      <c r="A1406" s="366">
        <v>10</v>
      </c>
      <c r="B1406" s="298" t="s">
        <v>653</v>
      </c>
      <c r="C1406" s="365" t="s">
        <v>652</v>
      </c>
      <c r="D1406" s="364">
        <v>0.06</v>
      </c>
      <c r="E1406" s="288">
        <v>6</v>
      </c>
      <c r="F1406" s="363" t="s">
        <v>68</v>
      </c>
      <c r="G1406" s="288">
        <v>14</v>
      </c>
      <c r="H1406" s="362" t="s">
        <v>68</v>
      </c>
      <c r="I1406" s="361">
        <v>24</v>
      </c>
      <c r="J1406" s="276">
        <f>I1406*D1406</f>
        <v>1.44</v>
      </c>
      <c r="K1406" s="94"/>
      <c r="L1406" s="94"/>
      <c r="M1406" s="94"/>
      <c r="N1406" s="94"/>
      <c r="O1406" s="93"/>
    </row>
    <row r="1407" spans="1:15" x14ac:dyDescent="0.25">
      <c r="A1407" s="366">
        <v>20</v>
      </c>
      <c r="B1407" s="298" t="s">
        <v>651</v>
      </c>
      <c r="C1407" s="365"/>
      <c r="D1407" s="364">
        <v>0.02</v>
      </c>
      <c r="E1407" s="288"/>
      <c r="F1407" s="363" t="s">
        <v>64</v>
      </c>
      <c r="G1407" s="288"/>
      <c r="H1407" s="362"/>
      <c r="I1407" s="361">
        <v>24</v>
      </c>
      <c r="J1407" s="276">
        <f>I1407*D1407</f>
        <v>0.48</v>
      </c>
      <c r="K1407" s="94"/>
      <c r="L1407" s="94"/>
      <c r="M1407" s="94"/>
      <c r="N1407" s="94"/>
      <c r="O1407" s="93"/>
    </row>
    <row r="1408" spans="1:15" x14ac:dyDescent="0.25">
      <c r="A1408" s="366">
        <v>30</v>
      </c>
      <c r="B1408" s="298" t="s">
        <v>650</v>
      </c>
      <c r="C1408" s="365" t="s">
        <v>649</v>
      </c>
      <c r="D1408" s="364">
        <v>7.0000000000000007E-2</v>
      </c>
      <c r="E1408" s="288">
        <v>8</v>
      </c>
      <c r="F1408" s="363" t="s">
        <v>68</v>
      </c>
      <c r="G1408" s="288">
        <v>8</v>
      </c>
      <c r="H1408" s="362" t="s">
        <v>68</v>
      </c>
      <c r="I1408" s="361">
        <v>3</v>
      </c>
      <c r="J1408" s="276">
        <f>I1408*D1408</f>
        <v>0.21000000000000002</v>
      </c>
      <c r="K1408" s="94"/>
      <c r="L1408" s="94"/>
      <c r="M1408" s="94"/>
      <c r="N1408" s="94"/>
      <c r="O1408" s="93"/>
    </row>
    <row r="1409" spans="1:15" ht="30" x14ac:dyDescent="0.25">
      <c r="A1409" s="366">
        <v>40</v>
      </c>
      <c r="B1409" s="298" t="s">
        <v>648</v>
      </c>
      <c r="C1409" s="365" t="s">
        <v>647</v>
      </c>
      <c r="D1409" s="364">
        <v>0.33600000000000002</v>
      </c>
      <c r="E1409" s="288">
        <v>8</v>
      </c>
      <c r="F1409" s="363" t="s">
        <v>68</v>
      </c>
      <c r="G1409" s="288"/>
      <c r="H1409" s="362"/>
      <c r="I1409" s="361">
        <v>3</v>
      </c>
      <c r="J1409" s="276">
        <f>I1409*D1409</f>
        <v>1.008</v>
      </c>
      <c r="K1409" s="94"/>
      <c r="L1409" s="94"/>
      <c r="M1409" s="94"/>
      <c r="N1409" s="94"/>
      <c r="O1409" s="93"/>
    </row>
    <row r="1410" spans="1:15" x14ac:dyDescent="0.25">
      <c r="A1410" s="98"/>
      <c r="B1410" s="95"/>
      <c r="C1410" s="95"/>
      <c r="D1410" s="95"/>
      <c r="E1410" s="95"/>
      <c r="F1410" s="95"/>
      <c r="G1410" s="95"/>
      <c r="H1410" s="95"/>
      <c r="I1410" s="256" t="s">
        <v>58</v>
      </c>
      <c r="J1410" s="255">
        <f>SUM(J1406:J1409)</f>
        <v>3.1379999999999999</v>
      </c>
      <c r="K1410" s="94"/>
      <c r="L1410" s="94"/>
      <c r="M1410" s="94"/>
      <c r="N1410" s="94"/>
      <c r="O1410" s="93"/>
    </row>
    <row r="1411" spans="1:15" x14ac:dyDescent="0.25">
      <c r="A1411" s="360"/>
      <c r="B1411" s="99"/>
      <c r="C1411" s="99"/>
      <c r="D1411" s="99"/>
      <c r="E1411" s="99"/>
      <c r="F1411" s="99"/>
      <c r="G1411" s="99"/>
      <c r="H1411" s="359"/>
      <c r="I1411" s="358"/>
      <c r="J1411" s="99"/>
      <c r="K1411" s="94"/>
      <c r="L1411" s="94"/>
      <c r="M1411" s="94"/>
      <c r="N1411" s="94"/>
      <c r="O1411" s="93"/>
    </row>
    <row r="1412" spans="1:15" ht="15.75" thickBot="1" x14ac:dyDescent="0.3">
      <c r="A1412" s="92"/>
      <c r="B1412" s="91"/>
      <c r="C1412" s="91"/>
      <c r="D1412" s="91"/>
      <c r="E1412" s="91"/>
      <c r="F1412" s="91"/>
      <c r="G1412" s="91"/>
      <c r="H1412" s="91"/>
      <c r="I1412" s="91"/>
      <c r="J1412" s="91"/>
      <c r="K1412" s="91"/>
      <c r="L1412" s="91"/>
      <c r="M1412" s="91"/>
      <c r="N1412" s="91"/>
      <c r="O1412" s="90"/>
    </row>
    <row r="1413" spans="1:15" ht="15.75" thickBot="1" x14ac:dyDescent="0.3"/>
    <row r="1414" spans="1:15" x14ac:dyDescent="0.25">
      <c r="A1414" s="141"/>
      <c r="B1414" s="140"/>
      <c r="C1414" s="140"/>
      <c r="D1414" s="140"/>
      <c r="E1414" s="140"/>
      <c r="F1414" s="140"/>
      <c r="G1414" s="140"/>
      <c r="H1414" s="140"/>
      <c r="I1414" s="140"/>
      <c r="J1414" s="272"/>
      <c r="K1414" s="140"/>
      <c r="L1414" s="140"/>
      <c r="M1414" s="140"/>
      <c r="N1414" s="140"/>
      <c r="O1414" s="139"/>
    </row>
    <row r="1415" spans="1:15" x14ac:dyDescent="0.25">
      <c r="A1415" s="267" t="s">
        <v>57</v>
      </c>
      <c r="B1415" s="133" t="s">
        <v>523</v>
      </c>
      <c r="C1415" s="94"/>
      <c r="D1415" s="94"/>
      <c r="E1415" s="94"/>
      <c r="F1415" s="94"/>
      <c r="G1415" s="94"/>
      <c r="H1415" s="94"/>
      <c r="I1415" s="94"/>
      <c r="J1415" s="271" t="s">
        <v>51</v>
      </c>
      <c r="K1415" s="138">
        <v>81</v>
      </c>
      <c r="L1415" s="94"/>
      <c r="M1415" s="267" t="s">
        <v>113</v>
      </c>
      <c r="N1415" s="100">
        <f>EN_10002_m</f>
        <v>110</v>
      </c>
      <c r="O1415" s="93"/>
    </row>
    <row r="1416" spans="1:15" x14ac:dyDescent="0.25">
      <c r="A1416" s="267" t="s">
        <v>125</v>
      </c>
      <c r="B1416" s="133" t="s">
        <v>21</v>
      </c>
      <c r="C1416" s="94"/>
      <c r="D1416" s="267" t="s">
        <v>122</v>
      </c>
      <c r="E1416" s="94"/>
      <c r="F1416" s="94"/>
      <c r="G1416" s="94"/>
      <c r="H1416" s="94"/>
      <c r="I1416" s="94"/>
      <c r="J1416" s="94"/>
      <c r="K1416" s="94"/>
      <c r="L1416" s="94"/>
      <c r="M1416" s="267" t="s">
        <v>124</v>
      </c>
      <c r="N1416" s="136">
        <v>1</v>
      </c>
      <c r="O1416" s="93"/>
    </row>
    <row r="1417" spans="1:15" x14ac:dyDescent="0.25">
      <c r="A1417" s="267" t="s">
        <v>123</v>
      </c>
      <c r="B1417" s="270" t="str">
        <f>'EN Assemblies'!B533</f>
        <v>Differential</v>
      </c>
      <c r="C1417" s="94"/>
      <c r="D1417" s="267" t="s">
        <v>119</v>
      </c>
      <c r="E1417" s="94"/>
      <c r="F1417" s="94"/>
      <c r="G1417" s="94"/>
      <c r="H1417" s="94"/>
      <c r="I1417" s="94"/>
      <c r="J1417" s="268" t="s">
        <v>122</v>
      </c>
      <c r="K1417" s="94"/>
      <c r="L1417" s="94"/>
      <c r="M1417" s="94"/>
      <c r="N1417" s="94"/>
      <c r="O1417" s="93"/>
    </row>
    <row r="1418" spans="1:15" x14ac:dyDescent="0.25">
      <c r="A1418" s="267" t="s">
        <v>114</v>
      </c>
      <c r="B1418" s="135" t="s">
        <v>646</v>
      </c>
      <c r="C1418" s="94"/>
      <c r="D1418" s="267" t="s">
        <v>116</v>
      </c>
      <c r="E1418" s="94"/>
      <c r="F1418" s="94"/>
      <c r="G1418" s="94"/>
      <c r="H1418" s="94"/>
      <c r="I1418" s="94"/>
      <c r="J1418" s="268" t="s">
        <v>119</v>
      </c>
      <c r="K1418" s="94"/>
      <c r="L1418" s="94"/>
      <c r="M1418" s="267" t="s">
        <v>118</v>
      </c>
      <c r="N1418" s="100">
        <f>N1416*N1415</f>
        <v>110</v>
      </c>
      <c r="O1418" s="93"/>
    </row>
    <row r="1419" spans="1:15" x14ac:dyDescent="0.25">
      <c r="A1419" s="267" t="s">
        <v>121</v>
      </c>
      <c r="B1419" s="269" t="s">
        <v>645</v>
      </c>
      <c r="C1419" s="94"/>
      <c r="D1419" s="94"/>
      <c r="E1419" s="94"/>
      <c r="F1419" s="94"/>
      <c r="G1419" s="94"/>
      <c r="H1419" s="94"/>
      <c r="I1419" s="94"/>
      <c r="J1419" s="268" t="s">
        <v>116</v>
      </c>
      <c r="K1419" s="94"/>
      <c r="L1419" s="94"/>
      <c r="M1419" s="94"/>
      <c r="N1419" s="94"/>
      <c r="O1419" s="93"/>
    </row>
    <row r="1420" spans="1:15" x14ac:dyDescent="0.25">
      <c r="A1420" s="267" t="s">
        <v>117</v>
      </c>
      <c r="B1420" s="133" t="s">
        <v>23</v>
      </c>
      <c r="C1420" s="94"/>
      <c r="D1420" s="94"/>
      <c r="E1420" s="94"/>
      <c r="F1420" s="94"/>
      <c r="G1420" s="94"/>
      <c r="H1420" s="94"/>
      <c r="I1420" s="94"/>
      <c r="J1420" s="94"/>
      <c r="K1420" s="94"/>
      <c r="L1420" s="94"/>
      <c r="M1420" s="94"/>
      <c r="N1420" s="94"/>
      <c r="O1420" s="93"/>
    </row>
    <row r="1421" spans="1:15" x14ac:dyDescent="0.25">
      <c r="A1421" s="267" t="s">
        <v>115</v>
      </c>
      <c r="B1421" s="133" t="s">
        <v>644</v>
      </c>
      <c r="C1421" s="94"/>
      <c r="D1421" s="94"/>
      <c r="E1421" s="94"/>
      <c r="F1421" s="94"/>
      <c r="G1421" s="94"/>
      <c r="H1421" s="94"/>
      <c r="I1421" s="94"/>
      <c r="J1421" s="94"/>
      <c r="K1421" s="94"/>
      <c r="L1421" s="94"/>
      <c r="M1421" s="94"/>
      <c r="N1421" s="94"/>
      <c r="O1421" s="93"/>
    </row>
    <row r="1422" spans="1:15" x14ac:dyDescent="0.25">
      <c r="A1422" s="266"/>
      <c r="B1422" s="265"/>
      <c r="C1422" s="265"/>
      <c r="D1422" s="265"/>
      <c r="E1422" s="265"/>
      <c r="F1422" s="94"/>
      <c r="G1422" s="94"/>
      <c r="H1422" s="94"/>
      <c r="I1422" s="94"/>
      <c r="J1422" s="94"/>
      <c r="K1422" s="94"/>
      <c r="L1422" s="94"/>
      <c r="M1422" s="94"/>
      <c r="N1422" s="94"/>
      <c r="O1422" s="93"/>
    </row>
    <row r="1423" spans="1:15" x14ac:dyDescent="0.25">
      <c r="A1423" s="264" t="s">
        <v>67</v>
      </c>
      <c r="B1423" s="263" t="s">
        <v>112</v>
      </c>
      <c r="C1423" s="263" t="s">
        <v>66</v>
      </c>
      <c r="D1423" s="263" t="s">
        <v>65</v>
      </c>
      <c r="E1423" s="263" t="s">
        <v>81</v>
      </c>
      <c r="F1423" s="274" t="s">
        <v>80</v>
      </c>
      <c r="G1423" s="274" t="s">
        <v>79</v>
      </c>
      <c r="H1423" s="274" t="s">
        <v>78</v>
      </c>
      <c r="I1423" s="274" t="s">
        <v>111</v>
      </c>
      <c r="J1423" s="274" t="s">
        <v>110</v>
      </c>
      <c r="K1423" s="274" t="s">
        <v>109</v>
      </c>
      <c r="L1423" s="274" t="s">
        <v>108</v>
      </c>
      <c r="M1423" s="274" t="s">
        <v>40</v>
      </c>
      <c r="N1423" s="274" t="s">
        <v>58</v>
      </c>
      <c r="O1423" s="93"/>
    </row>
    <row r="1424" spans="1:15" ht="45" x14ac:dyDescent="0.25">
      <c r="A1424" s="315">
        <v>10</v>
      </c>
      <c r="B1424" s="298" t="s">
        <v>643</v>
      </c>
      <c r="C1424" s="297" t="s">
        <v>642</v>
      </c>
      <c r="D1424" s="324">
        <v>110</v>
      </c>
      <c r="E1424" s="315"/>
      <c r="F1424" s="315" t="s">
        <v>64</v>
      </c>
      <c r="G1424" s="315"/>
      <c r="H1424" s="314"/>
      <c r="I1424" s="357"/>
      <c r="J1424" s="356"/>
      <c r="K1424" s="320"/>
      <c r="L1424" s="355"/>
      <c r="M1424" s="299">
        <v>1</v>
      </c>
      <c r="N1424" s="276">
        <f>IF(J1424="",D1424*M1424,D1424*J1424*K1424*L1424*M1424)</f>
        <v>110</v>
      </c>
      <c r="O1424" s="143"/>
    </row>
    <row r="1425" spans="1:15" x14ac:dyDescent="0.25">
      <c r="A1425" s="98"/>
      <c r="B1425" s="95"/>
      <c r="C1425" s="95"/>
      <c r="D1425" s="95"/>
      <c r="E1425" s="95"/>
      <c r="F1425" s="95"/>
      <c r="G1425" s="95"/>
      <c r="H1425" s="95"/>
      <c r="I1425" s="95"/>
      <c r="J1425" s="95"/>
      <c r="K1425" s="95"/>
      <c r="L1425" s="95"/>
      <c r="M1425" s="256" t="s">
        <v>58</v>
      </c>
      <c r="N1425" s="255">
        <f>SUM(N1424:N1424)</f>
        <v>110</v>
      </c>
      <c r="O1425" s="93"/>
    </row>
    <row r="1426" spans="1:15" x14ac:dyDescent="0.25">
      <c r="A1426" s="107"/>
      <c r="B1426" s="94"/>
      <c r="C1426" s="94"/>
      <c r="D1426" s="94"/>
      <c r="E1426" s="94"/>
      <c r="F1426" s="94"/>
      <c r="G1426" s="94"/>
      <c r="H1426" s="94"/>
      <c r="I1426" s="94"/>
      <c r="J1426" s="94"/>
      <c r="K1426" s="94"/>
      <c r="L1426" s="94"/>
      <c r="M1426" s="94"/>
      <c r="N1426" s="94"/>
      <c r="O1426" s="93"/>
    </row>
    <row r="1427" spans="1:15" ht="15.75" thickBot="1" x14ac:dyDescent="0.3">
      <c r="A1427" s="92"/>
      <c r="B1427" s="91"/>
      <c r="C1427" s="91"/>
      <c r="D1427" s="91"/>
      <c r="E1427" s="91"/>
      <c r="F1427" s="91"/>
      <c r="G1427" s="91"/>
      <c r="H1427" s="91"/>
      <c r="I1427" s="91"/>
      <c r="J1427" s="91"/>
      <c r="K1427" s="91"/>
      <c r="L1427" s="91"/>
      <c r="M1427" s="91"/>
      <c r="N1427" s="91"/>
      <c r="O1427" s="90"/>
    </row>
    <row r="1428" spans="1:15" ht="15.75" thickBot="1" x14ac:dyDescent="0.3"/>
    <row r="1429" spans="1:15" x14ac:dyDescent="0.25">
      <c r="A1429" s="141"/>
      <c r="B1429" s="140"/>
      <c r="C1429" s="140"/>
      <c r="D1429" s="140"/>
      <c r="E1429" s="140"/>
      <c r="F1429" s="140"/>
      <c r="G1429" s="140"/>
      <c r="H1429" s="140"/>
      <c r="I1429" s="140"/>
      <c r="J1429" s="272"/>
      <c r="K1429" s="140"/>
      <c r="L1429" s="140"/>
      <c r="M1429" s="140"/>
      <c r="N1429" s="140"/>
      <c r="O1429" s="139"/>
    </row>
    <row r="1430" spans="1:15" x14ac:dyDescent="0.25">
      <c r="A1430" s="267" t="s">
        <v>57</v>
      </c>
      <c r="B1430" s="133" t="s">
        <v>523</v>
      </c>
      <c r="C1430" s="94"/>
      <c r="D1430" s="94"/>
      <c r="E1430" s="94"/>
      <c r="F1430" s="94"/>
      <c r="G1430" s="94"/>
      <c r="H1430" s="94"/>
      <c r="I1430" s="94"/>
      <c r="J1430" s="271" t="s">
        <v>51</v>
      </c>
      <c r="K1430" s="138">
        <v>81</v>
      </c>
      <c r="L1430" s="94"/>
      <c r="M1430" s="267" t="s">
        <v>113</v>
      </c>
      <c r="N1430" s="100">
        <f>EN_10003_m+EN_10003_p</f>
        <v>44.381595999999995</v>
      </c>
      <c r="O1430" s="93"/>
    </row>
    <row r="1431" spans="1:15" x14ac:dyDescent="0.25">
      <c r="A1431" s="267" t="s">
        <v>125</v>
      </c>
      <c r="B1431" s="133" t="s">
        <v>21</v>
      </c>
      <c r="C1431" s="94"/>
      <c r="D1431" s="267" t="s">
        <v>122</v>
      </c>
      <c r="E1431" s="270" t="s">
        <v>522</v>
      </c>
      <c r="F1431" s="94"/>
      <c r="G1431" s="94"/>
      <c r="H1431" s="94"/>
      <c r="I1431" s="94"/>
      <c r="J1431" s="94"/>
      <c r="K1431" s="94"/>
      <c r="L1431" s="94"/>
      <c r="M1431" s="267" t="s">
        <v>124</v>
      </c>
      <c r="N1431" s="136">
        <v>1</v>
      </c>
      <c r="O1431" s="93"/>
    </row>
    <row r="1432" spans="1:15" x14ac:dyDescent="0.25">
      <c r="A1432" s="267" t="s">
        <v>123</v>
      </c>
      <c r="B1432" s="270" t="str">
        <f>'EN Assemblies'!B533</f>
        <v>Differential</v>
      </c>
      <c r="C1432" s="94"/>
      <c r="D1432" s="267" t="s">
        <v>119</v>
      </c>
      <c r="E1432" s="94"/>
      <c r="F1432" s="94"/>
      <c r="G1432" s="94"/>
      <c r="H1432" s="94"/>
      <c r="I1432" s="94"/>
      <c r="J1432" s="268" t="s">
        <v>122</v>
      </c>
      <c r="K1432" s="94"/>
      <c r="L1432" s="94"/>
      <c r="M1432" s="94"/>
      <c r="N1432" s="94"/>
      <c r="O1432" s="93"/>
    </row>
    <row r="1433" spans="1:15" x14ac:dyDescent="0.25">
      <c r="A1433" s="267" t="s">
        <v>114</v>
      </c>
      <c r="B1433" s="135" t="s">
        <v>641</v>
      </c>
      <c r="C1433" s="94"/>
      <c r="D1433" s="267" t="s">
        <v>116</v>
      </c>
      <c r="E1433" s="94"/>
      <c r="F1433" s="94"/>
      <c r="G1433" s="94"/>
      <c r="H1433" s="94"/>
      <c r="I1433" s="94"/>
      <c r="J1433" s="268" t="s">
        <v>119</v>
      </c>
      <c r="K1433" s="94"/>
      <c r="L1433" s="94"/>
      <c r="M1433" s="267" t="s">
        <v>118</v>
      </c>
      <c r="N1433" s="100">
        <f>N1431*N1430</f>
        <v>44.381595999999995</v>
      </c>
      <c r="O1433" s="93"/>
    </row>
    <row r="1434" spans="1:15" x14ac:dyDescent="0.25">
      <c r="A1434" s="267" t="s">
        <v>121</v>
      </c>
      <c r="B1434" s="269" t="s">
        <v>640</v>
      </c>
      <c r="C1434" s="94"/>
      <c r="D1434" s="94"/>
      <c r="E1434" s="94"/>
      <c r="F1434" s="94"/>
      <c r="G1434" s="94"/>
      <c r="H1434" s="94"/>
      <c r="I1434" s="94"/>
      <c r="J1434" s="268" t="s">
        <v>116</v>
      </c>
      <c r="K1434" s="94"/>
      <c r="L1434" s="94"/>
      <c r="M1434" s="94"/>
      <c r="N1434" s="94"/>
      <c r="O1434" s="93"/>
    </row>
    <row r="1435" spans="1:15" x14ac:dyDescent="0.25">
      <c r="A1435" s="267" t="s">
        <v>117</v>
      </c>
      <c r="B1435" s="133" t="s">
        <v>23</v>
      </c>
      <c r="C1435" s="94"/>
      <c r="D1435" s="94"/>
      <c r="E1435" s="94"/>
      <c r="F1435" s="94"/>
      <c r="G1435" s="94"/>
      <c r="H1435" s="94"/>
      <c r="I1435" s="94"/>
      <c r="J1435" s="94"/>
      <c r="K1435" s="94"/>
      <c r="L1435" s="94"/>
      <c r="M1435" s="94"/>
      <c r="N1435" s="94"/>
      <c r="O1435" s="93"/>
    </row>
    <row r="1436" spans="1:15" x14ac:dyDescent="0.25">
      <c r="A1436" s="267" t="s">
        <v>115</v>
      </c>
      <c r="B1436" s="133"/>
      <c r="C1436" s="94"/>
      <c r="D1436" s="94"/>
      <c r="E1436" s="94"/>
      <c r="F1436" s="94"/>
      <c r="G1436" s="94"/>
      <c r="H1436" s="94"/>
      <c r="I1436" s="94"/>
      <c r="J1436" s="94"/>
      <c r="K1436" s="94"/>
      <c r="L1436" s="94"/>
      <c r="M1436" s="94"/>
      <c r="N1436" s="94"/>
      <c r="O1436" s="93"/>
    </row>
    <row r="1437" spans="1:15" x14ac:dyDescent="0.25">
      <c r="A1437" s="266"/>
      <c r="B1437" s="265"/>
      <c r="C1437" s="265"/>
      <c r="D1437" s="265"/>
      <c r="E1437" s="265"/>
      <c r="F1437" s="94"/>
      <c r="G1437" s="94"/>
      <c r="H1437" s="94"/>
      <c r="I1437" s="94"/>
      <c r="J1437" s="94"/>
      <c r="K1437" s="94"/>
      <c r="L1437" s="94"/>
      <c r="M1437" s="94"/>
      <c r="N1437" s="94"/>
      <c r="O1437" s="93"/>
    </row>
    <row r="1438" spans="1:15" x14ac:dyDescent="0.25">
      <c r="A1438" s="264" t="s">
        <v>67</v>
      </c>
      <c r="B1438" s="263" t="s">
        <v>112</v>
      </c>
      <c r="C1438" s="263" t="s">
        <v>66</v>
      </c>
      <c r="D1438" s="263" t="s">
        <v>65</v>
      </c>
      <c r="E1438" s="263" t="s">
        <v>81</v>
      </c>
      <c r="F1438" s="274" t="s">
        <v>80</v>
      </c>
      <c r="G1438" s="274" t="s">
        <v>79</v>
      </c>
      <c r="H1438" s="274" t="s">
        <v>78</v>
      </c>
      <c r="I1438" s="274" t="s">
        <v>111</v>
      </c>
      <c r="J1438" s="274" t="s">
        <v>110</v>
      </c>
      <c r="K1438" s="274" t="s">
        <v>109</v>
      </c>
      <c r="L1438" s="274" t="s">
        <v>108</v>
      </c>
      <c r="M1438" s="274" t="s">
        <v>40</v>
      </c>
      <c r="N1438" s="274" t="s">
        <v>58</v>
      </c>
      <c r="O1438" s="93"/>
    </row>
    <row r="1439" spans="1:15" ht="30" x14ac:dyDescent="0.25">
      <c r="A1439" s="282">
        <v>10</v>
      </c>
      <c r="B1439" s="354" t="s">
        <v>557</v>
      </c>
      <c r="C1439" s="297" t="s">
        <v>639</v>
      </c>
      <c r="D1439" s="337">
        <v>4.2</v>
      </c>
      <c r="E1439" s="282">
        <v>169</v>
      </c>
      <c r="F1439" s="282" t="s">
        <v>68</v>
      </c>
      <c r="G1439" s="282">
        <v>20</v>
      </c>
      <c r="H1439" s="278" t="s">
        <v>68</v>
      </c>
      <c r="I1439" s="313" t="s">
        <v>638</v>
      </c>
      <c r="J1439" s="295">
        <f>E1439*G1439/1000000</f>
        <v>3.3800000000000002E-3</v>
      </c>
      <c r="K1439" s="278">
        <v>0.3</v>
      </c>
      <c r="L1439" s="278">
        <v>2170</v>
      </c>
      <c r="M1439" s="302">
        <v>1</v>
      </c>
      <c r="N1439" s="276">
        <f>IF(J1439="",D1439*M1439,D1439*J1439*K1439*L1439*M1439)</f>
        <v>9.2415959999999995</v>
      </c>
      <c r="O1439" s="143"/>
    </row>
    <row r="1440" spans="1:15" x14ac:dyDescent="0.25">
      <c r="A1440" s="98"/>
      <c r="B1440" s="95"/>
      <c r="C1440" s="95"/>
      <c r="D1440" s="95"/>
      <c r="E1440" s="95"/>
      <c r="F1440" s="95"/>
      <c r="G1440" s="95"/>
      <c r="H1440" s="95"/>
      <c r="I1440" s="95"/>
      <c r="J1440" s="95"/>
      <c r="K1440" s="95"/>
      <c r="L1440" s="95"/>
      <c r="M1440" s="256" t="s">
        <v>58</v>
      </c>
      <c r="N1440" s="255">
        <f>SUM(N1439:N1439)</f>
        <v>9.2415959999999995</v>
      </c>
      <c r="O1440" s="93"/>
    </row>
    <row r="1441" spans="1:15" x14ac:dyDescent="0.25">
      <c r="A1441" s="107"/>
      <c r="B1441" s="94"/>
      <c r="C1441" s="94"/>
      <c r="D1441" s="94"/>
      <c r="E1441" s="94"/>
      <c r="F1441" s="94"/>
      <c r="G1441" s="94"/>
      <c r="H1441" s="94"/>
      <c r="I1441" s="94"/>
      <c r="J1441" s="94"/>
      <c r="K1441" s="94"/>
      <c r="L1441" s="94"/>
      <c r="M1441" s="94"/>
      <c r="N1441" s="94"/>
      <c r="O1441" s="93"/>
    </row>
    <row r="1442" spans="1:15" x14ac:dyDescent="0.25">
      <c r="A1442" s="342" t="s">
        <v>67</v>
      </c>
      <c r="B1442" s="274" t="s">
        <v>106</v>
      </c>
      <c r="C1442" s="274" t="s">
        <v>66</v>
      </c>
      <c r="D1442" s="274" t="s">
        <v>65</v>
      </c>
      <c r="E1442" s="274" t="s">
        <v>64</v>
      </c>
      <c r="F1442" s="274" t="s">
        <v>40</v>
      </c>
      <c r="G1442" s="274" t="s">
        <v>105</v>
      </c>
      <c r="H1442" s="274" t="s">
        <v>104</v>
      </c>
      <c r="I1442" s="274" t="s">
        <v>58</v>
      </c>
      <c r="J1442" s="95"/>
      <c r="K1442" s="95"/>
      <c r="L1442" s="95"/>
      <c r="M1442" s="95"/>
      <c r="N1442" s="95"/>
      <c r="O1442" s="93"/>
    </row>
    <row r="1443" spans="1:15" ht="30" x14ac:dyDescent="0.25">
      <c r="A1443" s="325">
        <v>10</v>
      </c>
      <c r="B1443" s="330" t="s">
        <v>516</v>
      </c>
      <c r="C1443" s="330" t="s">
        <v>633</v>
      </c>
      <c r="D1443" s="329">
        <v>1.3</v>
      </c>
      <c r="E1443" s="326" t="s">
        <v>64</v>
      </c>
      <c r="F1443" s="325">
        <v>1</v>
      </c>
      <c r="G1443" s="325"/>
      <c r="H1443" s="299"/>
      <c r="I1443" s="293">
        <f>IF(H1443="",D1443*F1443,D1443*F1443*H1443)</f>
        <v>1.3</v>
      </c>
      <c r="J1443" s="142"/>
      <c r="K1443" s="142"/>
      <c r="L1443" s="142"/>
      <c r="M1443" s="142"/>
      <c r="N1443" s="142"/>
      <c r="O1443" s="120"/>
    </row>
    <row r="1444" spans="1:15" ht="47.25" customHeight="1" x14ac:dyDescent="0.25">
      <c r="A1444" s="328">
        <v>20</v>
      </c>
      <c r="B1444" s="330" t="s">
        <v>514</v>
      </c>
      <c r="C1444" s="330" t="s">
        <v>632</v>
      </c>
      <c r="D1444" s="329">
        <v>0.04</v>
      </c>
      <c r="E1444" s="328" t="s">
        <v>512</v>
      </c>
      <c r="F1444" s="333">
        <f>E1439*G1439*K1439-223</f>
        <v>791</v>
      </c>
      <c r="G1444" s="326" t="s">
        <v>629</v>
      </c>
      <c r="H1444" s="299">
        <v>1</v>
      </c>
      <c r="I1444" s="293">
        <f>IF(H1444="",D1444*F1444,D1444*F1444*H1444)</f>
        <v>31.64</v>
      </c>
      <c r="J1444" s="94"/>
      <c r="K1444" s="94"/>
      <c r="L1444" s="94"/>
      <c r="M1444" s="94"/>
      <c r="N1444" s="94"/>
      <c r="O1444" s="93"/>
    </row>
    <row r="1445" spans="1:15" x14ac:dyDescent="0.25">
      <c r="A1445" s="325">
        <v>30</v>
      </c>
      <c r="B1445" s="330" t="s">
        <v>296</v>
      </c>
      <c r="C1445" s="330" t="s">
        <v>603</v>
      </c>
      <c r="D1445" s="353">
        <v>0.35</v>
      </c>
      <c r="E1445" s="352" t="s">
        <v>294</v>
      </c>
      <c r="F1445" s="333">
        <v>4</v>
      </c>
      <c r="G1445" s="326" t="s">
        <v>629</v>
      </c>
      <c r="H1445" s="299">
        <v>1</v>
      </c>
      <c r="I1445" s="276">
        <f>IF(H1445="",D1445*F1445,D1445*F1445*H1445)</f>
        <v>1.4</v>
      </c>
      <c r="J1445" s="99"/>
      <c r="K1445" s="99"/>
      <c r="L1445" s="99"/>
      <c r="M1445" s="99"/>
      <c r="N1445" s="99"/>
      <c r="O1445" s="130"/>
    </row>
    <row r="1446" spans="1:15" ht="30" x14ac:dyDescent="0.25">
      <c r="A1446" s="328">
        <v>40</v>
      </c>
      <c r="B1446" s="330" t="s">
        <v>631</v>
      </c>
      <c r="C1446" s="330" t="s">
        <v>630</v>
      </c>
      <c r="D1446" s="353">
        <v>0.1</v>
      </c>
      <c r="E1446" s="352" t="s">
        <v>101</v>
      </c>
      <c r="F1446" s="333">
        <f>G1439*0.4</f>
        <v>8</v>
      </c>
      <c r="G1446" s="326" t="s">
        <v>629</v>
      </c>
      <c r="H1446" s="299">
        <v>1</v>
      </c>
      <c r="I1446" s="276">
        <f>IF(H1446="",D1446*F1446,D1446*F1446*H1446)</f>
        <v>0.8</v>
      </c>
      <c r="J1446" s="94"/>
      <c r="K1446" s="94"/>
      <c r="L1446" s="94"/>
      <c r="M1446" s="94"/>
      <c r="N1446" s="94"/>
      <c r="O1446" s="93"/>
    </row>
    <row r="1447" spans="1:15" x14ac:dyDescent="0.25">
      <c r="A1447" s="98"/>
      <c r="B1447" s="95"/>
      <c r="C1447" s="95"/>
      <c r="D1447" s="95"/>
      <c r="E1447" s="95"/>
      <c r="F1447" s="95"/>
      <c r="G1447" s="95"/>
      <c r="H1447" s="256" t="s">
        <v>58</v>
      </c>
      <c r="I1447" s="255">
        <f>SUM(I1443:I1446)</f>
        <v>35.139999999999993</v>
      </c>
      <c r="J1447" s="95"/>
      <c r="K1447" s="95"/>
      <c r="L1447" s="95"/>
      <c r="M1447" s="95"/>
      <c r="N1447" s="95"/>
      <c r="O1447" s="93"/>
    </row>
    <row r="1448" spans="1:15" x14ac:dyDescent="0.25">
      <c r="A1448" s="107"/>
      <c r="B1448" s="94"/>
      <c r="C1448" s="94"/>
      <c r="D1448" s="94"/>
      <c r="E1448" s="94"/>
      <c r="F1448" s="94"/>
      <c r="G1448" s="94"/>
      <c r="H1448" s="94"/>
      <c r="I1448" s="99"/>
      <c r="J1448" s="94"/>
      <c r="K1448" s="94"/>
      <c r="L1448" s="94"/>
      <c r="M1448" s="94"/>
      <c r="N1448" s="94"/>
      <c r="O1448" s="93"/>
    </row>
    <row r="1449" spans="1:15" ht="15.75" thickBot="1" x14ac:dyDescent="0.3">
      <c r="A1449" s="92"/>
      <c r="B1449" s="91"/>
      <c r="C1449" s="91"/>
      <c r="D1449" s="91"/>
      <c r="E1449" s="91"/>
      <c r="F1449" s="91"/>
      <c r="G1449" s="91"/>
      <c r="H1449" s="91"/>
      <c r="I1449" s="91"/>
      <c r="J1449" s="91"/>
      <c r="K1449" s="91"/>
      <c r="L1449" s="91"/>
      <c r="M1449" s="91"/>
      <c r="N1449" s="91"/>
      <c r="O1449" s="90"/>
    </row>
    <row r="1450" spans="1:15" ht="15.75" thickBot="1" x14ac:dyDescent="0.3"/>
    <row r="1451" spans="1:15" x14ac:dyDescent="0.25">
      <c r="A1451" s="141"/>
      <c r="B1451" s="140"/>
      <c r="C1451" s="140"/>
      <c r="D1451" s="140"/>
      <c r="E1451" s="140"/>
      <c r="F1451" s="140"/>
      <c r="G1451" s="140"/>
      <c r="H1451" s="140"/>
      <c r="I1451" s="140"/>
      <c r="J1451" s="272"/>
      <c r="K1451" s="140"/>
      <c r="L1451" s="140"/>
      <c r="M1451" s="140"/>
      <c r="N1451" s="140"/>
      <c r="O1451" s="139"/>
    </row>
    <row r="1452" spans="1:15" x14ac:dyDescent="0.25">
      <c r="A1452" s="267" t="s">
        <v>57</v>
      </c>
      <c r="B1452" s="133" t="s">
        <v>523</v>
      </c>
      <c r="C1452" s="94"/>
      <c r="D1452" s="94"/>
      <c r="E1452" s="94"/>
      <c r="F1452" s="94"/>
      <c r="G1452" s="94"/>
      <c r="H1452" s="94"/>
      <c r="I1452" s="94"/>
      <c r="J1452" s="271" t="s">
        <v>51</v>
      </c>
      <c r="K1452" s="138">
        <v>81</v>
      </c>
      <c r="L1452" s="94"/>
      <c r="M1452" s="267" t="s">
        <v>113</v>
      </c>
      <c r="N1452" s="100">
        <f>EN_10004_m+EN_10004_p</f>
        <v>48.333755599999989</v>
      </c>
      <c r="O1452" s="93"/>
    </row>
    <row r="1453" spans="1:15" x14ac:dyDescent="0.25">
      <c r="A1453" s="267" t="s">
        <v>125</v>
      </c>
      <c r="B1453" s="133" t="s">
        <v>21</v>
      </c>
      <c r="C1453" s="94"/>
      <c r="D1453" s="267" t="s">
        <v>122</v>
      </c>
      <c r="E1453" s="270" t="s">
        <v>522</v>
      </c>
      <c r="F1453" s="94"/>
      <c r="G1453" s="94"/>
      <c r="H1453" s="94"/>
      <c r="I1453" s="94"/>
      <c r="J1453" s="94"/>
      <c r="K1453" s="94"/>
      <c r="L1453" s="94"/>
      <c r="M1453" s="267" t="s">
        <v>124</v>
      </c>
      <c r="N1453" s="136">
        <v>1</v>
      </c>
      <c r="O1453" s="93"/>
    </row>
    <row r="1454" spans="1:15" x14ac:dyDescent="0.25">
      <c r="A1454" s="267" t="s">
        <v>123</v>
      </c>
      <c r="B1454" s="270" t="str">
        <f>'EN Assemblies'!B533</f>
        <v>Differential</v>
      </c>
      <c r="C1454" s="94"/>
      <c r="D1454" s="267" t="s">
        <v>119</v>
      </c>
      <c r="E1454" s="94"/>
      <c r="F1454" s="94"/>
      <c r="G1454" s="94"/>
      <c r="H1454" s="94"/>
      <c r="I1454" s="94"/>
      <c r="J1454" s="268" t="s">
        <v>122</v>
      </c>
      <c r="K1454" s="94"/>
      <c r="L1454" s="94"/>
      <c r="M1454" s="94"/>
      <c r="N1454" s="94"/>
      <c r="O1454" s="93"/>
    </row>
    <row r="1455" spans="1:15" x14ac:dyDescent="0.25">
      <c r="A1455" s="267" t="s">
        <v>114</v>
      </c>
      <c r="B1455" s="135" t="s">
        <v>637</v>
      </c>
      <c r="C1455" s="94"/>
      <c r="D1455" s="267" t="s">
        <v>116</v>
      </c>
      <c r="E1455" s="94"/>
      <c r="F1455" s="94"/>
      <c r="G1455" s="94"/>
      <c r="H1455" s="94"/>
      <c r="I1455" s="94"/>
      <c r="J1455" s="268" t="s">
        <v>119</v>
      </c>
      <c r="K1455" s="94"/>
      <c r="L1455" s="94"/>
      <c r="M1455" s="267" t="s">
        <v>118</v>
      </c>
      <c r="N1455" s="100">
        <f>N1453*N1452</f>
        <v>48.333755599999989</v>
      </c>
      <c r="O1455" s="93"/>
    </row>
    <row r="1456" spans="1:15" x14ac:dyDescent="0.25">
      <c r="A1456" s="267" t="s">
        <v>121</v>
      </c>
      <c r="B1456" s="269" t="s">
        <v>636</v>
      </c>
      <c r="C1456" s="94"/>
      <c r="D1456" s="94"/>
      <c r="E1456" s="94"/>
      <c r="F1456" s="94"/>
      <c r="G1456" s="94"/>
      <c r="H1456" s="94"/>
      <c r="I1456" s="94"/>
      <c r="J1456" s="268" t="s">
        <v>116</v>
      </c>
      <c r="K1456" s="94"/>
      <c r="L1456" s="94"/>
      <c r="M1456" s="94"/>
      <c r="N1456" s="94"/>
      <c r="O1456" s="93"/>
    </row>
    <row r="1457" spans="1:15" x14ac:dyDescent="0.25">
      <c r="A1457" s="267" t="s">
        <v>117</v>
      </c>
      <c r="B1457" s="133" t="s">
        <v>23</v>
      </c>
      <c r="C1457" s="94"/>
      <c r="D1457" s="94"/>
      <c r="E1457" s="94"/>
      <c r="F1457" s="94"/>
      <c r="G1457" s="94"/>
      <c r="H1457" s="94"/>
      <c r="I1457" s="94"/>
      <c r="J1457" s="94"/>
      <c r="K1457" s="94"/>
      <c r="L1457" s="94"/>
      <c r="M1457" s="94"/>
      <c r="N1457" s="94"/>
      <c r="O1457" s="93"/>
    </row>
    <row r="1458" spans="1:15" x14ac:dyDescent="0.25">
      <c r="A1458" s="267" t="s">
        <v>115</v>
      </c>
      <c r="B1458" s="133"/>
      <c r="C1458" s="94"/>
      <c r="D1458" s="94"/>
      <c r="E1458" s="94"/>
      <c r="F1458" s="94"/>
      <c r="G1458" s="94"/>
      <c r="H1458" s="94"/>
      <c r="I1458" s="94"/>
      <c r="J1458" s="94"/>
      <c r="K1458" s="94"/>
      <c r="L1458" s="94"/>
      <c r="M1458" s="94"/>
      <c r="N1458" s="94"/>
      <c r="O1458" s="93"/>
    </row>
    <row r="1459" spans="1:15" x14ac:dyDescent="0.25">
      <c r="A1459" s="266"/>
      <c r="B1459" s="265"/>
      <c r="C1459" s="265"/>
      <c r="D1459" s="265"/>
      <c r="E1459" s="265"/>
      <c r="F1459" s="94"/>
      <c r="G1459" s="94"/>
      <c r="H1459" s="94"/>
      <c r="I1459" s="94"/>
      <c r="J1459" s="94"/>
      <c r="K1459" s="94"/>
      <c r="L1459" s="94"/>
      <c r="M1459" s="94"/>
      <c r="N1459" s="94"/>
      <c r="O1459" s="93"/>
    </row>
    <row r="1460" spans="1:15" x14ac:dyDescent="0.25">
      <c r="A1460" s="264" t="s">
        <v>67</v>
      </c>
      <c r="B1460" s="263" t="s">
        <v>112</v>
      </c>
      <c r="C1460" s="263" t="s">
        <v>66</v>
      </c>
      <c r="D1460" s="263" t="s">
        <v>65</v>
      </c>
      <c r="E1460" s="263" t="s">
        <v>81</v>
      </c>
      <c r="F1460" s="274" t="s">
        <v>80</v>
      </c>
      <c r="G1460" s="274" t="s">
        <v>79</v>
      </c>
      <c r="H1460" s="274" t="s">
        <v>78</v>
      </c>
      <c r="I1460" s="274" t="s">
        <v>111</v>
      </c>
      <c r="J1460" s="274" t="s">
        <v>110</v>
      </c>
      <c r="K1460" s="274" t="s">
        <v>109</v>
      </c>
      <c r="L1460" s="274" t="s">
        <v>108</v>
      </c>
      <c r="M1460" s="274" t="s">
        <v>40</v>
      </c>
      <c r="N1460" s="274" t="s">
        <v>58</v>
      </c>
      <c r="O1460" s="93"/>
    </row>
    <row r="1461" spans="1:15" ht="30" x14ac:dyDescent="0.25">
      <c r="A1461" s="282">
        <v>10</v>
      </c>
      <c r="B1461" s="354" t="s">
        <v>557</v>
      </c>
      <c r="C1461" s="297" t="s">
        <v>635</v>
      </c>
      <c r="D1461" s="337">
        <v>4.2</v>
      </c>
      <c r="E1461" s="282">
        <v>169</v>
      </c>
      <c r="F1461" s="282" t="s">
        <v>68</v>
      </c>
      <c r="G1461" s="282">
        <v>22</v>
      </c>
      <c r="H1461" s="278" t="s">
        <v>68</v>
      </c>
      <c r="I1461" s="313" t="s">
        <v>634</v>
      </c>
      <c r="J1461" s="295">
        <f>E1461*G1461/1000000</f>
        <v>3.718E-3</v>
      </c>
      <c r="K1461" s="278">
        <v>0.3</v>
      </c>
      <c r="L1461" s="278">
        <v>2170</v>
      </c>
      <c r="M1461" s="302">
        <v>1</v>
      </c>
      <c r="N1461" s="276">
        <f>IF(J1461="",D1461*M1461,D1461*J1461*K1461*L1461*M1461)</f>
        <v>10.165755600000001</v>
      </c>
      <c r="O1461" s="143"/>
    </row>
    <row r="1462" spans="1:15" x14ac:dyDescent="0.25">
      <c r="A1462" s="98"/>
      <c r="B1462" s="95"/>
      <c r="C1462" s="95"/>
      <c r="D1462" s="95"/>
      <c r="E1462" s="95"/>
      <c r="F1462" s="95"/>
      <c r="G1462" s="95"/>
      <c r="H1462" s="95"/>
      <c r="I1462" s="95"/>
      <c r="J1462" s="95"/>
      <c r="K1462" s="95"/>
      <c r="L1462" s="95"/>
      <c r="M1462" s="256" t="s">
        <v>58</v>
      </c>
      <c r="N1462" s="255">
        <f>SUM(N1461:N1461)</f>
        <v>10.165755600000001</v>
      </c>
      <c r="O1462" s="93"/>
    </row>
    <row r="1463" spans="1:15" x14ac:dyDescent="0.25">
      <c r="A1463" s="107"/>
      <c r="B1463" s="94"/>
      <c r="C1463" s="94"/>
      <c r="D1463" s="94"/>
      <c r="E1463" s="94"/>
      <c r="F1463" s="94"/>
      <c r="G1463" s="94"/>
      <c r="H1463" s="94"/>
      <c r="I1463" s="94"/>
      <c r="J1463" s="94"/>
      <c r="K1463" s="94"/>
      <c r="L1463" s="94"/>
      <c r="M1463" s="94"/>
      <c r="N1463" s="94"/>
      <c r="O1463" s="93"/>
    </row>
    <row r="1464" spans="1:15" x14ac:dyDescent="0.25">
      <c r="A1464" s="342" t="s">
        <v>67</v>
      </c>
      <c r="B1464" s="274" t="s">
        <v>106</v>
      </c>
      <c r="C1464" s="274" t="s">
        <v>66</v>
      </c>
      <c r="D1464" s="274" t="s">
        <v>65</v>
      </c>
      <c r="E1464" s="274" t="s">
        <v>64</v>
      </c>
      <c r="F1464" s="274" t="s">
        <v>40</v>
      </c>
      <c r="G1464" s="274" t="s">
        <v>105</v>
      </c>
      <c r="H1464" s="274" t="s">
        <v>104</v>
      </c>
      <c r="I1464" s="274" t="s">
        <v>58</v>
      </c>
      <c r="J1464" s="95"/>
      <c r="K1464" s="95"/>
      <c r="L1464" s="95"/>
      <c r="M1464" s="95"/>
      <c r="N1464" s="95"/>
      <c r="O1464" s="93"/>
    </row>
    <row r="1465" spans="1:15" ht="30" x14ac:dyDescent="0.25">
      <c r="A1465" s="325">
        <v>10</v>
      </c>
      <c r="B1465" s="330" t="s">
        <v>516</v>
      </c>
      <c r="C1465" s="330" t="s">
        <v>633</v>
      </c>
      <c r="D1465" s="329">
        <v>1.3</v>
      </c>
      <c r="E1465" s="326" t="s">
        <v>64</v>
      </c>
      <c r="F1465" s="325">
        <v>1</v>
      </c>
      <c r="G1465" s="325"/>
      <c r="H1465" s="325"/>
      <c r="I1465" s="293">
        <f>IF(H1465="",D1465*F1465,D1465*F1465*H1465)</f>
        <v>1.3</v>
      </c>
      <c r="J1465" s="142"/>
      <c r="K1465" s="142"/>
      <c r="L1465" s="142"/>
      <c r="M1465" s="142"/>
      <c r="N1465" s="142"/>
      <c r="O1465" s="120"/>
    </row>
    <row r="1466" spans="1:15" ht="35.25" customHeight="1" x14ac:dyDescent="0.25">
      <c r="A1466" s="328">
        <v>20</v>
      </c>
      <c r="B1466" s="330" t="s">
        <v>514</v>
      </c>
      <c r="C1466" s="330" t="s">
        <v>632</v>
      </c>
      <c r="D1466" s="329">
        <v>0.04</v>
      </c>
      <c r="E1466" s="328" t="s">
        <v>512</v>
      </c>
      <c r="F1466" s="333">
        <f>E1461*G1461*K1461-250.7</f>
        <v>864.69999999999982</v>
      </c>
      <c r="G1466" s="326" t="s">
        <v>629</v>
      </c>
      <c r="H1466" s="325">
        <v>1</v>
      </c>
      <c r="I1466" s="293">
        <f>IF(H1466="",D1466*F1466,D1466*F1466*H1466)</f>
        <v>34.587999999999994</v>
      </c>
      <c r="J1466" s="94"/>
      <c r="K1466" s="94"/>
      <c r="L1466" s="94"/>
      <c r="M1466" s="94"/>
      <c r="N1466" s="94"/>
      <c r="O1466" s="93"/>
    </row>
    <row r="1467" spans="1:15" x14ac:dyDescent="0.25">
      <c r="A1467" s="325">
        <v>30</v>
      </c>
      <c r="B1467" s="330" t="s">
        <v>296</v>
      </c>
      <c r="C1467" s="330" t="s">
        <v>603</v>
      </c>
      <c r="D1467" s="353">
        <v>0.35</v>
      </c>
      <c r="E1467" s="352" t="s">
        <v>294</v>
      </c>
      <c r="F1467" s="333">
        <v>4</v>
      </c>
      <c r="G1467" s="326" t="s">
        <v>629</v>
      </c>
      <c r="H1467" s="325">
        <v>1</v>
      </c>
      <c r="I1467" s="276">
        <f>IF(H1467="",D1467*F1467,D1467*F1467*H1467)</f>
        <v>1.4</v>
      </c>
      <c r="J1467" s="99"/>
      <c r="K1467" s="99"/>
      <c r="L1467" s="99"/>
      <c r="M1467" s="99"/>
      <c r="N1467" s="99"/>
      <c r="O1467" s="130"/>
    </row>
    <row r="1468" spans="1:15" ht="30" x14ac:dyDescent="0.25">
      <c r="A1468" s="328">
        <v>40</v>
      </c>
      <c r="B1468" s="330" t="s">
        <v>631</v>
      </c>
      <c r="C1468" s="330" t="s">
        <v>630</v>
      </c>
      <c r="D1468" s="353">
        <v>0.1</v>
      </c>
      <c r="E1468" s="352" t="s">
        <v>101</v>
      </c>
      <c r="F1468" s="333">
        <f>G1461*0.4</f>
        <v>8.8000000000000007</v>
      </c>
      <c r="G1468" s="326" t="s">
        <v>629</v>
      </c>
      <c r="H1468" s="325">
        <v>1</v>
      </c>
      <c r="I1468" s="276">
        <f>IF(H1468="",D1468*F1468,D1468*F1468*H1468)</f>
        <v>0.88000000000000012</v>
      </c>
      <c r="J1468" s="94"/>
      <c r="K1468" s="94"/>
      <c r="L1468" s="94"/>
      <c r="M1468" s="94"/>
      <c r="N1468" s="94"/>
      <c r="O1468" s="93"/>
    </row>
    <row r="1469" spans="1:15" x14ac:dyDescent="0.25">
      <c r="A1469" s="98"/>
      <c r="B1469" s="95"/>
      <c r="C1469" s="95"/>
      <c r="D1469" s="95"/>
      <c r="E1469" s="95"/>
      <c r="F1469" s="95"/>
      <c r="G1469" s="95"/>
      <c r="H1469" s="256" t="s">
        <v>58</v>
      </c>
      <c r="I1469" s="255">
        <f>SUM(I1465:I1468)</f>
        <v>38.167999999999992</v>
      </c>
      <c r="J1469" s="95"/>
      <c r="K1469" s="95"/>
      <c r="L1469" s="95"/>
      <c r="M1469" s="95"/>
      <c r="N1469" s="95"/>
      <c r="O1469" s="93"/>
    </row>
    <row r="1470" spans="1:15" x14ac:dyDescent="0.25">
      <c r="A1470" s="107"/>
      <c r="B1470" s="94"/>
      <c r="C1470" s="94"/>
      <c r="D1470" s="94"/>
      <c r="E1470" s="94"/>
      <c r="F1470" s="94"/>
      <c r="G1470" s="94"/>
      <c r="H1470" s="94"/>
      <c r="I1470" s="99"/>
      <c r="J1470" s="94"/>
      <c r="K1470" s="94"/>
      <c r="L1470" s="94"/>
      <c r="M1470" s="94"/>
      <c r="N1470" s="94"/>
      <c r="O1470" s="93"/>
    </row>
    <row r="1471" spans="1:15" ht="15.75" thickBot="1" x14ac:dyDescent="0.3">
      <c r="A1471" s="92"/>
      <c r="B1471" s="91"/>
      <c r="C1471" s="91"/>
      <c r="D1471" s="91"/>
      <c r="E1471" s="91"/>
      <c r="F1471" s="91"/>
      <c r="G1471" s="91"/>
      <c r="H1471" s="91"/>
      <c r="I1471" s="91"/>
      <c r="J1471" s="91"/>
      <c r="K1471" s="91"/>
      <c r="L1471" s="91"/>
      <c r="M1471" s="91"/>
      <c r="N1471" s="91"/>
      <c r="O1471" s="90"/>
    </row>
    <row r="1472" spans="1:15" ht="15.75" thickBot="1" x14ac:dyDescent="0.3"/>
    <row r="1473" spans="1:15" x14ac:dyDescent="0.25">
      <c r="A1473" s="141"/>
      <c r="B1473" s="140"/>
      <c r="C1473" s="140"/>
      <c r="D1473" s="140"/>
      <c r="E1473" s="140"/>
      <c r="F1473" s="140"/>
      <c r="G1473" s="140"/>
      <c r="H1473" s="140"/>
      <c r="I1473" s="140"/>
      <c r="J1473" s="272"/>
      <c r="K1473" s="140"/>
      <c r="L1473" s="140"/>
      <c r="M1473" s="140"/>
      <c r="N1473" s="140"/>
      <c r="O1473" s="139"/>
    </row>
    <row r="1474" spans="1:15" x14ac:dyDescent="0.25">
      <c r="A1474" s="267" t="s">
        <v>57</v>
      </c>
      <c r="B1474" s="133" t="s">
        <v>523</v>
      </c>
      <c r="C1474" s="94"/>
      <c r="D1474" s="94"/>
      <c r="E1474" s="94"/>
      <c r="F1474" s="94"/>
      <c r="G1474" s="94"/>
      <c r="H1474" s="94"/>
      <c r="I1474" s="94"/>
      <c r="J1474" s="271" t="s">
        <v>51</v>
      </c>
      <c r="K1474" s="138">
        <v>81</v>
      </c>
      <c r="L1474" s="94"/>
      <c r="M1474" s="267" t="s">
        <v>113</v>
      </c>
      <c r="N1474" s="100">
        <f>EN_10005_m+EN_10005_p</f>
        <v>1.7176529500000002</v>
      </c>
      <c r="O1474" s="93"/>
    </row>
    <row r="1475" spans="1:15" x14ac:dyDescent="0.25">
      <c r="A1475" s="267" t="s">
        <v>125</v>
      </c>
      <c r="B1475" s="133" t="s">
        <v>21</v>
      </c>
      <c r="C1475" s="94"/>
      <c r="D1475" s="267" t="s">
        <v>122</v>
      </c>
      <c r="E1475" s="270" t="s">
        <v>522</v>
      </c>
      <c r="F1475" s="94"/>
      <c r="G1475" s="94"/>
      <c r="H1475" s="94"/>
      <c r="I1475" s="94"/>
      <c r="J1475" s="94"/>
      <c r="K1475" s="94"/>
      <c r="L1475" s="94"/>
      <c r="M1475" s="267" t="s">
        <v>124</v>
      </c>
      <c r="N1475" s="136">
        <v>4</v>
      </c>
      <c r="O1475" s="93"/>
    </row>
    <row r="1476" spans="1:15" x14ac:dyDescent="0.25">
      <c r="A1476" s="267" t="s">
        <v>123</v>
      </c>
      <c r="B1476" s="270" t="str">
        <f>'EN Assemblies'!B533</f>
        <v>Differential</v>
      </c>
      <c r="C1476" s="94"/>
      <c r="D1476" s="267" t="s">
        <v>119</v>
      </c>
      <c r="E1476" s="94"/>
      <c r="F1476" s="94"/>
      <c r="G1476" s="94"/>
      <c r="H1476" s="94"/>
      <c r="I1476" s="94"/>
      <c r="J1476" s="268" t="s">
        <v>122</v>
      </c>
      <c r="K1476" s="94"/>
      <c r="L1476" s="94"/>
      <c r="M1476" s="94"/>
      <c r="N1476" s="94"/>
      <c r="O1476" s="93"/>
    </row>
    <row r="1477" spans="1:15" x14ac:dyDescent="0.25">
      <c r="A1477" s="267" t="s">
        <v>114</v>
      </c>
      <c r="B1477" s="135" t="s">
        <v>628</v>
      </c>
      <c r="C1477" s="94"/>
      <c r="D1477" s="267" t="s">
        <v>116</v>
      </c>
      <c r="E1477" s="94"/>
      <c r="F1477" s="94"/>
      <c r="G1477" s="94"/>
      <c r="H1477" s="94"/>
      <c r="I1477" s="94"/>
      <c r="J1477" s="268" t="s">
        <v>119</v>
      </c>
      <c r="K1477" s="94"/>
      <c r="L1477" s="94"/>
      <c r="M1477" s="267" t="s">
        <v>118</v>
      </c>
      <c r="N1477" s="100">
        <f>N1475*N1474</f>
        <v>6.8706118000000007</v>
      </c>
      <c r="O1477" s="93"/>
    </row>
    <row r="1478" spans="1:15" x14ac:dyDescent="0.25">
      <c r="A1478" s="267" t="s">
        <v>121</v>
      </c>
      <c r="B1478" s="269" t="s">
        <v>627</v>
      </c>
      <c r="C1478" s="94"/>
      <c r="D1478" s="94"/>
      <c r="E1478" s="94"/>
      <c r="F1478" s="94"/>
      <c r="G1478" s="94"/>
      <c r="H1478" s="94"/>
      <c r="I1478" s="94"/>
      <c r="J1478" s="268" t="s">
        <v>116</v>
      </c>
      <c r="K1478" s="94"/>
      <c r="L1478" s="94"/>
      <c r="M1478" s="94"/>
      <c r="N1478" s="94"/>
      <c r="O1478" s="93"/>
    </row>
    <row r="1479" spans="1:15" x14ac:dyDescent="0.25">
      <c r="A1479" s="267" t="s">
        <v>117</v>
      </c>
      <c r="B1479" s="133" t="s">
        <v>23</v>
      </c>
      <c r="C1479" s="94"/>
      <c r="D1479" s="94"/>
      <c r="E1479" s="94"/>
      <c r="F1479" s="94"/>
      <c r="G1479" s="94"/>
      <c r="H1479" s="94"/>
      <c r="I1479" s="94"/>
      <c r="J1479" s="94"/>
      <c r="K1479" s="94"/>
      <c r="L1479" s="94"/>
      <c r="M1479" s="94"/>
      <c r="N1479" s="94"/>
      <c r="O1479" s="93"/>
    </row>
    <row r="1480" spans="1:15" x14ac:dyDescent="0.25">
      <c r="A1480" s="267" t="s">
        <v>115</v>
      </c>
      <c r="B1480" s="133"/>
      <c r="C1480" s="94"/>
      <c r="D1480" s="94"/>
      <c r="E1480" s="94"/>
      <c r="F1480" s="94"/>
      <c r="G1480" s="94"/>
      <c r="H1480" s="94"/>
      <c r="I1480" s="94"/>
      <c r="J1480" s="94"/>
      <c r="K1480" s="94"/>
      <c r="L1480" s="94"/>
      <c r="M1480" s="94"/>
      <c r="N1480" s="94"/>
      <c r="O1480" s="93"/>
    </row>
    <row r="1481" spans="1:15" x14ac:dyDescent="0.25">
      <c r="A1481" s="266"/>
      <c r="B1481" s="265"/>
      <c r="C1481" s="265"/>
      <c r="D1481" s="265"/>
      <c r="E1481" s="265"/>
      <c r="F1481" s="94"/>
      <c r="G1481" s="94"/>
      <c r="H1481" s="94"/>
      <c r="I1481" s="94"/>
      <c r="J1481" s="94"/>
      <c r="K1481" s="94"/>
      <c r="L1481" s="94"/>
      <c r="M1481" s="94"/>
      <c r="N1481" s="94"/>
      <c r="O1481" s="93"/>
    </row>
    <row r="1482" spans="1:15" x14ac:dyDescent="0.25">
      <c r="A1482" s="264" t="s">
        <v>67</v>
      </c>
      <c r="B1482" s="263" t="s">
        <v>112</v>
      </c>
      <c r="C1482" s="263" t="s">
        <v>66</v>
      </c>
      <c r="D1482" s="263" t="s">
        <v>65</v>
      </c>
      <c r="E1482" s="263" t="s">
        <v>81</v>
      </c>
      <c r="F1482" s="341" t="s">
        <v>80</v>
      </c>
      <c r="G1482" s="341" t="s">
        <v>79</v>
      </c>
      <c r="H1482" s="341" t="s">
        <v>78</v>
      </c>
      <c r="I1482" s="341" t="s">
        <v>111</v>
      </c>
      <c r="J1482" s="341" t="s">
        <v>110</v>
      </c>
      <c r="K1482" s="341" t="s">
        <v>109</v>
      </c>
      <c r="L1482" s="341" t="s">
        <v>108</v>
      </c>
      <c r="M1482" s="341" t="s">
        <v>40</v>
      </c>
      <c r="N1482" s="341" t="s">
        <v>58</v>
      </c>
      <c r="O1482" s="93"/>
    </row>
    <row r="1483" spans="1:15" ht="30" x14ac:dyDescent="0.25">
      <c r="A1483" s="340">
        <v>10</v>
      </c>
      <c r="B1483" s="340" t="s">
        <v>519</v>
      </c>
      <c r="C1483" s="340" t="s">
        <v>623</v>
      </c>
      <c r="D1483" s="349">
        <v>2.25</v>
      </c>
      <c r="E1483" s="340">
        <v>23</v>
      </c>
      <c r="F1483" s="340" t="s">
        <v>68</v>
      </c>
      <c r="G1483" s="340">
        <v>3</v>
      </c>
      <c r="H1483" s="345" t="s">
        <v>68</v>
      </c>
      <c r="I1483" s="348" t="s">
        <v>626</v>
      </c>
      <c r="J1483" s="347">
        <f>E1483*G1483/1000000</f>
        <v>6.8999999999999997E-5</v>
      </c>
      <c r="K1483" s="346">
        <v>0.03</v>
      </c>
      <c r="L1483" s="351">
        <v>7860</v>
      </c>
      <c r="M1483" s="350">
        <v>1</v>
      </c>
      <c r="N1483" s="343">
        <f>IF(J1483="",D1483*M1483,D1483*J1483*K1483*L1483*M1483)</f>
        <v>3.660795E-2</v>
      </c>
      <c r="O1483" s="143"/>
    </row>
    <row r="1484" spans="1:15" x14ac:dyDescent="0.25">
      <c r="A1484" s="340">
        <v>20</v>
      </c>
      <c r="B1484" s="340" t="s">
        <v>250</v>
      </c>
      <c r="C1484" s="340" t="s">
        <v>621</v>
      </c>
      <c r="D1484" s="349">
        <v>10</v>
      </c>
      <c r="E1484" s="340">
        <f>0.023*0.03*2</f>
        <v>1.3799999999999999E-3</v>
      </c>
      <c r="F1484" s="340" t="s">
        <v>299</v>
      </c>
      <c r="G1484" s="340"/>
      <c r="H1484" s="345"/>
      <c r="I1484" s="348"/>
      <c r="J1484" s="347"/>
      <c r="K1484" s="346"/>
      <c r="L1484" s="345"/>
      <c r="M1484" s="344">
        <f>E1484</f>
        <v>1.3799999999999999E-3</v>
      </c>
      <c r="N1484" s="343">
        <f>IF(J1484="",D1484*M1484,D1484*J1484*K1484*L1484*M1484)</f>
        <v>1.38E-2</v>
      </c>
      <c r="O1484" s="143"/>
    </row>
    <row r="1485" spans="1:15" x14ac:dyDescent="0.25">
      <c r="A1485" s="98"/>
      <c r="B1485" s="95"/>
      <c r="C1485" s="95"/>
      <c r="D1485" s="95"/>
      <c r="E1485" s="95"/>
      <c r="F1485" s="95"/>
      <c r="G1485" s="95"/>
      <c r="H1485" s="95"/>
      <c r="I1485" s="95"/>
      <c r="J1485" s="95"/>
      <c r="K1485" s="95"/>
      <c r="L1485" s="95"/>
      <c r="M1485" s="256" t="s">
        <v>58</v>
      </c>
      <c r="N1485" s="255">
        <f>SUM(N1483:N1484)</f>
        <v>5.040795E-2</v>
      </c>
      <c r="O1485" s="93"/>
    </row>
    <row r="1486" spans="1:15" x14ac:dyDescent="0.25">
      <c r="A1486" s="107"/>
      <c r="B1486" s="94"/>
      <c r="C1486" s="94"/>
      <c r="D1486" s="94"/>
      <c r="E1486" s="94"/>
      <c r="F1486" s="94"/>
      <c r="G1486" s="94"/>
      <c r="H1486" s="94"/>
      <c r="I1486" s="94"/>
      <c r="J1486" s="94"/>
      <c r="K1486" s="94"/>
      <c r="L1486" s="94"/>
      <c r="M1486" s="94"/>
      <c r="N1486" s="94"/>
      <c r="O1486" s="93"/>
    </row>
    <row r="1487" spans="1:15" x14ac:dyDescent="0.25">
      <c r="A1487" s="342" t="s">
        <v>67</v>
      </c>
      <c r="B1487" s="341" t="s">
        <v>106</v>
      </c>
      <c r="C1487" s="341" t="s">
        <v>66</v>
      </c>
      <c r="D1487" s="341" t="s">
        <v>65</v>
      </c>
      <c r="E1487" s="341" t="s">
        <v>64</v>
      </c>
      <c r="F1487" s="341" t="s">
        <v>40</v>
      </c>
      <c r="G1487" s="341" t="s">
        <v>105</v>
      </c>
      <c r="H1487" s="341" t="s">
        <v>104</v>
      </c>
      <c r="I1487" s="341" t="s">
        <v>58</v>
      </c>
      <c r="J1487" s="95"/>
      <c r="K1487" s="95"/>
      <c r="L1487" s="95"/>
      <c r="M1487" s="95"/>
      <c r="N1487" s="95"/>
      <c r="O1487" s="93"/>
    </row>
    <row r="1488" spans="1:15" ht="30" x14ac:dyDescent="0.25">
      <c r="A1488" s="340">
        <v>10</v>
      </c>
      <c r="B1488" s="339" t="s">
        <v>516</v>
      </c>
      <c r="C1488" s="285" t="s">
        <v>528</v>
      </c>
      <c r="D1488" s="283">
        <v>1.3</v>
      </c>
      <c r="E1488" s="282" t="s">
        <v>64</v>
      </c>
      <c r="F1488" s="282">
        <v>1</v>
      </c>
      <c r="G1488" s="287"/>
      <c r="H1488" s="282"/>
      <c r="I1488" s="293">
        <f>IF(H1488="",D1488*F1488,D1488*F1488*H1488)</f>
        <v>1.3</v>
      </c>
      <c r="J1488" s="142"/>
      <c r="K1488" s="142"/>
      <c r="L1488" s="142"/>
      <c r="M1488" s="142"/>
      <c r="N1488" s="142"/>
      <c r="O1488" s="120"/>
    </row>
    <row r="1489" spans="1:15" x14ac:dyDescent="0.25">
      <c r="A1489" s="282">
        <v>20</v>
      </c>
      <c r="B1489" s="285" t="s">
        <v>541</v>
      </c>
      <c r="C1489" s="291" t="s">
        <v>620</v>
      </c>
      <c r="D1489" s="283">
        <v>0.01</v>
      </c>
      <c r="E1489" s="282" t="s">
        <v>101</v>
      </c>
      <c r="F1489" s="282">
        <v>12</v>
      </c>
      <c r="G1489" s="282" t="s">
        <v>525</v>
      </c>
      <c r="H1489" s="282">
        <v>3</v>
      </c>
      <c r="I1489" s="293">
        <f>IF(H1489="",D1489*F1489,D1489*F1489*H1489)</f>
        <v>0.36</v>
      </c>
      <c r="J1489" s="94"/>
      <c r="K1489" s="94"/>
      <c r="L1489" s="94"/>
      <c r="M1489" s="94"/>
      <c r="N1489" s="94"/>
      <c r="O1489" s="93"/>
    </row>
    <row r="1490" spans="1:15" x14ac:dyDescent="0.25">
      <c r="A1490" s="282">
        <v>30</v>
      </c>
      <c r="B1490" s="285" t="s">
        <v>535</v>
      </c>
      <c r="C1490" s="285" t="s">
        <v>619</v>
      </c>
      <c r="D1490" s="283">
        <v>5.25</v>
      </c>
      <c r="E1490" s="282" t="s">
        <v>241</v>
      </c>
      <c r="F1490" s="282">
        <f>E1484</f>
        <v>1.3799999999999999E-3</v>
      </c>
      <c r="G1490" s="282"/>
      <c r="H1490" s="282"/>
      <c r="I1490" s="293">
        <f>F1490*D1490</f>
        <v>7.2449999999999997E-3</v>
      </c>
      <c r="J1490" s="94"/>
      <c r="K1490" s="94"/>
      <c r="L1490" s="94"/>
      <c r="M1490" s="94"/>
      <c r="N1490" s="94"/>
      <c r="O1490" s="93"/>
    </row>
    <row r="1491" spans="1:15" x14ac:dyDescent="0.25">
      <c r="A1491" s="98"/>
      <c r="B1491" s="95"/>
      <c r="C1491" s="95"/>
      <c r="D1491" s="95"/>
      <c r="E1491" s="95"/>
      <c r="F1491" s="95"/>
      <c r="G1491" s="95"/>
      <c r="H1491" s="256" t="s">
        <v>58</v>
      </c>
      <c r="I1491" s="255">
        <f>SUM(I1488:I1490)</f>
        <v>1.6672450000000001</v>
      </c>
      <c r="J1491" s="95"/>
      <c r="K1491" s="95"/>
      <c r="L1491" s="95"/>
      <c r="M1491" s="95"/>
      <c r="N1491" s="95"/>
      <c r="O1491" s="93"/>
    </row>
    <row r="1492" spans="1:15" x14ac:dyDescent="0.25">
      <c r="A1492" s="107"/>
      <c r="B1492" s="94"/>
      <c r="C1492" s="94"/>
      <c r="D1492" s="94"/>
      <c r="E1492" s="94"/>
      <c r="F1492" s="94"/>
      <c r="G1492" s="94"/>
      <c r="H1492" s="94"/>
      <c r="I1492" s="99"/>
      <c r="J1492" s="94"/>
      <c r="K1492" s="94"/>
      <c r="L1492" s="94"/>
      <c r="M1492" s="94"/>
      <c r="N1492" s="94"/>
      <c r="O1492" s="93"/>
    </row>
    <row r="1493" spans="1:15" ht="15.75" thickBot="1" x14ac:dyDescent="0.3">
      <c r="A1493" s="92"/>
      <c r="B1493" s="91"/>
      <c r="C1493" s="91"/>
      <c r="D1493" s="91"/>
      <c r="E1493" s="91"/>
      <c r="F1493" s="91"/>
      <c r="G1493" s="91"/>
      <c r="H1493" s="91"/>
      <c r="I1493" s="91"/>
      <c r="J1493" s="91"/>
      <c r="K1493" s="91"/>
      <c r="L1493" s="91"/>
      <c r="M1493" s="91"/>
      <c r="N1493" s="91"/>
      <c r="O1493" s="90"/>
    </row>
    <row r="1494" spans="1:15" ht="15.75" thickBot="1" x14ac:dyDescent="0.3"/>
    <row r="1495" spans="1:15" x14ac:dyDescent="0.25">
      <c r="A1495" s="141"/>
      <c r="B1495" s="140"/>
      <c r="C1495" s="140"/>
      <c r="D1495" s="140"/>
      <c r="E1495" s="140"/>
      <c r="F1495" s="140"/>
      <c r="G1495" s="140"/>
      <c r="H1495" s="140"/>
      <c r="I1495" s="140"/>
      <c r="J1495" s="272"/>
      <c r="K1495" s="140"/>
      <c r="L1495" s="140"/>
      <c r="M1495" s="140"/>
      <c r="N1495" s="140"/>
      <c r="O1495" s="139"/>
    </row>
    <row r="1496" spans="1:15" x14ac:dyDescent="0.25">
      <c r="A1496" s="267" t="s">
        <v>57</v>
      </c>
      <c r="B1496" s="133" t="s">
        <v>523</v>
      </c>
      <c r="C1496" s="94"/>
      <c r="D1496" s="94"/>
      <c r="E1496" s="94"/>
      <c r="F1496" s="94"/>
      <c r="G1496" s="94"/>
      <c r="H1496" s="94"/>
      <c r="I1496" s="94"/>
      <c r="J1496" s="271" t="s">
        <v>51</v>
      </c>
      <c r="K1496" s="138">
        <v>81</v>
      </c>
      <c r="L1496" s="94"/>
      <c r="M1496" s="267" t="s">
        <v>113</v>
      </c>
      <c r="N1496" s="100">
        <f>EN_10006_m+EN_10006_p</f>
        <v>1.7090719000000001</v>
      </c>
      <c r="O1496" s="93"/>
    </row>
    <row r="1497" spans="1:15" x14ac:dyDescent="0.25">
      <c r="A1497" s="267" t="s">
        <v>125</v>
      </c>
      <c r="B1497" s="133" t="s">
        <v>21</v>
      </c>
      <c r="C1497" s="94"/>
      <c r="D1497" s="267" t="s">
        <v>122</v>
      </c>
      <c r="E1497" s="270" t="s">
        <v>522</v>
      </c>
      <c r="F1497" s="94"/>
      <c r="G1497" s="94"/>
      <c r="H1497" s="94"/>
      <c r="I1497" s="94"/>
      <c r="J1497" s="94"/>
      <c r="K1497" s="94"/>
      <c r="L1497" s="94"/>
      <c r="M1497" s="267" t="s">
        <v>124</v>
      </c>
      <c r="N1497" s="136">
        <v>4</v>
      </c>
      <c r="O1497" s="93"/>
    </row>
    <row r="1498" spans="1:15" x14ac:dyDescent="0.25">
      <c r="A1498" s="267" t="s">
        <v>123</v>
      </c>
      <c r="B1498" s="270" t="str">
        <f>'EN Assemblies'!B533</f>
        <v>Differential</v>
      </c>
      <c r="C1498" s="94"/>
      <c r="D1498" s="267" t="s">
        <v>119</v>
      </c>
      <c r="E1498" s="94"/>
      <c r="F1498" s="94"/>
      <c r="G1498" s="94"/>
      <c r="H1498" s="94"/>
      <c r="I1498" s="94"/>
      <c r="J1498" s="268" t="s">
        <v>122</v>
      </c>
      <c r="K1498" s="94"/>
      <c r="L1498" s="94"/>
      <c r="M1498" s="94"/>
      <c r="N1498" s="94"/>
      <c r="O1498" s="93"/>
    </row>
    <row r="1499" spans="1:15" x14ac:dyDescent="0.25">
      <c r="A1499" s="267" t="s">
        <v>114</v>
      </c>
      <c r="B1499" s="135" t="s">
        <v>625</v>
      </c>
      <c r="C1499" s="94"/>
      <c r="D1499" s="267" t="s">
        <v>116</v>
      </c>
      <c r="E1499" s="94"/>
      <c r="F1499" s="94"/>
      <c r="G1499" s="94"/>
      <c r="H1499" s="94"/>
      <c r="I1499" s="94"/>
      <c r="J1499" s="268" t="s">
        <v>119</v>
      </c>
      <c r="K1499" s="94"/>
      <c r="L1499" s="94"/>
      <c r="M1499" s="267" t="s">
        <v>118</v>
      </c>
      <c r="N1499" s="100">
        <f>N1497*N1496</f>
        <v>6.8362876000000004</v>
      </c>
      <c r="O1499" s="93"/>
    </row>
    <row r="1500" spans="1:15" x14ac:dyDescent="0.25">
      <c r="A1500" s="267" t="s">
        <v>121</v>
      </c>
      <c r="B1500" s="269" t="s">
        <v>624</v>
      </c>
      <c r="C1500" s="94"/>
      <c r="D1500" s="94"/>
      <c r="E1500" s="94"/>
      <c r="F1500" s="94"/>
      <c r="G1500" s="94"/>
      <c r="H1500" s="94"/>
      <c r="I1500" s="94"/>
      <c r="J1500" s="268" t="s">
        <v>116</v>
      </c>
      <c r="K1500" s="94"/>
      <c r="L1500" s="94"/>
      <c r="M1500" s="94"/>
      <c r="N1500" s="94"/>
      <c r="O1500" s="93"/>
    </row>
    <row r="1501" spans="1:15" x14ac:dyDescent="0.25">
      <c r="A1501" s="267" t="s">
        <v>117</v>
      </c>
      <c r="B1501" s="133" t="s">
        <v>23</v>
      </c>
      <c r="C1501" s="94"/>
      <c r="D1501" s="94"/>
      <c r="E1501" s="94"/>
      <c r="F1501" s="94"/>
      <c r="G1501" s="94"/>
      <c r="H1501" s="94"/>
      <c r="I1501" s="94"/>
      <c r="J1501" s="94"/>
      <c r="K1501" s="94"/>
      <c r="L1501" s="94"/>
      <c r="M1501" s="94"/>
      <c r="N1501" s="94"/>
      <c r="O1501" s="93"/>
    </row>
    <row r="1502" spans="1:15" x14ac:dyDescent="0.25">
      <c r="A1502" s="267" t="s">
        <v>115</v>
      </c>
      <c r="B1502" s="133"/>
      <c r="C1502" s="94"/>
      <c r="D1502" s="94"/>
      <c r="E1502" s="94"/>
      <c r="F1502" s="94"/>
      <c r="G1502" s="94"/>
      <c r="H1502" s="94"/>
      <c r="I1502" s="94"/>
      <c r="J1502" s="94"/>
      <c r="K1502" s="94"/>
      <c r="L1502" s="94"/>
      <c r="M1502" s="94"/>
      <c r="N1502" s="94"/>
      <c r="O1502" s="93"/>
    </row>
    <row r="1503" spans="1:15" x14ac:dyDescent="0.25">
      <c r="A1503" s="266"/>
      <c r="B1503" s="265"/>
      <c r="C1503" s="265"/>
      <c r="D1503" s="265"/>
      <c r="E1503" s="265"/>
      <c r="F1503" s="94"/>
      <c r="G1503" s="94"/>
      <c r="H1503" s="94"/>
      <c r="I1503" s="94"/>
      <c r="J1503" s="94"/>
      <c r="K1503" s="94"/>
      <c r="L1503" s="94"/>
      <c r="M1503" s="94"/>
      <c r="N1503" s="94"/>
      <c r="O1503" s="93"/>
    </row>
    <row r="1504" spans="1:15" x14ac:dyDescent="0.25">
      <c r="A1504" s="264" t="s">
        <v>67</v>
      </c>
      <c r="B1504" s="263" t="s">
        <v>112</v>
      </c>
      <c r="C1504" s="263" t="s">
        <v>66</v>
      </c>
      <c r="D1504" s="263" t="s">
        <v>65</v>
      </c>
      <c r="E1504" s="263" t="s">
        <v>81</v>
      </c>
      <c r="F1504" s="274" t="s">
        <v>80</v>
      </c>
      <c r="G1504" s="274" t="s">
        <v>79</v>
      </c>
      <c r="H1504" s="274" t="s">
        <v>78</v>
      </c>
      <c r="I1504" s="274" t="s">
        <v>111</v>
      </c>
      <c r="J1504" s="274" t="s">
        <v>110</v>
      </c>
      <c r="K1504" s="274" t="s">
        <v>109</v>
      </c>
      <c r="L1504" s="274" t="s">
        <v>108</v>
      </c>
      <c r="M1504" s="274" t="s">
        <v>40</v>
      </c>
      <c r="N1504" s="274" t="s">
        <v>58</v>
      </c>
      <c r="O1504" s="93"/>
    </row>
    <row r="1505" spans="1:15" ht="30" x14ac:dyDescent="0.25">
      <c r="A1505" s="282">
        <v>10</v>
      </c>
      <c r="B1505" s="282" t="s">
        <v>519</v>
      </c>
      <c r="C1505" s="282" t="s">
        <v>623</v>
      </c>
      <c r="D1505" s="283">
        <v>2.25</v>
      </c>
      <c r="E1505" s="282">
        <v>20</v>
      </c>
      <c r="F1505" s="282" t="s">
        <v>68</v>
      </c>
      <c r="G1505" s="282">
        <v>3</v>
      </c>
      <c r="H1505" s="278" t="s">
        <v>68</v>
      </c>
      <c r="I1505" s="281" t="s">
        <v>622</v>
      </c>
      <c r="J1505" s="295">
        <f>E1505*G1505/1000000</f>
        <v>6.0000000000000002E-5</v>
      </c>
      <c r="K1505" s="279">
        <v>2.9000000000000001E-2</v>
      </c>
      <c r="L1505" s="319">
        <v>7860</v>
      </c>
      <c r="M1505" s="284">
        <v>1</v>
      </c>
      <c r="N1505" s="276">
        <f>IF(J1505="",D1505*M1505,D1505*J1505*K1505*L1505*M1505)</f>
        <v>3.0771900000000005E-2</v>
      </c>
      <c r="O1505" s="143"/>
    </row>
    <row r="1506" spans="1:15" x14ac:dyDescent="0.25">
      <c r="A1506" s="296">
        <v>20</v>
      </c>
      <c r="B1506" s="282" t="s">
        <v>250</v>
      </c>
      <c r="C1506" s="282" t="s">
        <v>621</v>
      </c>
      <c r="D1506" s="283">
        <v>10</v>
      </c>
      <c r="E1506" s="282">
        <f>0.02*0.03*2</f>
        <v>1.1999999999999999E-3</v>
      </c>
      <c r="F1506" s="282" t="s">
        <v>299</v>
      </c>
      <c r="G1506" s="282"/>
      <c r="H1506" s="278"/>
      <c r="I1506" s="281"/>
      <c r="J1506" s="295"/>
      <c r="K1506" s="279"/>
      <c r="L1506" s="278"/>
      <c r="M1506" s="294">
        <f>E1506</f>
        <v>1.1999999999999999E-3</v>
      </c>
      <c r="N1506" s="276">
        <f>IF(J1506="",D1506*M1506,D1506*J1506*K1506*L1506*M1506)</f>
        <v>1.1999999999999999E-2</v>
      </c>
      <c r="O1506" s="143"/>
    </row>
    <row r="1507" spans="1:15" x14ac:dyDescent="0.25">
      <c r="A1507" s="98"/>
      <c r="B1507" s="95"/>
      <c r="C1507" s="95"/>
      <c r="D1507" s="95"/>
      <c r="E1507" s="95"/>
      <c r="F1507" s="95"/>
      <c r="G1507" s="95"/>
      <c r="H1507" s="95"/>
      <c r="I1507" s="95"/>
      <c r="J1507" s="95"/>
      <c r="K1507" s="95"/>
      <c r="L1507" s="95"/>
      <c r="M1507" s="256" t="s">
        <v>58</v>
      </c>
      <c r="N1507" s="255">
        <f>SUM(N1505:N1506)</f>
        <v>4.2771900000000002E-2</v>
      </c>
      <c r="O1507" s="93"/>
    </row>
    <row r="1508" spans="1:15" x14ac:dyDescent="0.25">
      <c r="A1508" s="107"/>
      <c r="B1508" s="94"/>
      <c r="C1508" s="94"/>
      <c r="D1508" s="94"/>
      <c r="E1508" s="94"/>
      <c r="F1508" s="94"/>
      <c r="G1508" s="94"/>
      <c r="H1508" s="94"/>
      <c r="I1508" s="94"/>
      <c r="J1508" s="94"/>
      <c r="K1508" s="94"/>
      <c r="L1508" s="94"/>
      <c r="M1508" s="94"/>
      <c r="N1508" s="94"/>
      <c r="O1508" s="93"/>
    </row>
    <row r="1509" spans="1:15" x14ac:dyDescent="0.25">
      <c r="A1509" s="261" t="s">
        <v>67</v>
      </c>
      <c r="B1509" s="274" t="s">
        <v>106</v>
      </c>
      <c r="C1509" s="274" t="s">
        <v>66</v>
      </c>
      <c r="D1509" s="274" t="s">
        <v>65</v>
      </c>
      <c r="E1509" s="274" t="s">
        <v>64</v>
      </c>
      <c r="F1509" s="274" t="s">
        <v>40</v>
      </c>
      <c r="G1509" s="274" t="s">
        <v>105</v>
      </c>
      <c r="H1509" s="274" t="s">
        <v>104</v>
      </c>
      <c r="I1509" s="274" t="s">
        <v>58</v>
      </c>
      <c r="J1509" s="95"/>
      <c r="K1509" s="95"/>
      <c r="L1509" s="95"/>
      <c r="M1509" s="95"/>
      <c r="N1509" s="95"/>
      <c r="O1509" s="93"/>
    </row>
    <row r="1510" spans="1:15" ht="30" x14ac:dyDescent="0.25">
      <c r="A1510" s="340">
        <v>10</v>
      </c>
      <c r="B1510" s="339" t="s">
        <v>516</v>
      </c>
      <c r="C1510" s="285" t="s">
        <v>528</v>
      </c>
      <c r="D1510" s="283">
        <v>1.3</v>
      </c>
      <c r="E1510" s="282" t="s">
        <v>64</v>
      </c>
      <c r="F1510" s="282">
        <v>1</v>
      </c>
      <c r="G1510" s="287"/>
      <c r="H1510" s="282"/>
      <c r="I1510" s="293">
        <f>IF(H1510="",D1510*F1510,D1510*F1510*H1510)</f>
        <v>1.3</v>
      </c>
      <c r="J1510" s="142"/>
      <c r="K1510" s="142"/>
      <c r="L1510" s="142"/>
      <c r="M1510" s="142"/>
      <c r="N1510" s="142"/>
      <c r="O1510" s="120"/>
    </row>
    <row r="1511" spans="1:15" x14ac:dyDescent="0.25">
      <c r="A1511" s="282">
        <v>20</v>
      </c>
      <c r="B1511" s="285" t="s">
        <v>541</v>
      </c>
      <c r="C1511" s="291" t="s">
        <v>620</v>
      </c>
      <c r="D1511" s="283">
        <v>0.01</v>
      </c>
      <c r="E1511" s="282" t="s">
        <v>101</v>
      </c>
      <c r="F1511" s="282">
        <v>12</v>
      </c>
      <c r="G1511" s="282" t="s">
        <v>525</v>
      </c>
      <c r="H1511" s="282">
        <v>3</v>
      </c>
      <c r="I1511" s="293">
        <f>IF(H1511="",D1511*F1511,D1511*F1511*H1511)</f>
        <v>0.36</v>
      </c>
      <c r="J1511" s="94"/>
      <c r="K1511" s="94"/>
      <c r="L1511" s="94"/>
      <c r="M1511" s="94"/>
      <c r="N1511" s="94"/>
      <c r="O1511" s="93"/>
    </row>
    <row r="1512" spans="1:15" x14ac:dyDescent="0.25">
      <c r="A1512" s="282">
        <v>30</v>
      </c>
      <c r="B1512" s="285" t="s">
        <v>535</v>
      </c>
      <c r="C1512" s="285" t="s">
        <v>619</v>
      </c>
      <c r="D1512" s="283">
        <v>5.25</v>
      </c>
      <c r="E1512" s="282" t="s">
        <v>241</v>
      </c>
      <c r="F1512" s="282">
        <f>E1506</f>
        <v>1.1999999999999999E-3</v>
      </c>
      <c r="G1512" s="282"/>
      <c r="H1512" s="282"/>
      <c r="I1512" s="276">
        <f>F1512*D1512</f>
        <v>6.2999999999999992E-3</v>
      </c>
      <c r="J1512" s="99"/>
      <c r="K1512" s="99"/>
      <c r="L1512" s="99"/>
      <c r="M1512" s="99"/>
      <c r="N1512" s="99"/>
      <c r="O1512" s="130"/>
    </row>
    <row r="1513" spans="1:15" x14ac:dyDescent="0.25">
      <c r="A1513" s="98"/>
      <c r="B1513" s="95"/>
      <c r="C1513" s="95"/>
      <c r="D1513" s="95"/>
      <c r="E1513" s="95"/>
      <c r="F1513" s="95"/>
      <c r="G1513" s="95"/>
      <c r="H1513" s="256" t="s">
        <v>58</v>
      </c>
      <c r="I1513" s="255">
        <f>SUM(I1510:I1512)</f>
        <v>1.6663000000000001</v>
      </c>
      <c r="J1513" s="95"/>
      <c r="K1513" s="95"/>
      <c r="L1513" s="95"/>
      <c r="M1513" s="95"/>
      <c r="N1513" s="95"/>
      <c r="O1513" s="93"/>
    </row>
    <row r="1514" spans="1:15" x14ac:dyDescent="0.25">
      <c r="A1514" s="107"/>
      <c r="B1514" s="94"/>
      <c r="C1514" s="94"/>
      <c r="D1514" s="94"/>
      <c r="E1514" s="94"/>
      <c r="F1514" s="94"/>
      <c r="G1514" s="94"/>
      <c r="H1514" s="94"/>
      <c r="I1514" s="99"/>
      <c r="J1514" s="94"/>
      <c r="K1514" s="94"/>
      <c r="L1514" s="94"/>
      <c r="M1514" s="94"/>
      <c r="N1514" s="94"/>
      <c r="O1514" s="93"/>
    </row>
    <row r="1515" spans="1:15" ht="15.75" thickBot="1" x14ac:dyDescent="0.3">
      <c r="A1515" s="92"/>
      <c r="B1515" s="91"/>
      <c r="C1515" s="91"/>
      <c r="D1515" s="91"/>
      <c r="E1515" s="91"/>
      <c r="F1515" s="91"/>
      <c r="G1515" s="91"/>
      <c r="H1515" s="91"/>
      <c r="I1515" s="91"/>
      <c r="J1515" s="91"/>
      <c r="K1515" s="91"/>
      <c r="L1515" s="91"/>
      <c r="M1515" s="91"/>
      <c r="N1515" s="91"/>
      <c r="O1515" s="90"/>
    </row>
    <row r="1516" spans="1:15" ht="15.75" thickBot="1" x14ac:dyDescent="0.3"/>
    <row r="1517" spans="1:15" x14ac:dyDescent="0.25">
      <c r="A1517" s="141"/>
      <c r="B1517" s="140"/>
      <c r="C1517" s="140"/>
      <c r="D1517" s="140"/>
      <c r="E1517" s="140"/>
      <c r="F1517" s="140"/>
      <c r="G1517" s="140"/>
      <c r="H1517" s="140"/>
      <c r="I1517" s="140"/>
      <c r="J1517" s="272"/>
      <c r="K1517" s="140"/>
      <c r="L1517" s="140"/>
      <c r="M1517" s="140"/>
      <c r="N1517" s="140"/>
      <c r="O1517" s="139"/>
    </row>
    <row r="1518" spans="1:15" x14ac:dyDescent="0.25">
      <c r="A1518" s="267" t="s">
        <v>57</v>
      </c>
      <c r="B1518" s="133" t="s">
        <v>523</v>
      </c>
      <c r="C1518" s="94"/>
      <c r="D1518" s="94"/>
      <c r="E1518" s="94"/>
      <c r="F1518" s="94"/>
      <c r="G1518" s="94"/>
      <c r="H1518" s="94"/>
      <c r="I1518" s="94"/>
      <c r="J1518" s="271" t="s">
        <v>51</v>
      </c>
      <c r="K1518" s="138">
        <v>81</v>
      </c>
      <c r="L1518" s="94"/>
      <c r="M1518" s="267" t="s">
        <v>113</v>
      </c>
      <c r="N1518" s="100">
        <f>EN_10007_m+EN_10007_p</f>
        <v>24.323332786493054</v>
      </c>
      <c r="O1518" s="93"/>
    </row>
    <row r="1519" spans="1:15" x14ac:dyDescent="0.25">
      <c r="A1519" s="267" t="s">
        <v>125</v>
      </c>
      <c r="B1519" s="133" t="s">
        <v>21</v>
      </c>
      <c r="C1519" s="94"/>
      <c r="D1519" s="267" t="s">
        <v>122</v>
      </c>
      <c r="E1519" s="270" t="s">
        <v>522</v>
      </c>
      <c r="F1519" s="94"/>
      <c r="G1519" s="94"/>
      <c r="H1519" s="94"/>
      <c r="I1519" s="94"/>
      <c r="J1519" s="94"/>
      <c r="K1519" s="94"/>
      <c r="L1519" s="94"/>
      <c r="M1519" s="267" t="s">
        <v>124</v>
      </c>
      <c r="N1519" s="136">
        <v>1</v>
      </c>
      <c r="O1519" s="93"/>
    </row>
    <row r="1520" spans="1:15" x14ac:dyDescent="0.25">
      <c r="A1520" s="267" t="s">
        <v>123</v>
      </c>
      <c r="B1520" s="270" t="str">
        <f>'EN Assemblies'!B533</f>
        <v>Differential</v>
      </c>
      <c r="C1520" s="94"/>
      <c r="D1520" s="267" t="s">
        <v>119</v>
      </c>
      <c r="E1520" s="94"/>
      <c r="F1520" s="94"/>
      <c r="G1520" s="94"/>
      <c r="H1520" s="94"/>
      <c r="I1520" s="94"/>
      <c r="J1520" s="268" t="s">
        <v>122</v>
      </c>
      <c r="K1520" s="94"/>
      <c r="L1520" s="94"/>
      <c r="M1520" s="94"/>
      <c r="N1520" s="94"/>
      <c r="O1520" s="93"/>
    </row>
    <row r="1521" spans="1:15" x14ac:dyDescent="0.25">
      <c r="A1521" s="267" t="s">
        <v>114</v>
      </c>
      <c r="B1521" s="135" t="s">
        <v>618</v>
      </c>
      <c r="C1521" s="94"/>
      <c r="D1521" s="267" t="s">
        <v>116</v>
      </c>
      <c r="E1521" s="94"/>
      <c r="F1521" s="94"/>
      <c r="G1521" s="94"/>
      <c r="H1521" s="94"/>
      <c r="I1521" s="94"/>
      <c r="J1521" s="268" t="s">
        <v>119</v>
      </c>
      <c r="K1521" s="94"/>
      <c r="L1521" s="94"/>
      <c r="M1521" s="267" t="s">
        <v>118</v>
      </c>
      <c r="N1521" s="100">
        <f>N1519*N1518</f>
        <v>24.323332786493054</v>
      </c>
      <c r="O1521" s="93"/>
    </row>
    <row r="1522" spans="1:15" x14ac:dyDescent="0.25">
      <c r="A1522" s="267" t="s">
        <v>121</v>
      </c>
      <c r="B1522" s="269" t="s">
        <v>617</v>
      </c>
      <c r="C1522" s="94"/>
      <c r="D1522" s="94"/>
      <c r="E1522" s="94"/>
      <c r="F1522" s="94"/>
      <c r="G1522" s="94"/>
      <c r="H1522" s="94"/>
      <c r="I1522" s="94"/>
      <c r="J1522" s="268" t="s">
        <v>116</v>
      </c>
      <c r="K1522" s="94"/>
      <c r="L1522" s="94"/>
      <c r="M1522" s="94"/>
      <c r="N1522" s="94"/>
      <c r="O1522" s="93"/>
    </row>
    <row r="1523" spans="1:15" x14ac:dyDescent="0.25">
      <c r="A1523" s="267" t="s">
        <v>117</v>
      </c>
      <c r="B1523" s="133" t="s">
        <v>23</v>
      </c>
      <c r="C1523" s="94"/>
      <c r="D1523" s="94"/>
      <c r="E1523" s="94"/>
      <c r="F1523" s="94"/>
      <c r="G1523" s="94"/>
      <c r="H1523" s="94"/>
      <c r="I1523" s="94"/>
      <c r="J1523" s="94"/>
      <c r="K1523" s="94"/>
      <c r="L1523" s="94"/>
      <c r="M1523" s="94"/>
      <c r="N1523" s="94"/>
      <c r="O1523" s="93"/>
    </row>
    <row r="1524" spans="1:15" x14ac:dyDescent="0.25">
      <c r="A1524" s="267" t="s">
        <v>115</v>
      </c>
      <c r="B1524" s="133" t="s">
        <v>611</v>
      </c>
      <c r="C1524" s="94"/>
      <c r="D1524" s="94"/>
      <c r="E1524" s="94"/>
      <c r="F1524" s="94"/>
      <c r="G1524" s="94"/>
      <c r="H1524" s="94"/>
      <c r="I1524" s="94"/>
      <c r="J1524" s="94"/>
      <c r="K1524" s="94"/>
      <c r="L1524" s="94"/>
      <c r="M1524" s="94"/>
      <c r="N1524" s="94"/>
      <c r="O1524" s="93"/>
    </row>
    <row r="1525" spans="1:15" x14ac:dyDescent="0.25">
      <c r="A1525" s="266"/>
      <c r="B1525" s="265"/>
      <c r="C1525" s="265"/>
      <c r="D1525" s="265"/>
      <c r="E1525" s="265"/>
      <c r="F1525" s="94"/>
      <c r="G1525" s="94"/>
      <c r="H1525" s="94"/>
      <c r="I1525" s="94"/>
      <c r="J1525" s="94"/>
      <c r="K1525" s="94"/>
      <c r="L1525" s="94"/>
      <c r="M1525" s="94"/>
      <c r="N1525" s="94"/>
      <c r="O1525" s="93"/>
    </row>
    <row r="1526" spans="1:15" x14ac:dyDescent="0.25">
      <c r="A1526" s="264" t="s">
        <v>67</v>
      </c>
      <c r="B1526" s="263" t="s">
        <v>112</v>
      </c>
      <c r="C1526" s="263" t="s">
        <v>66</v>
      </c>
      <c r="D1526" s="263" t="s">
        <v>65</v>
      </c>
      <c r="E1526" s="263" t="s">
        <v>81</v>
      </c>
      <c r="F1526" s="274" t="s">
        <v>80</v>
      </c>
      <c r="G1526" s="274" t="s">
        <v>79</v>
      </c>
      <c r="H1526" s="274" t="s">
        <v>78</v>
      </c>
      <c r="I1526" s="274" t="s">
        <v>111</v>
      </c>
      <c r="J1526" s="274" t="s">
        <v>110</v>
      </c>
      <c r="K1526" s="274" t="s">
        <v>109</v>
      </c>
      <c r="L1526" s="274" t="s">
        <v>108</v>
      </c>
      <c r="M1526" s="274" t="s">
        <v>40</v>
      </c>
      <c r="N1526" s="274" t="s">
        <v>58</v>
      </c>
      <c r="O1526" s="93"/>
    </row>
    <row r="1527" spans="1:15" ht="30" x14ac:dyDescent="0.25">
      <c r="A1527" s="282">
        <v>10</v>
      </c>
      <c r="B1527" s="338" t="s">
        <v>610</v>
      </c>
      <c r="C1527" s="297" t="s">
        <v>616</v>
      </c>
      <c r="D1527" s="337">
        <v>3.3</v>
      </c>
      <c r="E1527" s="282"/>
      <c r="F1527" s="282"/>
      <c r="G1527" s="282"/>
      <c r="H1527" s="278"/>
      <c r="I1527" s="313" t="s">
        <v>608</v>
      </c>
      <c r="J1527" s="295">
        <f>PI()*0.073^2</f>
        <v>1.6741547250980007E-2</v>
      </c>
      <c r="K1527" s="278">
        <v>2.4E-2</v>
      </c>
      <c r="L1527" s="278">
        <v>1410</v>
      </c>
      <c r="M1527" s="302">
        <v>1</v>
      </c>
      <c r="N1527" s="276">
        <f>IF(J1527="",D1527*M1527,D1527*J1527*K1527*L1527*M1527)</f>
        <v>1.8695620646114395</v>
      </c>
      <c r="O1527" s="143"/>
    </row>
    <row r="1528" spans="1:15" x14ac:dyDescent="0.25">
      <c r="A1528" s="98"/>
      <c r="B1528" s="95"/>
      <c r="C1528" s="95"/>
      <c r="D1528" s="95"/>
      <c r="E1528" s="95"/>
      <c r="F1528" s="95"/>
      <c r="G1528" s="95"/>
      <c r="H1528" s="95"/>
      <c r="I1528" s="95"/>
      <c r="J1528" s="95"/>
      <c r="K1528" s="95"/>
      <c r="L1528" s="95"/>
      <c r="M1528" s="256" t="s">
        <v>58</v>
      </c>
      <c r="N1528" s="255">
        <f>SUM(N1527:N1527)</f>
        <v>1.8695620646114395</v>
      </c>
      <c r="O1528" s="93"/>
    </row>
    <row r="1529" spans="1:15" x14ac:dyDescent="0.25">
      <c r="A1529" s="107"/>
      <c r="B1529" s="94"/>
      <c r="C1529" s="94"/>
      <c r="D1529" s="94"/>
      <c r="E1529" s="94"/>
      <c r="F1529" s="94"/>
      <c r="G1529" s="94"/>
      <c r="H1529" s="94"/>
      <c r="I1529" s="94"/>
      <c r="J1529" s="94"/>
      <c r="K1529" s="94"/>
      <c r="L1529" s="94"/>
      <c r="M1529" s="94"/>
      <c r="N1529" s="94"/>
      <c r="O1529" s="93"/>
    </row>
    <row r="1530" spans="1:15" x14ac:dyDescent="0.25">
      <c r="A1530" s="261" t="s">
        <v>67</v>
      </c>
      <c r="B1530" s="274" t="s">
        <v>106</v>
      </c>
      <c r="C1530" s="274" t="s">
        <v>66</v>
      </c>
      <c r="D1530" s="274" t="s">
        <v>65</v>
      </c>
      <c r="E1530" s="274" t="s">
        <v>64</v>
      </c>
      <c r="F1530" s="274" t="s">
        <v>40</v>
      </c>
      <c r="G1530" s="274" t="s">
        <v>105</v>
      </c>
      <c r="H1530" s="274" t="s">
        <v>104</v>
      </c>
      <c r="I1530" s="274" t="s">
        <v>58</v>
      </c>
      <c r="J1530" s="95"/>
      <c r="K1530" s="95"/>
      <c r="L1530" s="95"/>
      <c r="M1530" s="95"/>
      <c r="N1530" s="95"/>
      <c r="O1530" s="93"/>
    </row>
    <row r="1531" spans="1:15" ht="30" x14ac:dyDescent="0.25">
      <c r="A1531" s="299">
        <v>10</v>
      </c>
      <c r="B1531" s="291" t="s">
        <v>516</v>
      </c>
      <c r="C1531" s="291" t="s">
        <v>607</v>
      </c>
      <c r="D1531" s="337">
        <v>1.3</v>
      </c>
      <c r="E1531" s="300" t="s">
        <v>64</v>
      </c>
      <c r="F1531" s="299">
        <v>1</v>
      </c>
      <c r="G1531" s="299"/>
      <c r="H1531" s="299"/>
      <c r="I1531" s="293">
        <f>IF(H1531="",D1531*F1531,D1531*F1531*H1531)</f>
        <v>1.3</v>
      </c>
      <c r="J1531" s="142"/>
      <c r="K1531" s="142"/>
      <c r="L1531" s="142"/>
      <c r="M1531" s="142"/>
      <c r="N1531" s="142"/>
      <c r="O1531" s="120"/>
    </row>
    <row r="1532" spans="1:15" x14ac:dyDescent="0.25">
      <c r="A1532" s="299">
        <v>20</v>
      </c>
      <c r="B1532" s="291" t="s">
        <v>514</v>
      </c>
      <c r="C1532" s="291" t="s">
        <v>606</v>
      </c>
      <c r="D1532" s="337">
        <v>0.04</v>
      </c>
      <c r="E1532" s="282" t="s">
        <v>512</v>
      </c>
      <c r="F1532" s="336">
        <f>J1527*K1527*1000000-261</f>
        <v>140.79713402352019</v>
      </c>
      <c r="G1532" s="300"/>
      <c r="H1532" s="299"/>
      <c r="I1532" s="293">
        <f>IF(H1532="",D1532*F1532,D1532*F1532*H1532)</f>
        <v>5.6318853609408075</v>
      </c>
      <c r="J1532" s="94"/>
      <c r="K1532" s="94"/>
      <c r="L1532" s="94"/>
      <c r="M1532" s="94"/>
      <c r="N1532" s="94"/>
      <c r="O1532" s="93"/>
    </row>
    <row r="1533" spans="1:15" ht="30" x14ac:dyDescent="0.25">
      <c r="A1533" s="299">
        <v>30</v>
      </c>
      <c r="B1533" s="291" t="s">
        <v>516</v>
      </c>
      <c r="C1533" s="291" t="s">
        <v>615</v>
      </c>
      <c r="D1533" s="337">
        <v>1.3</v>
      </c>
      <c r="E1533" s="300" t="s">
        <v>64</v>
      </c>
      <c r="F1533" s="299">
        <v>1</v>
      </c>
      <c r="G1533" s="299"/>
      <c r="H1533" s="299"/>
      <c r="I1533" s="276">
        <f>IF(H1533="",D1533*F1533,D1533*F1533*H1533)</f>
        <v>1.3</v>
      </c>
      <c r="J1533" s="99"/>
      <c r="K1533" s="99"/>
      <c r="L1533" s="99"/>
      <c r="M1533" s="99"/>
      <c r="N1533" s="99"/>
      <c r="O1533" s="130"/>
    </row>
    <row r="1534" spans="1:15" x14ac:dyDescent="0.25">
      <c r="A1534" s="299">
        <v>40</v>
      </c>
      <c r="B1534" s="291" t="s">
        <v>514</v>
      </c>
      <c r="C1534" s="291" t="s">
        <v>604</v>
      </c>
      <c r="D1534" s="337">
        <v>0.04</v>
      </c>
      <c r="E1534" s="282" t="s">
        <v>512</v>
      </c>
      <c r="F1534" s="336">
        <f>J1527*K1527*1000000-141-159</f>
        <v>101.79713402352019</v>
      </c>
      <c r="G1534" s="300"/>
      <c r="H1534" s="299"/>
      <c r="I1534" s="276">
        <f>IF(H1534="",D1534*F1534,D1534*F1534*H1534)</f>
        <v>4.0718853609408079</v>
      </c>
      <c r="J1534" s="94"/>
      <c r="K1534" s="94"/>
      <c r="L1534" s="94"/>
      <c r="M1534" s="94"/>
      <c r="N1534" s="94"/>
      <c r="O1534" s="93"/>
    </row>
    <row r="1535" spans="1:15" x14ac:dyDescent="0.25">
      <c r="A1535" s="292">
        <v>50</v>
      </c>
      <c r="B1535" s="291" t="s">
        <v>296</v>
      </c>
      <c r="C1535" s="291" t="s">
        <v>603</v>
      </c>
      <c r="D1535" s="290">
        <v>0.35</v>
      </c>
      <c r="E1535" s="289" t="s">
        <v>294</v>
      </c>
      <c r="F1535" s="336">
        <v>29</v>
      </c>
      <c r="G1535" s="300"/>
      <c r="H1535" s="299"/>
      <c r="I1535" s="276">
        <f>IF(H1535="",D1535*F1535,D1535*F1535*H1535)</f>
        <v>10.149999999999999</v>
      </c>
      <c r="J1535" s="94"/>
      <c r="K1535" s="94"/>
      <c r="L1535" s="94"/>
      <c r="M1535" s="94"/>
      <c r="N1535" s="94"/>
      <c r="O1535" s="93"/>
    </row>
    <row r="1536" spans="1:15" x14ac:dyDescent="0.25">
      <c r="A1536" s="98"/>
      <c r="B1536" s="95"/>
      <c r="C1536" s="95"/>
      <c r="D1536" s="95"/>
      <c r="E1536" s="95"/>
      <c r="F1536" s="95"/>
      <c r="G1536" s="95"/>
      <c r="H1536" s="256" t="s">
        <v>58</v>
      </c>
      <c r="I1536" s="255">
        <f>SUM(I1531:I1535)</f>
        <v>22.453770721881614</v>
      </c>
      <c r="J1536" s="95"/>
      <c r="K1536" s="95"/>
      <c r="L1536" s="95"/>
      <c r="M1536" s="95"/>
      <c r="N1536" s="95"/>
      <c r="O1536" s="93"/>
    </row>
    <row r="1537" spans="1:15" x14ac:dyDescent="0.25">
      <c r="A1537" s="107"/>
      <c r="B1537" s="94"/>
      <c r="C1537" s="94"/>
      <c r="D1537" s="94"/>
      <c r="E1537" s="94"/>
      <c r="F1537" s="94"/>
      <c r="G1537" s="94"/>
      <c r="H1537" s="94"/>
      <c r="I1537" s="99"/>
      <c r="J1537" s="94"/>
      <c r="K1537" s="94"/>
      <c r="L1537" s="94"/>
      <c r="M1537" s="94"/>
      <c r="N1537" s="94"/>
      <c r="O1537" s="93"/>
    </row>
    <row r="1538" spans="1:15" ht="15.75" thickBot="1" x14ac:dyDescent="0.3">
      <c r="A1538" s="92"/>
      <c r="B1538" s="91"/>
      <c r="C1538" s="91"/>
      <c r="D1538" s="91"/>
      <c r="E1538" s="91"/>
      <c r="F1538" s="91"/>
      <c r="G1538" s="91"/>
      <c r="H1538" s="91"/>
      <c r="I1538" s="91"/>
      <c r="J1538" s="91"/>
      <c r="K1538" s="91"/>
      <c r="L1538" s="91"/>
      <c r="M1538" s="91"/>
      <c r="N1538" s="91"/>
      <c r="O1538" s="90"/>
    </row>
    <row r="1539" spans="1:15" ht="15.75" thickBot="1" x14ac:dyDescent="0.3"/>
    <row r="1540" spans="1:15" x14ac:dyDescent="0.25">
      <c r="A1540" s="141"/>
      <c r="B1540" s="140"/>
      <c r="C1540" s="140"/>
      <c r="D1540" s="140"/>
      <c r="E1540" s="140"/>
      <c r="F1540" s="140"/>
      <c r="G1540" s="140"/>
      <c r="H1540" s="140"/>
      <c r="I1540" s="140"/>
      <c r="J1540" s="272"/>
      <c r="K1540" s="140"/>
      <c r="L1540" s="140"/>
      <c r="M1540" s="140"/>
      <c r="N1540" s="140"/>
      <c r="O1540" s="139"/>
    </row>
    <row r="1541" spans="1:15" x14ac:dyDescent="0.25">
      <c r="A1541" s="267" t="s">
        <v>57</v>
      </c>
      <c r="B1541" s="133" t="s">
        <v>523</v>
      </c>
      <c r="C1541" s="94"/>
      <c r="D1541" s="94"/>
      <c r="E1541" s="94"/>
      <c r="F1541" s="94"/>
      <c r="G1541" s="94"/>
      <c r="H1541" s="94"/>
      <c r="I1541" s="94"/>
      <c r="J1541" s="271" t="s">
        <v>51</v>
      </c>
      <c r="K1541" s="138">
        <v>81</v>
      </c>
      <c r="L1541" s="94"/>
      <c r="M1541" s="267" t="s">
        <v>113</v>
      </c>
      <c r="N1541" s="100">
        <f>EN_10008_m+EN_10008_p</f>
        <v>25.977777185367472</v>
      </c>
      <c r="O1541" s="93"/>
    </row>
    <row r="1542" spans="1:15" x14ac:dyDescent="0.25">
      <c r="A1542" s="267" t="s">
        <v>125</v>
      </c>
      <c r="B1542" s="133" t="s">
        <v>21</v>
      </c>
      <c r="C1542" s="94"/>
      <c r="D1542" s="267" t="s">
        <v>122</v>
      </c>
      <c r="E1542" s="270" t="s">
        <v>614</v>
      </c>
      <c r="F1542" s="94"/>
      <c r="G1542" s="94"/>
      <c r="H1542" s="94"/>
      <c r="I1542" s="94"/>
      <c r="J1542" s="94"/>
      <c r="K1542" s="94"/>
      <c r="L1542" s="94"/>
      <c r="M1542" s="267" t="s">
        <v>124</v>
      </c>
      <c r="N1542" s="136">
        <v>1</v>
      </c>
      <c r="O1542" s="93"/>
    </row>
    <row r="1543" spans="1:15" x14ac:dyDescent="0.25">
      <c r="A1543" s="267" t="s">
        <v>123</v>
      </c>
      <c r="B1543" s="270" t="str">
        <f>'EN Assemblies'!B533</f>
        <v>Differential</v>
      </c>
      <c r="C1543" s="94"/>
      <c r="D1543" s="267" t="s">
        <v>119</v>
      </c>
      <c r="E1543" s="94"/>
      <c r="F1543" s="94"/>
      <c r="G1543" s="94"/>
      <c r="H1543" s="94"/>
      <c r="I1543" s="94"/>
      <c r="J1543" s="268" t="s">
        <v>122</v>
      </c>
      <c r="K1543" s="94"/>
      <c r="L1543" s="94"/>
      <c r="M1543" s="94"/>
      <c r="N1543" s="94"/>
      <c r="O1543" s="93"/>
    </row>
    <row r="1544" spans="1:15" x14ac:dyDescent="0.25">
      <c r="A1544" s="267" t="s">
        <v>114</v>
      </c>
      <c r="B1544" s="135" t="s">
        <v>613</v>
      </c>
      <c r="C1544" s="94"/>
      <c r="D1544" s="267" t="s">
        <v>116</v>
      </c>
      <c r="E1544" s="94"/>
      <c r="F1544" s="94"/>
      <c r="G1544" s="94"/>
      <c r="H1544" s="94"/>
      <c r="I1544" s="94"/>
      <c r="J1544" s="268" t="s">
        <v>119</v>
      </c>
      <c r="K1544" s="94"/>
      <c r="L1544" s="94"/>
      <c r="M1544" s="267" t="s">
        <v>118</v>
      </c>
      <c r="N1544" s="100">
        <f>N1542*N1541</f>
        <v>25.977777185367472</v>
      </c>
      <c r="O1544" s="93"/>
    </row>
    <row r="1545" spans="1:15" x14ac:dyDescent="0.25">
      <c r="A1545" s="267" t="s">
        <v>121</v>
      </c>
      <c r="B1545" s="269" t="s">
        <v>612</v>
      </c>
      <c r="C1545" s="94"/>
      <c r="D1545" s="94"/>
      <c r="E1545" s="94"/>
      <c r="F1545" s="94"/>
      <c r="G1545" s="94"/>
      <c r="H1545" s="94"/>
      <c r="I1545" s="94"/>
      <c r="J1545" s="268" t="s">
        <v>116</v>
      </c>
      <c r="K1545" s="94"/>
      <c r="L1545" s="94"/>
      <c r="M1545" s="94"/>
      <c r="N1545" s="94"/>
      <c r="O1545" s="93"/>
    </row>
    <row r="1546" spans="1:15" x14ac:dyDescent="0.25">
      <c r="A1546" s="267" t="s">
        <v>117</v>
      </c>
      <c r="B1546" s="133" t="s">
        <v>23</v>
      </c>
      <c r="C1546" s="94"/>
      <c r="D1546" s="94"/>
      <c r="E1546" s="94"/>
      <c r="F1546" s="94"/>
      <c r="G1546" s="94"/>
      <c r="H1546" s="94"/>
      <c r="I1546" s="94"/>
      <c r="J1546" s="94"/>
      <c r="K1546" s="94"/>
      <c r="L1546" s="94"/>
      <c r="M1546" s="94"/>
      <c r="N1546" s="94"/>
      <c r="O1546" s="93"/>
    </row>
    <row r="1547" spans="1:15" x14ac:dyDescent="0.25">
      <c r="A1547" s="267" t="s">
        <v>115</v>
      </c>
      <c r="B1547" s="133" t="s">
        <v>611</v>
      </c>
      <c r="C1547" s="94"/>
      <c r="D1547" s="94"/>
      <c r="E1547" s="94"/>
      <c r="F1547" s="94"/>
      <c r="G1547" s="94"/>
      <c r="H1547" s="94"/>
      <c r="I1547" s="94"/>
      <c r="J1547" s="94"/>
      <c r="K1547" s="94"/>
      <c r="L1547" s="94"/>
      <c r="M1547" s="94"/>
      <c r="N1547" s="94"/>
      <c r="O1547" s="93"/>
    </row>
    <row r="1548" spans="1:15" x14ac:dyDescent="0.25">
      <c r="A1548" s="266"/>
      <c r="B1548" s="265"/>
      <c r="C1548" s="265"/>
      <c r="D1548" s="265"/>
      <c r="E1548" s="265"/>
      <c r="F1548" s="94"/>
      <c r="G1548" s="94"/>
      <c r="H1548" s="94"/>
      <c r="I1548" s="94"/>
      <c r="J1548" s="94"/>
      <c r="K1548" s="94"/>
      <c r="L1548" s="94"/>
      <c r="M1548" s="94"/>
      <c r="N1548" s="94"/>
      <c r="O1548" s="93"/>
    </row>
    <row r="1549" spans="1:15" x14ac:dyDescent="0.25">
      <c r="A1549" s="264" t="s">
        <v>67</v>
      </c>
      <c r="B1549" s="263" t="s">
        <v>112</v>
      </c>
      <c r="C1549" s="263" t="s">
        <v>66</v>
      </c>
      <c r="D1549" s="263" t="s">
        <v>65</v>
      </c>
      <c r="E1549" s="263" t="s">
        <v>81</v>
      </c>
      <c r="F1549" s="274" t="s">
        <v>80</v>
      </c>
      <c r="G1549" s="274" t="s">
        <v>79</v>
      </c>
      <c r="H1549" s="274" t="s">
        <v>78</v>
      </c>
      <c r="I1549" s="274" t="s">
        <v>111</v>
      </c>
      <c r="J1549" s="274" t="s">
        <v>110</v>
      </c>
      <c r="K1549" s="274" t="s">
        <v>109</v>
      </c>
      <c r="L1549" s="274" t="s">
        <v>108</v>
      </c>
      <c r="M1549" s="274" t="s">
        <v>40</v>
      </c>
      <c r="N1549" s="274" t="s">
        <v>58</v>
      </c>
      <c r="O1549" s="93"/>
    </row>
    <row r="1550" spans="1:15" ht="30" x14ac:dyDescent="0.25">
      <c r="A1550" s="282">
        <v>10</v>
      </c>
      <c r="B1550" s="338" t="s">
        <v>610</v>
      </c>
      <c r="C1550" s="297" t="s">
        <v>609</v>
      </c>
      <c r="D1550" s="337">
        <v>3.3</v>
      </c>
      <c r="E1550" s="282"/>
      <c r="F1550" s="282"/>
      <c r="G1550" s="282"/>
      <c r="H1550" s="278"/>
      <c r="I1550" s="313" t="s">
        <v>608</v>
      </c>
      <c r="J1550" s="295">
        <f>PI()*0.073^2</f>
        <v>1.6741547250980007E-2</v>
      </c>
      <c r="K1550" s="278">
        <v>2.5999999999999999E-2</v>
      </c>
      <c r="L1550" s="278">
        <v>1410</v>
      </c>
      <c r="M1550" s="302">
        <v>1</v>
      </c>
      <c r="N1550" s="276">
        <f>IF(J1550="",D1550*M1550,D1550*J1550*K1550*L1550*M1550)</f>
        <v>2.0253589033290593</v>
      </c>
      <c r="O1550" s="143"/>
    </row>
    <row r="1551" spans="1:15" x14ac:dyDescent="0.25">
      <c r="A1551" s="98"/>
      <c r="B1551" s="95"/>
      <c r="C1551" s="95"/>
      <c r="D1551" s="95"/>
      <c r="E1551" s="95"/>
      <c r="F1551" s="95"/>
      <c r="G1551" s="95"/>
      <c r="H1551" s="95"/>
      <c r="I1551" s="95"/>
      <c r="J1551" s="95"/>
      <c r="K1551" s="95"/>
      <c r="L1551" s="95"/>
      <c r="M1551" s="256" t="s">
        <v>58</v>
      </c>
      <c r="N1551" s="255">
        <f>SUM(N1550:N1550)</f>
        <v>2.0253589033290593</v>
      </c>
      <c r="O1551" s="93"/>
    </row>
    <row r="1552" spans="1:15" x14ac:dyDescent="0.25">
      <c r="A1552" s="107"/>
      <c r="B1552" s="94"/>
      <c r="C1552" s="94"/>
      <c r="D1552" s="94"/>
      <c r="E1552" s="94"/>
      <c r="F1552" s="94"/>
      <c r="G1552" s="94"/>
      <c r="H1552" s="94"/>
      <c r="I1552" s="94"/>
      <c r="J1552" s="94"/>
      <c r="K1552" s="94"/>
      <c r="L1552" s="94"/>
      <c r="M1552" s="94"/>
      <c r="N1552" s="94"/>
      <c r="O1552" s="93"/>
    </row>
    <row r="1553" spans="1:15" x14ac:dyDescent="0.25">
      <c r="A1553" s="261" t="s">
        <v>67</v>
      </c>
      <c r="B1553" s="274" t="s">
        <v>106</v>
      </c>
      <c r="C1553" s="274" t="s">
        <v>66</v>
      </c>
      <c r="D1553" s="274" t="s">
        <v>65</v>
      </c>
      <c r="E1553" s="274" t="s">
        <v>64</v>
      </c>
      <c r="F1553" s="274" t="s">
        <v>40</v>
      </c>
      <c r="G1553" s="274" t="s">
        <v>105</v>
      </c>
      <c r="H1553" s="274" t="s">
        <v>104</v>
      </c>
      <c r="I1553" s="274" t="s">
        <v>58</v>
      </c>
      <c r="J1553" s="95"/>
      <c r="K1553" s="95"/>
      <c r="L1553" s="95"/>
      <c r="M1553" s="95"/>
      <c r="N1553" s="95"/>
      <c r="O1553" s="93"/>
    </row>
    <row r="1554" spans="1:15" ht="30" x14ac:dyDescent="0.25">
      <c r="A1554" s="299">
        <v>10</v>
      </c>
      <c r="B1554" s="291" t="s">
        <v>516</v>
      </c>
      <c r="C1554" s="291" t="s">
        <v>607</v>
      </c>
      <c r="D1554" s="337">
        <v>1.3</v>
      </c>
      <c r="E1554" s="309" t="s">
        <v>64</v>
      </c>
      <c r="F1554" s="299">
        <v>1</v>
      </c>
      <c r="G1554" s="299"/>
      <c r="H1554" s="299"/>
      <c r="I1554" s="293">
        <f>IF(H1554="",D1554*F1554,D1554*F1554*H1554)</f>
        <v>1.3</v>
      </c>
      <c r="J1554" s="142"/>
      <c r="K1554" s="142"/>
      <c r="L1554" s="142"/>
      <c r="M1554" s="142"/>
      <c r="N1554" s="142"/>
      <c r="O1554" s="120"/>
    </row>
    <row r="1555" spans="1:15" x14ac:dyDescent="0.25">
      <c r="A1555" s="299">
        <v>20</v>
      </c>
      <c r="B1555" s="291" t="s">
        <v>514</v>
      </c>
      <c r="C1555" s="291" t="s">
        <v>606</v>
      </c>
      <c r="D1555" s="337">
        <v>0.04</v>
      </c>
      <c r="E1555" s="282" t="s">
        <v>512</v>
      </c>
      <c r="F1555" s="336">
        <f>J1550*K1550*1000000-251</f>
        <v>184.28022852548014</v>
      </c>
      <c r="G1555" s="300"/>
      <c r="H1555" s="299"/>
      <c r="I1555" s="293">
        <f>IF(H1555="",D1555*F1555,D1555*F1555*H1555)</f>
        <v>7.3712091410192055</v>
      </c>
      <c r="J1555" s="94"/>
      <c r="K1555" s="94"/>
      <c r="L1555" s="94"/>
      <c r="M1555" s="94"/>
      <c r="N1555" s="94"/>
      <c r="O1555" s="93"/>
    </row>
    <row r="1556" spans="1:15" ht="30" x14ac:dyDescent="0.25">
      <c r="A1556" s="299">
        <v>30</v>
      </c>
      <c r="B1556" s="291" t="s">
        <v>516</v>
      </c>
      <c r="C1556" s="291" t="s">
        <v>605</v>
      </c>
      <c r="D1556" s="337">
        <v>1.3</v>
      </c>
      <c r="E1556" s="309" t="s">
        <v>64</v>
      </c>
      <c r="F1556" s="299">
        <v>1</v>
      </c>
      <c r="G1556" s="299"/>
      <c r="H1556" s="299"/>
      <c r="I1556" s="276">
        <f>IF(H1556="",D1556*F1556,D1556*F1556*H1556)</f>
        <v>1.3</v>
      </c>
      <c r="J1556" s="99"/>
      <c r="K1556" s="99"/>
      <c r="L1556" s="99"/>
      <c r="M1556" s="99"/>
      <c r="N1556" s="99"/>
      <c r="O1556" s="130"/>
    </row>
    <row r="1557" spans="1:15" x14ac:dyDescent="0.25">
      <c r="A1557" s="299">
        <v>40</v>
      </c>
      <c r="B1557" s="291" t="s">
        <v>514</v>
      </c>
      <c r="C1557" s="291" t="s">
        <v>604</v>
      </c>
      <c r="D1557" s="337">
        <v>0.04</v>
      </c>
      <c r="E1557" s="282" t="s">
        <v>512</v>
      </c>
      <c r="F1557" s="336">
        <f>J1550*K1550*1000000-184-138</f>
        <v>113.28022852548014</v>
      </c>
      <c r="G1557" s="300"/>
      <c r="H1557" s="299"/>
      <c r="I1557" s="276">
        <f>IF(H1557="",D1557*F1557,D1557*F1557*H1557)</f>
        <v>4.5312091410192057</v>
      </c>
      <c r="J1557" s="94"/>
      <c r="K1557" s="94"/>
      <c r="L1557" s="94"/>
      <c r="M1557" s="94"/>
      <c r="N1557" s="94"/>
      <c r="O1557" s="93"/>
    </row>
    <row r="1558" spans="1:15" x14ac:dyDescent="0.25">
      <c r="A1558" s="292">
        <v>50</v>
      </c>
      <c r="B1558" s="291" t="s">
        <v>296</v>
      </c>
      <c r="C1558" s="291" t="s">
        <v>603</v>
      </c>
      <c r="D1558" s="290">
        <v>0.35</v>
      </c>
      <c r="E1558" s="289" t="s">
        <v>294</v>
      </c>
      <c r="F1558" s="336">
        <v>27</v>
      </c>
      <c r="G1558" s="300"/>
      <c r="H1558" s="299"/>
      <c r="I1558" s="276">
        <f>IF(H1558="",D1558*F1558,D1558*F1558*H1558)</f>
        <v>9.4499999999999993</v>
      </c>
      <c r="J1558" s="94"/>
      <c r="K1558" s="94"/>
      <c r="L1558" s="94"/>
      <c r="M1558" s="94"/>
      <c r="N1558" s="94"/>
      <c r="O1558" s="93"/>
    </row>
    <row r="1559" spans="1:15" x14ac:dyDescent="0.25">
      <c r="A1559" s="98"/>
      <c r="B1559" s="95"/>
      <c r="C1559" s="95"/>
      <c r="D1559" s="95"/>
      <c r="E1559" s="95"/>
      <c r="F1559" s="95"/>
      <c r="G1559" s="95"/>
      <c r="H1559" s="256" t="s">
        <v>58</v>
      </c>
      <c r="I1559" s="255">
        <f>SUM(I1554:I1558)</f>
        <v>23.952418282038412</v>
      </c>
      <c r="J1559" s="95"/>
      <c r="K1559" s="95"/>
      <c r="L1559" s="95"/>
      <c r="M1559" s="95"/>
      <c r="N1559" s="95"/>
      <c r="O1559" s="93"/>
    </row>
    <row r="1560" spans="1:15" x14ac:dyDescent="0.25">
      <c r="A1560" s="107"/>
      <c r="B1560" s="94"/>
      <c r="C1560" s="94"/>
      <c r="D1560" s="94"/>
      <c r="E1560" s="94"/>
      <c r="F1560" s="94"/>
      <c r="G1560" s="94"/>
      <c r="H1560" s="94"/>
      <c r="I1560" s="99"/>
      <c r="J1560" s="94"/>
      <c r="K1560" s="94"/>
      <c r="L1560" s="94"/>
      <c r="M1560" s="94"/>
      <c r="N1560" s="94"/>
      <c r="O1560" s="93"/>
    </row>
    <row r="1561" spans="1:15" ht="15.75" thickBot="1" x14ac:dyDescent="0.3">
      <c r="A1561" s="92"/>
      <c r="B1561" s="91"/>
      <c r="C1561" s="91"/>
      <c r="D1561" s="91"/>
      <c r="E1561" s="91"/>
      <c r="F1561" s="91"/>
      <c r="G1561" s="91"/>
      <c r="H1561" s="91"/>
      <c r="I1561" s="91"/>
      <c r="J1561" s="91"/>
      <c r="K1561" s="91"/>
      <c r="L1561" s="91"/>
      <c r="M1561" s="91"/>
      <c r="N1561" s="91"/>
      <c r="O1561" s="90"/>
    </row>
    <row r="1562" spans="1:15" ht="15.75" thickBot="1" x14ac:dyDescent="0.3"/>
    <row r="1563" spans="1:15" x14ac:dyDescent="0.25">
      <c r="A1563" s="141"/>
      <c r="B1563" s="140"/>
      <c r="C1563" s="140"/>
      <c r="D1563" s="140"/>
      <c r="E1563" s="140"/>
      <c r="F1563" s="140"/>
      <c r="G1563" s="140"/>
      <c r="H1563" s="140"/>
      <c r="I1563" s="140"/>
      <c r="J1563" s="272"/>
      <c r="K1563" s="140"/>
      <c r="L1563" s="140"/>
      <c r="M1563" s="140"/>
      <c r="N1563" s="140"/>
      <c r="O1563" s="139"/>
    </row>
    <row r="1564" spans="1:15" x14ac:dyDescent="0.25">
      <c r="A1564" s="267" t="s">
        <v>57</v>
      </c>
      <c r="B1564" s="133" t="s">
        <v>523</v>
      </c>
      <c r="C1564" s="94"/>
      <c r="D1564" s="94"/>
      <c r="E1564" s="94"/>
      <c r="F1564" s="94"/>
      <c r="G1564" s="94"/>
      <c r="H1564" s="94"/>
      <c r="I1564" s="94"/>
      <c r="J1564" s="271" t="s">
        <v>51</v>
      </c>
      <c r="K1564" s="138">
        <v>81</v>
      </c>
      <c r="L1564" s="94"/>
      <c r="M1564" s="267" t="s">
        <v>113</v>
      </c>
      <c r="N1564" s="100">
        <f>EN_11001_m+EN_11001_p</f>
        <v>67.540719617338567</v>
      </c>
      <c r="O1564" s="93"/>
    </row>
    <row r="1565" spans="1:15" x14ac:dyDescent="0.25">
      <c r="A1565" s="267" t="s">
        <v>125</v>
      </c>
      <c r="B1565" s="133" t="s">
        <v>21</v>
      </c>
      <c r="C1565" s="94"/>
      <c r="D1565" s="267" t="s">
        <v>122</v>
      </c>
      <c r="E1565" s="94"/>
      <c r="F1565" s="94"/>
      <c r="G1565" s="94"/>
      <c r="H1565" s="94"/>
      <c r="I1565" s="94"/>
      <c r="J1565" s="94"/>
      <c r="K1565" s="94"/>
      <c r="L1565" s="94"/>
      <c r="M1565" s="267" t="s">
        <v>124</v>
      </c>
      <c r="N1565" s="136">
        <v>2</v>
      </c>
      <c r="O1565" s="93"/>
    </row>
    <row r="1566" spans="1:15" x14ac:dyDescent="0.25">
      <c r="A1566" s="267" t="s">
        <v>123</v>
      </c>
      <c r="B1566" s="323" t="str">
        <f>'EN Assemblies'!B587</f>
        <v>Driveshaft</v>
      </c>
      <c r="C1566" s="94"/>
      <c r="D1566" s="267" t="s">
        <v>119</v>
      </c>
      <c r="E1566" s="94"/>
      <c r="F1566" s="94"/>
      <c r="G1566" s="94"/>
      <c r="H1566" s="94"/>
      <c r="I1566" s="94"/>
      <c r="J1566" s="268" t="s">
        <v>122</v>
      </c>
      <c r="K1566" s="94"/>
      <c r="L1566" s="94"/>
      <c r="M1566" s="94"/>
      <c r="N1566" s="94"/>
      <c r="O1566" s="93"/>
    </row>
    <row r="1567" spans="1:15" x14ac:dyDescent="0.25">
      <c r="A1567" s="267" t="s">
        <v>114</v>
      </c>
      <c r="B1567" s="135" t="s">
        <v>602</v>
      </c>
      <c r="C1567" s="94"/>
      <c r="D1567" s="267" t="s">
        <v>116</v>
      </c>
      <c r="E1567" s="94"/>
      <c r="F1567" s="94"/>
      <c r="G1567" s="94"/>
      <c r="H1567" s="94"/>
      <c r="I1567" s="94"/>
      <c r="J1567" s="268" t="s">
        <v>119</v>
      </c>
      <c r="K1567" s="94"/>
      <c r="L1567" s="94"/>
      <c r="M1567" s="267" t="s">
        <v>118</v>
      </c>
      <c r="N1567" s="100">
        <f>N1565*N1564</f>
        <v>135.08143923467713</v>
      </c>
      <c r="O1567" s="93"/>
    </row>
    <row r="1568" spans="1:15" x14ac:dyDescent="0.25">
      <c r="A1568" s="267" t="s">
        <v>121</v>
      </c>
      <c r="B1568" s="269" t="s">
        <v>601</v>
      </c>
      <c r="C1568" s="94"/>
      <c r="D1568" s="94"/>
      <c r="E1568" s="94"/>
      <c r="F1568" s="94"/>
      <c r="G1568" s="94"/>
      <c r="H1568" s="94"/>
      <c r="I1568" s="94"/>
      <c r="J1568" s="268" t="s">
        <v>116</v>
      </c>
      <c r="K1568" s="94"/>
      <c r="L1568" s="94"/>
      <c r="M1568" s="94"/>
      <c r="N1568" s="94"/>
      <c r="O1568" s="93"/>
    </row>
    <row r="1569" spans="1:15" x14ac:dyDescent="0.25">
      <c r="A1569" s="267" t="s">
        <v>117</v>
      </c>
      <c r="B1569" s="133" t="s">
        <v>23</v>
      </c>
      <c r="C1569" s="94"/>
      <c r="D1569" s="94"/>
      <c r="E1569" s="94"/>
      <c r="F1569" s="94"/>
      <c r="G1569" s="94"/>
      <c r="H1569" s="94"/>
      <c r="I1569" s="94"/>
      <c r="J1569" s="94"/>
      <c r="K1569" s="94"/>
      <c r="L1569" s="94"/>
      <c r="M1569" s="94"/>
      <c r="N1569" s="94"/>
      <c r="O1569" s="93"/>
    </row>
    <row r="1570" spans="1:15" x14ac:dyDescent="0.25">
      <c r="A1570" s="267" t="s">
        <v>115</v>
      </c>
      <c r="B1570" s="133"/>
      <c r="C1570" s="94"/>
      <c r="D1570" s="94"/>
      <c r="E1570" s="94"/>
      <c r="F1570" s="94"/>
      <c r="G1570" s="94"/>
      <c r="H1570" s="94"/>
      <c r="I1570" s="94"/>
      <c r="J1570" s="94"/>
      <c r="K1570" s="94"/>
      <c r="L1570" s="94"/>
      <c r="M1570" s="94"/>
      <c r="N1570" s="94"/>
      <c r="O1570" s="93"/>
    </row>
    <row r="1571" spans="1:15" x14ac:dyDescent="0.25">
      <c r="A1571" s="266"/>
      <c r="B1571" s="265"/>
      <c r="C1571" s="265"/>
      <c r="D1571" s="265"/>
      <c r="E1571" s="265"/>
      <c r="F1571" s="94"/>
      <c r="G1571" s="94"/>
      <c r="H1571" s="94"/>
      <c r="I1571" s="94"/>
      <c r="J1571" s="94"/>
      <c r="K1571" s="94"/>
      <c r="L1571" s="94"/>
      <c r="M1571" s="94"/>
      <c r="N1571" s="94"/>
      <c r="O1571" s="93"/>
    </row>
    <row r="1572" spans="1:15" x14ac:dyDescent="0.25">
      <c r="A1572" s="264" t="s">
        <v>67</v>
      </c>
      <c r="B1572" s="263" t="s">
        <v>112</v>
      </c>
      <c r="C1572" s="263" t="s">
        <v>66</v>
      </c>
      <c r="D1572" s="263" t="s">
        <v>65</v>
      </c>
      <c r="E1572" s="263" t="s">
        <v>81</v>
      </c>
      <c r="F1572" s="274" t="s">
        <v>80</v>
      </c>
      <c r="G1572" s="274" t="s">
        <v>79</v>
      </c>
      <c r="H1572" s="274" t="s">
        <v>78</v>
      </c>
      <c r="I1572" s="274" t="s">
        <v>111</v>
      </c>
      <c r="J1572" s="274" t="s">
        <v>110</v>
      </c>
      <c r="K1572" s="274" t="s">
        <v>109</v>
      </c>
      <c r="L1572" s="274" t="s">
        <v>108</v>
      </c>
      <c r="M1572" s="274" t="s">
        <v>40</v>
      </c>
      <c r="N1572" s="274" t="s">
        <v>58</v>
      </c>
      <c r="O1572" s="93"/>
    </row>
    <row r="1573" spans="1:15" x14ac:dyDescent="0.25">
      <c r="A1573" s="315">
        <v>10</v>
      </c>
      <c r="B1573" s="298" t="s">
        <v>583</v>
      </c>
      <c r="C1573" s="297" t="s">
        <v>600</v>
      </c>
      <c r="D1573" s="290">
        <v>2.25</v>
      </c>
      <c r="E1573" s="315"/>
      <c r="F1573" s="315"/>
      <c r="G1573" s="315"/>
      <c r="H1573" s="314"/>
      <c r="I1573" s="313" t="s">
        <v>599</v>
      </c>
      <c r="J1573" s="312">
        <f>PI()*0.0655^2/4</f>
        <v>3.369554470515903E-3</v>
      </c>
      <c r="K1573" s="311">
        <v>0.157</v>
      </c>
      <c r="L1573" s="319">
        <v>7860</v>
      </c>
      <c r="M1573" s="335">
        <v>1</v>
      </c>
      <c r="N1573" s="276">
        <f>IF(J1573="",D1573*M1573,D1573*J1573*K1573*L1573*M1573)</f>
        <v>9.355719617338579</v>
      </c>
      <c r="O1573" s="143"/>
    </row>
    <row r="1574" spans="1:15" x14ac:dyDescent="0.25">
      <c r="A1574" s="98"/>
      <c r="B1574" s="95"/>
      <c r="C1574" s="95"/>
      <c r="D1574" s="95"/>
      <c r="E1574" s="95"/>
      <c r="F1574" s="95"/>
      <c r="G1574" s="95"/>
      <c r="H1574" s="95"/>
      <c r="I1574" s="95"/>
      <c r="J1574" s="95"/>
      <c r="K1574" s="95"/>
      <c r="L1574" s="95"/>
      <c r="M1574" s="256" t="s">
        <v>58</v>
      </c>
      <c r="N1574" s="255">
        <f>SUM(N1573:N1573)</f>
        <v>9.355719617338579</v>
      </c>
      <c r="O1574" s="93"/>
    </row>
    <row r="1575" spans="1:15" x14ac:dyDescent="0.25">
      <c r="A1575" s="107"/>
      <c r="B1575" s="94"/>
      <c r="C1575" s="94"/>
      <c r="D1575" s="94"/>
      <c r="E1575" s="94"/>
      <c r="F1575" s="94"/>
      <c r="G1575" s="94"/>
      <c r="H1575" s="94"/>
      <c r="I1575" s="94"/>
      <c r="J1575" s="94"/>
      <c r="K1575" s="94"/>
      <c r="L1575" s="94"/>
      <c r="M1575" s="94"/>
      <c r="N1575" s="94"/>
      <c r="O1575" s="93"/>
    </row>
    <row r="1576" spans="1:15" x14ac:dyDescent="0.25">
      <c r="A1576" s="261" t="s">
        <v>67</v>
      </c>
      <c r="B1576" s="274" t="s">
        <v>106</v>
      </c>
      <c r="C1576" s="274" t="s">
        <v>66</v>
      </c>
      <c r="D1576" s="274" t="s">
        <v>65</v>
      </c>
      <c r="E1576" s="274" t="s">
        <v>64</v>
      </c>
      <c r="F1576" s="274" t="s">
        <v>40</v>
      </c>
      <c r="G1576" s="274" t="s">
        <v>105</v>
      </c>
      <c r="H1576" s="274" t="s">
        <v>104</v>
      </c>
      <c r="I1576" s="274" t="s">
        <v>58</v>
      </c>
      <c r="J1576" s="95"/>
      <c r="K1576" s="95"/>
      <c r="L1576" s="95"/>
      <c r="M1576" s="95"/>
      <c r="N1576" s="95"/>
      <c r="O1576" s="93"/>
    </row>
    <row r="1577" spans="1:15" ht="30" x14ac:dyDescent="0.25">
      <c r="A1577" s="331">
        <v>10</v>
      </c>
      <c r="B1577" s="326" t="s">
        <v>516</v>
      </c>
      <c r="C1577" s="330" t="s">
        <v>594</v>
      </c>
      <c r="D1577" s="334">
        <v>1.3</v>
      </c>
      <c r="E1577" s="326" t="s">
        <v>64</v>
      </c>
      <c r="F1577" s="331">
        <v>1</v>
      </c>
      <c r="G1577" s="331"/>
      <c r="H1577" s="331"/>
      <c r="I1577" s="293">
        <f>IF(H1577="",D1577*F1577,D1577*F1577*H1577)</f>
        <v>1.3</v>
      </c>
      <c r="J1577" s="142"/>
      <c r="K1577" s="142"/>
      <c r="L1577" s="142"/>
      <c r="M1577" s="142"/>
      <c r="N1577" s="142"/>
      <c r="O1577" s="120"/>
    </row>
    <row r="1578" spans="1:15" x14ac:dyDescent="0.25">
      <c r="A1578" s="328">
        <v>20</v>
      </c>
      <c r="B1578" s="330" t="s">
        <v>514</v>
      </c>
      <c r="C1578" s="330" t="s">
        <v>593</v>
      </c>
      <c r="D1578" s="329">
        <v>0.04</v>
      </c>
      <c r="E1578" s="328" t="s">
        <v>512</v>
      </c>
      <c r="F1578" s="333">
        <v>453</v>
      </c>
      <c r="G1578" s="332" t="s">
        <v>511</v>
      </c>
      <c r="H1578" s="325">
        <v>3</v>
      </c>
      <c r="I1578" s="293">
        <f>IF(H1578="",D1578*F1578,D1578*F1578*H1578)</f>
        <v>54.36</v>
      </c>
      <c r="J1578" s="94"/>
      <c r="K1578" s="94"/>
      <c r="L1578" s="94"/>
      <c r="M1578" s="94"/>
      <c r="N1578" s="94"/>
      <c r="O1578" s="93"/>
    </row>
    <row r="1579" spans="1:15" ht="30" x14ac:dyDescent="0.25">
      <c r="A1579" s="331">
        <v>30</v>
      </c>
      <c r="B1579" s="330" t="s">
        <v>516</v>
      </c>
      <c r="C1579" s="330" t="s">
        <v>592</v>
      </c>
      <c r="D1579" s="329">
        <v>1.3</v>
      </c>
      <c r="E1579" s="326" t="s">
        <v>64</v>
      </c>
      <c r="F1579" s="325">
        <v>1</v>
      </c>
      <c r="G1579" s="325"/>
      <c r="H1579" s="325"/>
      <c r="I1579" s="276">
        <f>IF(H1579="",D1579*F1579,D1579*F1579*H1579)</f>
        <v>1.3</v>
      </c>
      <c r="J1579" s="99"/>
      <c r="K1579" s="99"/>
      <c r="L1579" s="99"/>
      <c r="M1579" s="99"/>
      <c r="N1579" s="99"/>
      <c r="O1579" s="130"/>
    </row>
    <row r="1580" spans="1:15" x14ac:dyDescent="0.25">
      <c r="A1580" s="328">
        <v>40</v>
      </c>
      <c r="B1580" s="330" t="s">
        <v>577</v>
      </c>
      <c r="C1580" s="330" t="s">
        <v>591</v>
      </c>
      <c r="D1580" s="329">
        <v>0.5</v>
      </c>
      <c r="E1580" s="328" t="s">
        <v>101</v>
      </c>
      <c r="F1580" s="327">
        <v>2.4500000000000002</v>
      </c>
      <c r="G1580" s="326"/>
      <c r="H1580" s="325"/>
      <c r="I1580" s="276">
        <f>IF(H1580="",D1580*F1580,D1580*F1580*H1580)</f>
        <v>1.2250000000000001</v>
      </c>
      <c r="J1580" s="94"/>
      <c r="K1580" s="94"/>
      <c r="L1580" s="94"/>
      <c r="M1580" s="94"/>
      <c r="N1580" s="94"/>
      <c r="O1580" s="93"/>
    </row>
    <row r="1581" spans="1:15" x14ac:dyDescent="0.25">
      <c r="A1581" s="98"/>
      <c r="B1581" s="95"/>
      <c r="C1581" s="95"/>
      <c r="D1581" s="95"/>
      <c r="E1581" s="95"/>
      <c r="F1581" s="95"/>
      <c r="G1581" s="95"/>
      <c r="H1581" s="256" t="s">
        <v>58</v>
      </c>
      <c r="I1581" s="255">
        <f>SUM(I1577:I1580)</f>
        <v>58.184999999999995</v>
      </c>
      <c r="J1581" s="95"/>
      <c r="K1581" s="95"/>
      <c r="L1581" s="95"/>
      <c r="M1581" s="95"/>
      <c r="N1581" s="95"/>
      <c r="O1581" s="93"/>
    </row>
    <row r="1582" spans="1:15" x14ac:dyDescent="0.25">
      <c r="A1582" s="107"/>
      <c r="B1582" s="94"/>
      <c r="C1582" s="94"/>
      <c r="D1582" s="94"/>
      <c r="E1582" s="94"/>
      <c r="F1582" s="94"/>
      <c r="G1582" s="94"/>
      <c r="H1582" s="94"/>
      <c r="I1582" s="99"/>
      <c r="J1582" s="94"/>
      <c r="K1582" s="94"/>
      <c r="L1582" s="94"/>
      <c r="M1582" s="94"/>
      <c r="N1582" s="94"/>
      <c r="O1582" s="93"/>
    </row>
    <row r="1583" spans="1:15" ht="15.75" thickBot="1" x14ac:dyDescent="0.3">
      <c r="A1583" s="92"/>
      <c r="B1583" s="91"/>
      <c r="C1583" s="91"/>
      <c r="D1583" s="91"/>
      <c r="E1583" s="91"/>
      <c r="F1583" s="91"/>
      <c r="G1583" s="91"/>
      <c r="H1583" s="91"/>
      <c r="I1583" s="91"/>
      <c r="J1583" s="91"/>
      <c r="K1583" s="91"/>
      <c r="L1583" s="91"/>
      <c r="M1583" s="91"/>
      <c r="N1583" s="91"/>
      <c r="O1583" s="90"/>
    </row>
    <row r="1584" spans="1:15" ht="15.75" thickBot="1" x14ac:dyDescent="0.3"/>
    <row r="1585" spans="1:15" x14ac:dyDescent="0.25">
      <c r="A1585" s="141"/>
      <c r="B1585" s="140"/>
      <c r="C1585" s="140"/>
      <c r="D1585" s="140"/>
      <c r="E1585" s="140"/>
      <c r="F1585" s="140"/>
      <c r="G1585" s="140"/>
      <c r="H1585" s="140"/>
      <c r="I1585" s="140"/>
      <c r="J1585" s="272"/>
      <c r="K1585" s="140"/>
      <c r="L1585" s="140"/>
      <c r="M1585" s="140"/>
      <c r="N1585" s="140"/>
      <c r="O1585" s="139"/>
    </row>
    <row r="1586" spans="1:15" x14ac:dyDescent="0.25">
      <c r="A1586" s="267" t="s">
        <v>57</v>
      </c>
      <c r="B1586" s="133" t="s">
        <v>523</v>
      </c>
      <c r="C1586" s="94"/>
      <c r="D1586" s="94"/>
      <c r="E1586" s="94"/>
      <c r="F1586" s="94"/>
      <c r="G1586" s="94"/>
      <c r="H1586" s="94"/>
      <c r="I1586" s="94"/>
      <c r="J1586" s="271" t="s">
        <v>51</v>
      </c>
      <c r="K1586" s="138">
        <v>81</v>
      </c>
      <c r="L1586" s="94"/>
      <c r="M1586" s="267" t="s">
        <v>113</v>
      </c>
      <c r="N1586" s="100">
        <f>EN_11002_m+EN_11002_p</f>
        <v>77.493308236406961</v>
      </c>
      <c r="O1586" s="93"/>
    </row>
    <row r="1587" spans="1:15" x14ac:dyDescent="0.25">
      <c r="A1587" s="267" t="s">
        <v>125</v>
      </c>
      <c r="B1587" s="133" t="s">
        <v>21</v>
      </c>
      <c r="C1587" s="94"/>
      <c r="D1587" s="267" t="s">
        <v>122</v>
      </c>
      <c r="E1587" s="94"/>
      <c r="F1587" s="94"/>
      <c r="G1587" s="94"/>
      <c r="H1587" s="94"/>
      <c r="I1587" s="94"/>
      <c r="J1587" s="94"/>
      <c r="K1587" s="94"/>
      <c r="L1587" s="94"/>
      <c r="M1587" s="267" t="s">
        <v>124</v>
      </c>
      <c r="N1587" s="136">
        <v>2</v>
      </c>
      <c r="O1587" s="93"/>
    </row>
    <row r="1588" spans="1:15" x14ac:dyDescent="0.25">
      <c r="A1588" s="267" t="s">
        <v>123</v>
      </c>
      <c r="B1588" s="323" t="str">
        <f>'EN Assemblies'!B587</f>
        <v>Driveshaft</v>
      </c>
      <c r="C1588" s="94"/>
      <c r="D1588" s="267" t="s">
        <v>119</v>
      </c>
      <c r="E1588" s="94"/>
      <c r="F1588" s="94"/>
      <c r="G1588" s="94"/>
      <c r="H1588" s="94"/>
      <c r="I1588" s="94"/>
      <c r="J1588" s="268" t="s">
        <v>122</v>
      </c>
      <c r="K1588" s="94"/>
      <c r="L1588" s="94"/>
      <c r="M1588" s="94"/>
      <c r="N1588" s="94"/>
      <c r="O1588" s="93"/>
    </row>
    <row r="1589" spans="1:15" x14ac:dyDescent="0.25">
      <c r="A1589" s="267" t="s">
        <v>114</v>
      </c>
      <c r="B1589" s="135" t="s">
        <v>598</v>
      </c>
      <c r="C1589" s="94"/>
      <c r="D1589" s="267" t="s">
        <v>116</v>
      </c>
      <c r="E1589" s="94"/>
      <c r="F1589" s="94"/>
      <c r="G1589" s="94"/>
      <c r="H1589" s="94"/>
      <c r="I1589" s="94"/>
      <c r="J1589" s="268" t="s">
        <v>119</v>
      </c>
      <c r="K1589" s="94"/>
      <c r="L1589" s="94"/>
      <c r="M1589" s="267" t="s">
        <v>118</v>
      </c>
      <c r="N1589" s="100">
        <f>N1587*N1586</f>
        <v>154.98661647281392</v>
      </c>
      <c r="O1589" s="93"/>
    </row>
    <row r="1590" spans="1:15" x14ac:dyDescent="0.25">
      <c r="A1590" s="267" t="s">
        <v>121</v>
      </c>
      <c r="B1590" s="269" t="s">
        <v>597</v>
      </c>
      <c r="C1590" s="94"/>
      <c r="D1590" s="94"/>
      <c r="E1590" s="94"/>
      <c r="F1590" s="94"/>
      <c r="G1590" s="94"/>
      <c r="H1590" s="94"/>
      <c r="I1590" s="94"/>
      <c r="J1590" s="268" t="s">
        <v>116</v>
      </c>
      <c r="K1590" s="94"/>
      <c r="L1590" s="94"/>
      <c r="M1590" s="94"/>
      <c r="N1590" s="94"/>
      <c r="O1590" s="93"/>
    </row>
    <row r="1591" spans="1:15" x14ac:dyDescent="0.25">
      <c r="A1591" s="267" t="s">
        <v>117</v>
      </c>
      <c r="B1591" s="133" t="s">
        <v>23</v>
      </c>
      <c r="C1591" s="94"/>
      <c r="D1591" s="94"/>
      <c r="E1591" s="94"/>
      <c r="F1591" s="94"/>
      <c r="G1591" s="94"/>
      <c r="H1591" s="94"/>
      <c r="I1591" s="94"/>
      <c r="J1591" s="94"/>
      <c r="K1591" s="94"/>
      <c r="L1591" s="94"/>
      <c r="M1591" s="94"/>
      <c r="N1591" s="94"/>
      <c r="O1591" s="93"/>
    </row>
    <row r="1592" spans="1:15" x14ac:dyDescent="0.25">
      <c r="A1592" s="267" t="s">
        <v>115</v>
      </c>
      <c r="B1592" s="133" t="s">
        <v>573</v>
      </c>
      <c r="C1592" s="94"/>
      <c r="D1592" s="94"/>
      <c r="E1592" s="94"/>
      <c r="F1592" s="94"/>
      <c r="G1592" s="94"/>
      <c r="H1592" s="94"/>
      <c r="I1592" s="94"/>
      <c r="J1592" s="94"/>
      <c r="K1592" s="94"/>
      <c r="L1592" s="94"/>
      <c r="M1592" s="94"/>
      <c r="N1592" s="94"/>
      <c r="O1592" s="93"/>
    </row>
    <row r="1593" spans="1:15" x14ac:dyDescent="0.25">
      <c r="A1593" s="266"/>
      <c r="B1593" s="265"/>
      <c r="C1593" s="265"/>
      <c r="D1593" s="265"/>
      <c r="E1593" s="265"/>
      <c r="F1593" s="94"/>
      <c r="G1593" s="94"/>
      <c r="H1593" s="94"/>
      <c r="I1593" s="94"/>
      <c r="J1593" s="94"/>
      <c r="K1593" s="94"/>
      <c r="L1593" s="94"/>
      <c r="M1593" s="94"/>
      <c r="N1593" s="94"/>
      <c r="O1593" s="93"/>
    </row>
    <row r="1594" spans="1:15" x14ac:dyDescent="0.25">
      <c r="A1594" s="264" t="s">
        <v>67</v>
      </c>
      <c r="B1594" s="263" t="s">
        <v>112</v>
      </c>
      <c r="C1594" s="263" t="s">
        <v>66</v>
      </c>
      <c r="D1594" s="263" t="s">
        <v>65</v>
      </c>
      <c r="E1594" s="263" t="s">
        <v>81</v>
      </c>
      <c r="F1594" s="274" t="s">
        <v>80</v>
      </c>
      <c r="G1594" s="274" t="s">
        <v>79</v>
      </c>
      <c r="H1594" s="274" t="s">
        <v>78</v>
      </c>
      <c r="I1594" s="274" t="s">
        <v>111</v>
      </c>
      <c r="J1594" s="274" t="s">
        <v>110</v>
      </c>
      <c r="K1594" s="274" t="s">
        <v>109</v>
      </c>
      <c r="L1594" s="274" t="s">
        <v>108</v>
      </c>
      <c r="M1594" s="274" t="s">
        <v>40</v>
      </c>
      <c r="N1594" s="274" t="s">
        <v>58</v>
      </c>
      <c r="O1594" s="93"/>
    </row>
    <row r="1595" spans="1:15" x14ac:dyDescent="0.25">
      <c r="A1595" s="315">
        <v>10</v>
      </c>
      <c r="B1595" s="298" t="s">
        <v>583</v>
      </c>
      <c r="C1595" s="297" t="s">
        <v>596</v>
      </c>
      <c r="D1595" s="324">
        <v>2.25</v>
      </c>
      <c r="E1595" s="315"/>
      <c r="F1595" s="315"/>
      <c r="G1595" s="315"/>
      <c r="H1595" s="314"/>
      <c r="I1595" s="313" t="s">
        <v>595</v>
      </c>
      <c r="J1595" s="312">
        <f>PI()*0.0655^2/4</f>
        <v>3.369554470515903E-3</v>
      </c>
      <c r="K1595" s="311">
        <v>0.17</v>
      </c>
      <c r="L1595" s="311">
        <v>7860</v>
      </c>
      <c r="M1595" s="299">
        <v>1</v>
      </c>
      <c r="N1595" s="276">
        <f>IF(J1595="",D1595*M1595,D1595*J1595*K1595*L1595*M1595)</f>
        <v>10.130397037882538</v>
      </c>
      <c r="O1595" s="143"/>
    </row>
    <row r="1596" spans="1:15" x14ac:dyDescent="0.25">
      <c r="A1596" s="98"/>
      <c r="B1596" s="95"/>
      <c r="C1596" s="95"/>
      <c r="D1596" s="95"/>
      <c r="E1596" s="95"/>
      <c r="F1596" s="95"/>
      <c r="G1596" s="95"/>
      <c r="H1596" s="95"/>
      <c r="I1596" s="95"/>
      <c r="J1596" s="95"/>
      <c r="K1596" s="95"/>
      <c r="L1596" s="95"/>
      <c r="M1596" s="256" t="s">
        <v>58</v>
      </c>
      <c r="N1596" s="255">
        <f>SUM(N1595:N1595)</f>
        <v>10.130397037882538</v>
      </c>
      <c r="O1596" s="93"/>
    </row>
    <row r="1597" spans="1:15" x14ac:dyDescent="0.25">
      <c r="A1597" s="107"/>
      <c r="B1597" s="94"/>
      <c r="C1597" s="94"/>
      <c r="D1597" s="94"/>
      <c r="E1597" s="94"/>
      <c r="F1597" s="94"/>
      <c r="G1597" s="94"/>
      <c r="H1597" s="94"/>
      <c r="I1597" s="94"/>
      <c r="J1597" s="94"/>
      <c r="K1597" s="94"/>
      <c r="L1597" s="94"/>
      <c r="M1597" s="94"/>
      <c r="N1597" s="94"/>
      <c r="O1597" s="93"/>
    </row>
    <row r="1598" spans="1:15" x14ac:dyDescent="0.25">
      <c r="A1598" s="261" t="s">
        <v>67</v>
      </c>
      <c r="B1598" s="274" t="s">
        <v>106</v>
      </c>
      <c r="C1598" s="274" t="s">
        <v>66</v>
      </c>
      <c r="D1598" s="274" t="s">
        <v>65</v>
      </c>
      <c r="E1598" s="274" t="s">
        <v>64</v>
      </c>
      <c r="F1598" s="274" t="s">
        <v>40</v>
      </c>
      <c r="G1598" s="274" t="s">
        <v>105</v>
      </c>
      <c r="H1598" s="274" t="s">
        <v>104</v>
      </c>
      <c r="I1598" s="274" t="s">
        <v>58</v>
      </c>
      <c r="J1598" s="95"/>
      <c r="K1598" s="95"/>
      <c r="L1598" s="95"/>
      <c r="M1598" s="95"/>
      <c r="N1598" s="95"/>
      <c r="O1598" s="93"/>
    </row>
    <row r="1599" spans="1:15" ht="30" x14ac:dyDescent="0.25">
      <c r="A1599" s="292">
        <v>10</v>
      </c>
      <c r="B1599" s="291" t="s">
        <v>516</v>
      </c>
      <c r="C1599" s="291" t="s">
        <v>594</v>
      </c>
      <c r="D1599" s="290">
        <v>1.3</v>
      </c>
      <c r="E1599" s="289" t="s">
        <v>64</v>
      </c>
      <c r="F1599" s="288">
        <v>1</v>
      </c>
      <c r="G1599" s="287"/>
      <c r="H1599" s="287"/>
      <c r="I1599" s="293">
        <f t="shared" ref="I1599:I1604" si="11">IF(H1599="",D1599*F1599,D1599*F1599*H1599)</f>
        <v>1.3</v>
      </c>
      <c r="J1599" s="142"/>
      <c r="K1599" s="142"/>
      <c r="L1599" s="142"/>
      <c r="M1599" s="142"/>
      <c r="N1599" s="142"/>
      <c r="O1599" s="120"/>
    </row>
    <row r="1600" spans="1:15" x14ac:dyDescent="0.25">
      <c r="A1600" s="292">
        <v>20</v>
      </c>
      <c r="B1600" s="291" t="s">
        <v>514</v>
      </c>
      <c r="C1600" s="291" t="s">
        <v>593</v>
      </c>
      <c r="D1600" s="290">
        <v>0.04</v>
      </c>
      <c r="E1600" s="289" t="s">
        <v>512</v>
      </c>
      <c r="F1600" s="301">
        <f>J1595*K1595*1000000-69.3</f>
        <v>503.52425998770349</v>
      </c>
      <c r="G1600" s="287" t="s">
        <v>511</v>
      </c>
      <c r="H1600" s="287">
        <v>3</v>
      </c>
      <c r="I1600" s="293">
        <f t="shared" si="11"/>
        <v>60.422911198524424</v>
      </c>
      <c r="J1600" s="94"/>
      <c r="K1600" s="94"/>
      <c r="L1600" s="94"/>
      <c r="M1600" s="94"/>
      <c r="N1600" s="94"/>
      <c r="O1600" s="93"/>
    </row>
    <row r="1601" spans="1:15" ht="30" x14ac:dyDescent="0.25">
      <c r="A1601" s="292">
        <v>30</v>
      </c>
      <c r="B1601" s="291" t="s">
        <v>516</v>
      </c>
      <c r="C1601" s="291" t="s">
        <v>592</v>
      </c>
      <c r="D1601" s="290">
        <v>1.3</v>
      </c>
      <c r="E1601" s="289" t="s">
        <v>64</v>
      </c>
      <c r="F1601" s="288">
        <v>1</v>
      </c>
      <c r="G1601" s="287"/>
      <c r="H1601" s="287"/>
      <c r="I1601" s="276">
        <f t="shared" si="11"/>
        <v>1.3</v>
      </c>
      <c r="J1601" s="99"/>
      <c r="K1601" s="99"/>
      <c r="L1601" s="99"/>
      <c r="M1601" s="99"/>
      <c r="N1601" s="99"/>
      <c r="O1601" s="130"/>
    </row>
    <row r="1602" spans="1:15" x14ac:dyDescent="0.25">
      <c r="A1602" s="292">
        <v>40</v>
      </c>
      <c r="B1602" s="291" t="s">
        <v>577</v>
      </c>
      <c r="C1602" s="291" t="s">
        <v>591</v>
      </c>
      <c r="D1602" s="290">
        <v>0.5</v>
      </c>
      <c r="E1602" s="289" t="s">
        <v>101</v>
      </c>
      <c r="F1602" s="288">
        <v>5.7</v>
      </c>
      <c r="G1602" s="287"/>
      <c r="H1602" s="287"/>
      <c r="I1602" s="276">
        <f t="shared" si="11"/>
        <v>2.85</v>
      </c>
      <c r="J1602" s="94"/>
      <c r="K1602" s="94"/>
      <c r="L1602" s="94"/>
      <c r="M1602" s="94"/>
      <c r="N1602" s="94"/>
      <c r="O1602" s="93"/>
    </row>
    <row r="1603" spans="1:15" ht="30" x14ac:dyDescent="0.25">
      <c r="A1603" s="292">
        <v>50</v>
      </c>
      <c r="B1603" s="291" t="s">
        <v>516</v>
      </c>
      <c r="C1603" s="291" t="s">
        <v>590</v>
      </c>
      <c r="D1603" s="290">
        <v>1.3</v>
      </c>
      <c r="E1603" s="289" t="s">
        <v>64</v>
      </c>
      <c r="F1603" s="288">
        <v>1</v>
      </c>
      <c r="G1603" s="287"/>
      <c r="H1603" s="287"/>
      <c r="I1603" s="276">
        <f t="shared" si="11"/>
        <v>1.3</v>
      </c>
      <c r="J1603" s="94"/>
      <c r="K1603" s="94"/>
      <c r="L1603" s="94"/>
      <c r="M1603" s="94"/>
      <c r="N1603" s="94"/>
      <c r="O1603" s="93"/>
    </row>
    <row r="1604" spans="1:15" ht="30" x14ac:dyDescent="0.25">
      <c r="A1604" s="292">
        <v>60</v>
      </c>
      <c r="B1604" s="291" t="s">
        <v>589</v>
      </c>
      <c r="C1604" s="291" t="s">
        <v>588</v>
      </c>
      <c r="D1604" s="290">
        <v>0.1</v>
      </c>
      <c r="E1604" s="289" t="s">
        <v>101</v>
      </c>
      <c r="F1604" s="288">
        <v>1.9</v>
      </c>
      <c r="G1604" s="287"/>
      <c r="H1604" s="287"/>
      <c r="I1604" s="276">
        <f t="shared" si="11"/>
        <v>0.19</v>
      </c>
      <c r="J1604" s="94"/>
      <c r="K1604" s="94"/>
      <c r="L1604" s="94"/>
      <c r="M1604" s="94"/>
      <c r="N1604" s="94"/>
      <c r="O1604" s="93"/>
    </row>
    <row r="1605" spans="1:15" x14ac:dyDescent="0.25">
      <c r="A1605" s="98"/>
      <c r="B1605" s="95"/>
      <c r="C1605" s="95"/>
      <c r="D1605" s="95"/>
      <c r="E1605" s="95"/>
      <c r="F1605" s="95"/>
      <c r="G1605" s="95"/>
      <c r="H1605" s="256" t="s">
        <v>58</v>
      </c>
      <c r="I1605" s="255">
        <f>SUM(I1599:I1604)</f>
        <v>67.362911198524415</v>
      </c>
      <c r="J1605" s="95"/>
      <c r="K1605" s="95"/>
      <c r="L1605" s="95"/>
      <c r="M1605" s="95"/>
      <c r="N1605" s="95"/>
      <c r="O1605" s="93"/>
    </row>
    <row r="1606" spans="1:15" x14ac:dyDescent="0.25">
      <c r="A1606" s="107"/>
      <c r="B1606" s="94"/>
      <c r="C1606" s="94"/>
      <c r="D1606" s="94"/>
      <c r="E1606" s="94"/>
      <c r="F1606" s="94"/>
      <c r="G1606" s="94"/>
      <c r="H1606" s="94"/>
      <c r="I1606" s="99"/>
      <c r="J1606" s="94"/>
      <c r="K1606" s="94"/>
      <c r="L1606" s="94"/>
      <c r="M1606" s="94"/>
      <c r="N1606" s="94"/>
      <c r="O1606" s="93"/>
    </row>
    <row r="1607" spans="1:15" ht="15.75" thickBot="1" x14ac:dyDescent="0.3">
      <c r="A1607" s="92"/>
      <c r="B1607" s="91"/>
      <c r="C1607" s="91"/>
      <c r="D1607" s="91"/>
      <c r="E1607" s="91"/>
      <c r="F1607" s="91"/>
      <c r="G1607" s="91"/>
      <c r="H1607" s="91"/>
      <c r="I1607" s="91"/>
      <c r="J1607" s="91"/>
      <c r="K1607" s="91"/>
      <c r="L1607" s="91"/>
      <c r="M1607" s="91"/>
      <c r="N1607" s="91"/>
      <c r="O1607" s="90"/>
    </row>
    <row r="1608" spans="1:15" ht="15.75" thickBot="1" x14ac:dyDescent="0.3"/>
    <row r="1609" spans="1:15" x14ac:dyDescent="0.25">
      <c r="A1609" s="141"/>
      <c r="B1609" s="140"/>
      <c r="C1609" s="140"/>
      <c r="D1609" s="140"/>
      <c r="E1609" s="140"/>
      <c r="F1609" s="140"/>
      <c r="G1609" s="140"/>
      <c r="H1609" s="140"/>
      <c r="I1609" s="140"/>
      <c r="J1609" s="272"/>
      <c r="K1609" s="140"/>
      <c r="L1609" s="140"/>
      <c r="M1609" s="140"/>
      <c r="N1609" s="140"/>
      <c r="O1609" s="139"/>
    </row>
    <row r="1610" spans="1:15" x14ac:dyDescent="0.25">
      <c r="A1610" s="267" t="s">
        <v>57</v>
      </c>
      <c r="B1610" s="133" t="s">
        <v>523</v>
      </c>
      <c r="C1610" s="94"/>
      <c r="D1610" s="94"/>
      <c r="E1610" s="94"/>
      <c r="F1610" s="94"/>
      <c r="G1610" s="94"/>
      <c r="H1610" s="94"/>
      <c r="I1610" s="94"/>
      <c r="J1610" s="271" t="s">
        <v>51</v>
      </c>
      <c r="K1610" s="138">
        <v>81</v>
      </c>
      <c r="L1610" s="94"/>
      <c r="M1610" s="267" t="s">
        <v>113</v>
      </c>
      <c r="N1610" s="100">
        <f>EN_11003_m+EN_11003_p</f>
        <v>20.257657033585645</v>
      </c>
      <c r="O1610" s="93"/>
    </row>
    <row r="1611" spans="1:15" x14ac:dyDescent="0.25">
      <c r="A1611" s="267" t="s">
        <v>125</v>
      </c>
      <c r="B1611" s="133" t="s">
        <v>21</v>
      </c>
      <c r="C1611" s="94"/>
      <c r="D1611" s="267" t="s">
        <v>122</v>
      </c>
      <c r="E1611" s="94"/>
      <c r="F1611" s="94"/>
      <c r="G1611" s="94"/>
      <c r="H1611" s="94"/>
      <c r="I1611" s="94"/>
      <c r="J1611" s="94"/>
      <c r="K1611" s="94"/>
      <c r="L1611" s="94"/>
      <c r="M1611" s="267" t="s">
        <v>124</v>
      </c>
      <c r="N1611" s="136">
        <v>1</v>
      </c>
      <c r="O1611" s="93"/>
    </row>
    <row r="1612" spans="1:15" x14ac:dyDescent="0.25">
      <c r="A1612" s="267" t="s">
        <v>123</v>
      </c>
      <c r="B1612" s="323" t="str">
        <f>'EN Assemblies'!B587</f>
        <v>Driveshaft</v>
      </c>
      <c r="C1612" s="94"/>
      <c r="D1612" s="267" t="s">
        <v>119</v>
      </c>
      <c r="E1612" s="94"/>
      <c r="F1612" s="94"/>
      <c r="G1612" s="94"/>
      <c r="H1612" s="94"/>
      <c r="I1612" s="94"/>
      <c r="J1612" s="268" t="s">
        <v>122</v>
      </c>
      <c r="K1612" s="94"/>
      <c r="L1612" s="94"/>
      <c r="M1612" s="94"/>
      <c r="N1612" s="94"/>
      <c r="O1612" s="93"/>
    </row>
    <row r="1613" spans="1:15" x14ac:dyDescent="0.25">
      <c r="A1613" s="267" t="s">
        <v>114</v>
      </c>
      <c r="B1613" s="135" t="s">
        <v>587</v>
      </c>
      <c r="C1613" s="94"/>
      <c r="D1613" s="267" t="s">
        <v>116</v>
      </c>
      <c r="E1613" s="94"/>
      <c r="F1613" s="94"/>
      <c r="G1613" s="94"/>
      <c r="H1613" s="94"/>
      <c r="I1613" s="94"/>
      <c r="J1613" s="268" t="s">
        <v>119</v>
      </c>
      <c r="K1613" s="94"/>
      <c r="L1613" s="94"/>
      <c r="M1613" s="267" t="s">
        <v>118</v>
      </c>
      <c r="N1613" s="100">
        <f>N1611*N1610</f>
        <v>20.257657033585645</v>
      </c>
      <c r="O1613" s="93"/>
    </row>
    <row r="1614" spans="1:15" x14ac:dyDescent="0.25">
      <c r="A1614" s="267" t="s">
        <v>121</v>
      </c>
      <c r="B1614" s="269" t="s">
        <v>586</v>
      </c>
      <c r="C1614" s="94"/>
      <c r="D1614" s="94"/>
      <c r="E1614" s="94"/>
      <c r="F1614" s="94"/>
      <c r="G1614" s="94"/>
      <c r="H1614" s="94"/>
      <c r="I1614" s="94"/>
      <c r="J1614" s="268" t="s">
        <v>116</v>
      </c>
      <c r="K1614" s="94"/>
      <c r="L1614" s="94"/>
      <c r="M1614" s="94"/>
      <c r="N1614" s="94"/>
      <c r="O1614" s="93"/>
    </row>
    <row r="1615" spans="1:15" x14ac:dyDescent="0.25">
      <c r="A1615" s="267" t="s">
        <v>117</v>
      </c>
      <c r="B1615" s="133" t="s">
        <v>23</v>
      </c>
      <c r="C1615" s="94"/>
      <c r="D1615" s="94"/>
      <c r="E1615" s="94"/>
      <c r="F1615" s="94"/>
      <c r="G1615" s="94"/>
      <c r="H1615" s="94"/>
      <c r="I1615" s="94"/>
      <c r="J1615" s="94"/>
      <c r="K1615" s="94"/>
      <c r="L1615" s="94"/>
      <c r="M1615" s="94"/>
      <c r="N1615" s="94"/>
      <c r="O1615" s="93"/>
    </row>
    <row r="1616" spans="1:15" x14ac:dyDescent="0.25">
      <c r="A1616" s="267" t="s">
        <v>115</v>
      </c>
      <c r="B1616" s="133"/>
      <c r="C1616" s="94"/>
      <c r="D1616" s="94"/>
      <c r="E1616" s="94"/>
      <c r="F1616" s="94"/>
      <c r="G1616" s="94"/>
      <c r="H1616" s="94"/>
      <c r="I1616" s="94"/>
      <c r="J1616" s="94"/>
      <c r="K1616" s="94"/>
      <c r="L1616" s="94"/>
      <c r="M1616" s="94"/>
      <c r="N1616" s="94"/>
      <c r="O1616" s="93"/>
    </row>
    <row r="1617" spans="1:15" x14ac:dyDescent="0.25">
      <c r="A1617" s="266"/>
      <c r="B1617" s="265"/>
      <c r="C1617" s="265"/>
      <c r="D1617" s="265"/>
      <c r="E1617" s="265"/>
      <c r="F1617" s="94"/>
      <c r="G1617" s="94"/>
      <c r="H1617" s="94"/>
      <c r="I1617" s="94"/>
      <c r="J1617" s="94"/>
      <c r="K1617" s="94"/>
      <c r="L1617" s="94"/>
      <c r="M1617" s="94"/>
      <c r="N1617" s="94"/>
      <c r="O1617" s="93"/>
    </row>
    <row r="1618" spans="1:15" x14ac:dyDescent="0.25">
      <c r="A1618" s="264" t="s">
        <v>67</v>
      </c>
      <c r="B1618" s="263" t="s">
        <v>112</v>
      </c>
      <c r="C1618" s="263" t="s">
        <v>66</v>
      </c>
      <c r="D1618" s="263" t="s">
        <v>65</v>
      </c>
      <c r="E1618" s="263" t="s">
        <v>81</v>
      </c>
      <c r="F1618" s="274" t="s">
        <v>80</v>
      </c>
      <c r="G1618" s="274" t="s">
        <v>79</v>
      </c>
      <c r="H1618" s="274" t="s">
        <v>78</v>
      </c>
      <c r="I1618" s="274" t="s">
        <v>111</v>
      </c>
      <c r="J1618" s="274" t="s">
        <v>110</v>
      </c>
      <c r="K1618" s="274" t="s">
        <v>109</v>
      </c>
      <c r="L1618" s="274" t="s">
        <v>108</v>
      </c>
      <c r="M1618" s="274" t="s">
        <v>40</v>
      </c>
      <c r="N1618" s="274" t="s">
        <v>58</v>
      </c>
      <c r="O1618" s="93"/>
    </row>
    <row r="1619" spans="1:15" x14ac:dyDescent="0.25">
      <c r="A1619" s="292">
        <v>10</v>
      </c>
      <c r="B1619" s="298" t="s">
        <v>583</v>
      </c>
      <c r="C1619" s="297" t="s">
        <v>582</v>
      </c>
      <c r="D1619" s="290">
        <v>2.25</v>
      </c>
      <c r="E1619" s="282"/>
      <c r="F1619" s="282"/>
      <c r="G1619" s="282"/>
      <c r="H1619" s="278"/>
      <c r="I1619" s="313" t="s">
        <v>581</v>
      </c>
      <c r="J1619" s="312">
        <f>PI()*0.024^2/4</f>
        <v>4.523893421169302E-4</v>
      </c>
      <c r="K1619" s="311">
        <v>0.34</v>
      </c>
      <c r="L1619" s="311">
        <v>7860</v>
      </c>
      <c r="M1619" s="302">
        <v>1</v>
      </c>
      <c r="N1619" s="276">
        <f>IF(J1619="",D1619*M1619,D1619*J1619*K1619*L1619*M1619)</f>
        <v>2.7201718752148896</v>
      </c>
      <c r="O1619" s="143"/>
    </row>
    <row r="1620" spans="1:15" x14ac:dyDescent="0.25">
      <c r="A1620" s="98"/>
      <c r="B1620" s="95"/>
      <c r="C1620" s="95"/>
      <c r="D1620" s="95"/>
      <c r="E1620" s="95"/>
      <c r="F1620" s="95"/>
      <c r="G1620" s="95"/>
      <c r="H1620" s="95"/>
      <c r="I1620" s="95"/>
      <c r="J1620" s="95"/>
      <c r="K1620" s="95"/>
      <c r="L1620" s="95"/>
      <c r="M1620" s="256" t="s">
        <v>58</v>
      </c>
      <c r="N1620" s="255">
        <f>SUM(N1619:N1619)</f>
        <v>2.7201718752148896</v>
      </c>
      <c r="O1620" s="93"/>
    </row>
    <row r="1621" spans="1:15" x14ac:dyDescent="0.25">
      <c r="A1621" s="107"/>
      <c r="B1621" s="94"/>
      <c r="C1621" s="94"/>
      <c r="D1621" s="94"/>
      <c r="E1621" s="94"/>
      <c r="F1621" s="94"/>
      <c r="G1621" s="94"/>
      <c r="H1621" s="94"/>
      <c r="I1621" s="94"/>
      <c r="J1621" s="94"/>
      <c r="K1621" s="94"/>
      <c r="L1621" s="94"/>
      <c r="M1621" s="94"/>
      <c r="N1621" s="94"/>
      <c r="O1621" s="93"/>
    </row>
    <row r="1622" spans="1:15" x14ac:dyDescent="0.25">
      <c r="A1622" s="261" t="s">
        <v>67</v>
      </c>
      <c r="B1622" s="274" t="s">
        <v>106</v>
      </c>
      <c r="C1622" s="274" t="s">
        <v>66</v>
      </c>
      <c r="D1622" s="274" t="s">
        <v>65</v>
      </c>
      <c r="E1622" s="274" t="s">
        <v>64</v>
      </c>
      <c r="F1622" s="274" t="s">
        <v>40</v>
      </c>
      <c r="G1622" s="274" t="s">
        <v>105</v>
      </c>
      <c r="H1622" s="274" t="s">
        <v>104</v>
      </c>
      <c r="I1622" s="274" t="s">
        <v>58</v>
      </c>
      <c r="J1622" s="95"/>
      <c r="K1622" s="95"/>
      <c r="L1622" s="95"/>
      <c r="M1622" s="95"/>
      <c r="N1622" s="95"/>
      <c r="O1622" s="93"/>
    </row>
    <row r="1623" spans="1:15" ht="30" x14ac:dyDescent="0.25">
      <c r="A1623" s="292">
        <v>10</v>
      </c>
      <c r="B1623" s="291" t="s">
        <v>516</v>
      </c>
      <c r="C1623" s="291" t="s">
        <v>580</v>
      </c>
      <c r="D1623" s="290">
        <v>1.3</v>
      </c>
      <c r="E1623" s="289" t="s">
        <v>64</v>
      </c>
      <c r="F1623" s="288">
        <v>1</v>
      </c>
      <c r="G1623" s="287"/>
      <c r="H1623" s="287"/>
      <c r="I1623" s="293">
        <f>IF(H1623="",D1623*F1623,D1623*F1623*H1623)</f>
        <v>1.3</v>
      </c>
      <c r="J1623" s="142"/>
      <c r="K1623" s="142"/>
      <c r="L1623" s="142"/>
      <c r="M1623" s="142"/>
      <c r="N1623" s="142"/>
      <c r="O1623" s="120"/>
    </row>
    <row r="1624" spans="1:15" x14ac:dyDescent="0.25">
      <c r="A1624" s="292">
        <v>20</v>
      </c>
      <c r="B1624" s="291" t="s">
        <v>514</v>
      </c>
      <c r="C1624" s="291" t="s">
        <v>579</v>
      </c>
      <c r="D1624" s="290">
        <v>0.04</v>
      </c>
      <c r="E1624" s="289" t="s">
        <v>512</v>
      </c>
      <c r="F1624" s="306">
        <f>J1619*K1619*1000000-73.5</f>
        <v>80.312376319756282</v>
      </c>
      <c r="G1624" s="322" t="s">
        <v>511</v>
      </c>
      <c r="H1624" s="287">
        <v>3</v>
      </c>
      <c r="I1624" s="293">
        <f>IF(H1624="",D1624*F1624,D1624*F1624*H1624)</f>
        <v>9.6374851583707546</v>
      </c>
      <c r="J1624" s="94"/>
      <c r="K1624" s="94"/>
      <c r="L1624" s="94"/>
      <c r="M1624" s="94"/>
      <c r="N1624" s="94"/>
      <c r="O1624" s="93"/>
    </row>
    <row r="1625" spans="1:15" ht="30" x14ac:dyDescent="0.25">
      <c r="A1625" s="292">
        <v>30</v>
      </c>
      <c r="B1625" s="291" t="s">
        <v>516</v>
      </c>
      <c r="C1625" s="291" t="s">
        <v>578</v>
      </c>
      <c r="D1625" s="290">
        <v>1.3</v>
      </c>
      <c r="E1625" s="289" t="s">
        <v>64</v>
      </c>
      <c r="F1625" s="288">
        <v>1</v>
      </c>
      <c r="G1625" s="287"/>
      <c r="H1625" s="287"/>
      <c r="I1625" s="276">
        <f>IF(H1625="",D1625*F1625,D1625*F1625*H1625)</f>
        <v>1.3</v>
      </c>
      <c r="J1625" s="99"/>
      <c r="K1625" s="99"/>
      <c r="L1625" s="99"/>
      <c r="M1625" s="99"/>
      <c r="N1625" s="99"/>
      <c r="O1625" s="130"/>
    </row>
    <row r="1626" spans="1:15" x14ac:dyDescent="0.25">
      <c r="A1626" s="292">
        <v>40</v>
      </c>
      <c r="B1626" s="291" t="s">
        <v>577</v>
      </c>
      <c r="C1626" s="291" t="s">
        <v>576</v>
      </c>
      <c r="D1626" s="290">
        <v>0.5</v>
      </c>
      <c r="E1626" s="289" t="s">
        <v>101</v>
      </c>
      <c r="F1626" s="288">
        <v>10.6</v>
      </c>
      <c r="G1626" s="287"/>
      <c r="H1626" s="287"/>
      <c r="I1626" s="276">
        <f>IF(H1626="",D1626*F1626,D1626*F1626*H1626)</f>
        <v>5.3</v>
      </c>
      <c r="J1626" s="94"/>
      <c r="K1626" s="94"/>
      <c r="L1626" s="94"/>
      <c r="M1626" s="94"/>
      <c r="N1626" s="94"/>
      <c r="O1626" s="93"/>
    </row>
    <row r="1627" spans="1:15" x14ac:dyDescent="0.25">
      <c r="A1627" s="98"/>
      <c r="B1627" s="95"/>
      <c r="C1627" s="95"/>
      <c r="D1627" s="95"/>
      <c r="E1627" s="95"/>
      <c r="F1627" s="95"/>
      <c r="G1627" s="95"/>
      <c r="H1627" s="256" t="s">
        <v>58</v>
      </c>
      <c r="I1627" s="255">
        <f>SUM(I1623:I1626)</f>
        <v>17.537485158370757</v>
      </c>
      <c r="J1627" s="95"/>
      <c r="K1627" s="95"/>
      <c r="L1627" s="95"/>
      <c r="M1627" s="95"/>
      <c r="N1627" s="95"/>
      <c r="O1627" s="93"/>
    </row>
    <row r="1628" spans="1:15" x14ac:dyDescent="0.25">
      <c r="A1628" s="107"/>
      <c r="B1628" s="94"/>
      <c r="C1628" s="94"/>
      <c r="D1628" s="94"/>
      <c r="E1628" s="94"/>
      <c r="F1628" s="94"/>
      <c r="G1628" s="94"/>
      <c r="H1628" s="94"/>
      <c r="I1628" s="99"/>
      <c r="J1628" s="94"/>
      <c r="K1628" s="94"/>
      <c r="L1628" s="94"/>
      <c r="M1628" s="94"/>
      <c r="N1628" s="94"/>
      <c r="O1628" s="93"/>
    </row>
    <row r="1629" spans="1:15" ht="15.75" thickBot="1" x14ac:dyDescent="0.3">
      <c r="A1629" s="92"/>
      <c r="B1629" s="91"/>
      <c r="C1629" s="91"/>
      <c r="D1629" s="91"/>
      <c r="E1629" s="91"/>
      <c r="F1629" s="91"/>
      <c r="G1629" s="91"/>
      <c r="H1629" s="91"/>
      <c r="I1629" s="91"/>
      <c r="J1629" s="91"/>
      <c r="K1629" s="91"/>
      <c r="L1629" s="91"/>
      <c r="M1629" s="91"/>
      <c r="N1629" s="91"/>
      <c r="O1629" s="90"/>
    </row>
    <row r="1630" spans="1:15" ht="15.75" thickBot="1" x14ac:dyDescent="0.3"/>
    <row r="1631" spans="1:15" x14ac:dyDescent="0.25">
      <c r="A1631" s="141"/>
      <c r="B1631" s="140"/>
      <c r="C1631" s="140"/>
      <c r="D1631" s="140"/>
      <c r="E1631" s="140"/>
      <c r="F1631" s="140"/>
      <c r="G1631" s="140"/>
      <c r="H1631" s="140"/>
      <c r="I1631" s="140"/>
      <c r="J1631" s="272"/>
      <c r="K1631" s="140"/>
      <c r="L1631" s="140"/>
      <c r="M1631" s="140"/>
      <c r="N1631" s="140"/>
      <c r="O1631" s="139"/>
    </row>
    <row r="1632" spans="1:15" x14ac:dyDescent="0.25">
      <c r="A1632" s="267" t="s">
        <v>57</v>
      </c>
      <c r="B1632" s="133" t="s">
        <v>523</v>
      </c>
      <c r="C1632" s="94"/>
      <c r="D1632" s="94"/>
      <c r="E1632" s="94"/>
      <c r="F1632" s="94"/>
      <c r="G1632" s="94"/>
      <c r="H1632" s="94"/>
      <c r="I1632" s="94"/>
      <c r="J1632" s="271" t="s">
        <v>51</v>
      </c>
      <c r="K1632" s="138">
        <v>81</v>
      </c>
      <c r="L1632" s="94"/>
      <c r="M1632" s="267" t="s">
        <v>113</v>
      </c>
      <c r="N1632" s="100">
        <f>EN_11004_m+EN_11004_p</f>
        <v>20.257657033585645</v>
      </c>
      <c r="O1632" s="93"/>
    </row>
    <row r="1633" spans="1:15" x14ac:dyDescent="0.25">
      <c r="A1633" s="267" t="s">
        <v>125</v>
      </c>
      <c r="B1633" s="133" t="s">
        <v>21</v>
      </c>
      <c r="C1633" s="94"/>
      <c r="D1633" s="267" t="s">
        <v>122</v>
      </c>
      <c r="E1633" s="94"/>
      <c r="F1633" s="94"/>
      <c r="G1633" s="94"/>
      <c r="H1633" s="94"/>
      <c r="I1633" s="94"/>
      <c r="J1633" s="94"/>
      <c r="K1633" s="94"/>
      <c r="L1633" s="94"/>
      <c r="M1633" s="267" t="s">
        <v>124</v>
      </c>
      <c r="N1633" s="136">
        <v>1</v>
      </c>
      <c r="O1633" s="93"/>
    </row>
    <row r="1634" spans="1:15" x14ac:dyDescent="0.25">
      <c r="A1634" s="267" t="s">
        <v>123</v>
      </c>
      <c r="B1634" s="323" t="str">
        <f>'EN Assemblies'!B587</f>
        <v>Driveshaft</v>
      </c>
      <c r="C1634" s="94"/>
      <c r="D1634" s="267" t="s">
        <v>119</v>
      </c>
      <c r="E1634" s="94"/>
      <c r="F1634" s="94"/>
      <c r="G1634" s="94"/>
      <c r="H1634" s="94"/>
      <c r="I1634" s="94"/>
      <c r="J1634" s="268" t="s">
        <v>122</v>
      </c>
      <c r="K1634" s="94"/>
      <c r="L1634" s="94"/>
      <c r="M1634" s="94"/>
      <c r="N1634" s="94"/>
      <c r="O1634" s="93"/>
    </row>
    <row r="1635" spans="1:15" x14ac:dyDescent="0.25">
      <c r="A1635" s="267" t="s">
        <v>114</v>
      </c>
      <c r="B1635" s="135" t="s">
        <v>585</v>
      </c>
      <c r="C1635" s="94"/>
      <c r="D1635" s="267" t="s">
        <v>116</v>
      </c>
      <c r="E1635" s="94"/>
      <c r="F1635" s="94"/>
      <c r="G1635" s="94"/>
      <c r="H1635" s="94"/>
      <c r="I1635" s="94"/>
      <c r="J1635" s="268" t="s">
        <v>119</v>
      </c>
      <c r="K1635" s="94"/>
      <c r="L1635" s="94"/>
      <c r="M1635" s="267" t="s">
        <v>118</v>
      </c>
      <c r="N1635" s="100">
        <f>N1633*N1632</f>
        <v>20.257657033585645</v>
      </c>
      <c r="O1635" s="93"/>
    </row>
    <row r="1636" spans="1:15" x14ac:dyDescent="0.25">
      <c r="A1636" s="267" t="s">
        <v>121</v>
      </c>
      <c r="B1636" s="269" t="s">
        <v>584</v>
      </c>
      <c r="C1636" s="94"/>
      <c r="D1636" s="94"/>
      <c r="E1636" s="94"/>
      <c r="F1636" s="94"/>
      <c r="G1636" s="94"/>
      <c r="H1636" s="94"/>
      <c r="I1636" s="94"/>
      <c r="J1636" s="268" t="s">
        <v>116</v>
      </c>
      <c r="K1636" s="94"/>
      <c r="L1636" s="94"/>
      <c r="M1636" s="94"/>
      <c r="N1636" s="94"/>
      <c r="O1636" s="93"/>
    </row>
    <row r="1637" spans="1:15" x14ac:dyDescent="0.25">
      <c r="A1637" s="267" t="s">
        <v>117</v>
      </c>
      <c r="B1637" s="133" t="s">
        <v>23</v>
      </c>
      <c r="C1637" s="94"/>
      <c r="D1637" s="94"/>
      <c r="E1637" s="94"/>
      <c r="F1637" s="94"/>
      <c r="G1637" s="94"/>
      <c r="H1637" s="94"/>
      <c r="I1637" s="94"/>
      <c r="J1637" s="94"/>
      <c r="K1637" s="94"/>
      <c r="L1637" s="94"/>
      <c r="M1637" s="94"/>
      <c r="N1637" s="94"/>
      <c r="O1637" s="93"/>
    </row>
    <row r="1638" spans="1:15" x14ac:dyDescent="0.25">
      <c r="A1638" s="267" t="s">
        <v>115</v>
      </c>
      <c r="B1638" s="133"/>
      <c r="C1638" s="94"/>
      <c r="D1638" s="94"/>
      <c r="E1638" s="94"/>
      <c r="F1638" s="94"/>
      <c r="G1638" s="94"/>
      <c r="H1638" s="94"/>
      <c r="I1638" s="94"/>
      <c r="J1638" s="94"/>
      <c r="K1638" s="94"/>
      <c r="L1638" s="94"/>
      <c r="M1638" s="94"/>
      <c r="N1638" s="94"/>
      <c r="O1638" s="93"/>
    </row>
    <row r="1639" spans="1:15" x14ac:dyDescent="0.25">
      <c r="A1639" s="266"/>
      <c r="B1639" s="265"/>
      <c r="C1639" s="265"/>
      <c r="D1639" s="265"/>
      <c r="E1639" s="265"/>
      <c r="F1639" s="94"/>
      <c r="G1639" s="94"/>
      <c r="H1639" s="94"/>
      <c r="I1639" s="94"/>
      <c r="J1639" s="94"/>
      <c r="K1639" s="94"/>
      <c r="L1639" s="94"/>
      <c r="M1639" s="94"/>
      <c r="N1639" s="94"/>
      <c r="O1639" s="93"/>
    </row>
    <row r="1640" spans="1:15" x14ac:dyDescent="0.25">
      <c r="A1640" s="264" t="s">
        <v>67</v>
      </c>
      <c r="B1640" s="263" t="s">
        <v>112</v>
      </c>
      <c r="C1640" s="263" t="s">
        <v>66</v>
      </c>
      <c r="D1640" s="263" t="s">
        <v>65</v>
      </c>
      <c r="E1640" s="263" t="s">
        <v>81</v>
      </c>
      <c r="F1640" s="274" t="s">
        <v>80</v>
      </c>
      <c r="G1640" s="274" t="s">
        <v>79</v>
      </c>
      <c r="H1640" s="274" t="s">
        <v>78</v>
      </c>
      <c r="I1640" s="274" t="s">
        <v>111</v>
      </c>
      <c r="J1640" s="274" t="s">
        <v>110</v>
      </c>
      <c r="K1640" s="274" t="s">
        <v>109</v>
      </c>
      <c r="L1640" s="274" t="s">
        <v>108</v>
      </c>
      <c r="M1640" s="274" t="s">
        <v>40</v>
      </c>
      <c r="N1640" s="274" t="s">
        <v>58</v>
      </c>
      <c r="O1640" s="93"/>
    </row>
    <row r="1641" spans="1:15" x14ac:dyDescent="0.25">
      <c r="A1641" s="292">
        <v>10</v>
      </c>
      <c r="B1641" s="298" t="s">
        <v>583</v>
      </c>
      <c r="C1641" s="297" t="s">
        <v>582</v>
      </c>
      <c r="D1641" s="290">
        <v>2.25</v>
      </c>
      <c r="E1641" s="282"/>
      <c r="F1641" s="282"/>
      <c r="G1641" s="282"/>
      <c r="H1641" s="278"/>
      <c r="I1641" s="313" t="s">
        <v>581</v>
      </c>
      <c r="J1641" s="312">
        <f>PI()*0.024^2/4</f>
        <v>4.523893421169302E-4</v>
      </c>
      <c r="K1641" s="311">
        <v>0.34</v>
      </c>
      <c r="L1641" s="278">
        <v>7860</v>
      </c>
      <c r="M1641" s="284">
        <v>1</v>
      </c>
      <c r="N1641" s="276">
        <f>IF(J1641="",D1641*M1641,D1641*J1641*K1641*L1641*M1641)</f>
        <v>2.7201718752148896</v>
      </c>
      <c r="O1641" s="143"/>
    </row>
    <row r="1642" spans="1:15" x14ac:dyDescent="0.25">
      <c r="A1642" s="98"/>
      <c r="B1642" s="95"/>
      <c r="C1642" s="95"/>
      <c r="D1642" s="95"/>
      <c r="E1642" s="95"/>
      <c r="F1642" s="95"/>
      <c r="G1642" s="95"/>
      <c r="H1642" s="95"/>
      <c r="I1642" s="95"/>
      <c r="J1642" s="95"/>
      <c r="K1642" s="95"/>
      <c r="L1642" s="95"/>
      <c r="M1642" s="256" t="s">
        <v>58</v>
      </c>
      <c r="N1642" s="255">
        <f>SUM(N1641:N1641)</f>
        <v>2.7201718752148896</v>
      </c>
      <c r="O1642" s="93"/>
    </row>
    <row r="1643" spans="1:15" x14ac:dyDescent="0.25">
      <c r="A1643" s="107"/>
      <c r="B1643" s="94"/>
      <c r="C1643" s="94"/>
      <c r="D1643" s="94"/>
      <c r="E1643" s="94"/>
      <c r="F1643" s="94"/>
      <c r="G1643" s="94"/>
      <c r="H1643" s="94"/>
      <c r="I1643" s="94"/>
      <c r="J1643" s="94"/>
      <c r="K1643" s="94"/>
      <c r="L1643" s="94"/>
      <c r="M1643" s="94"/>
      <c r="N1643" s="94"/>
      <c r="O1643" s="93"/>
    </row>
    <row r="1644" spans="1:15" x14ac:dyDescent="0.25">
      <c r="A1644" s="261" t="s">
        <v>67</v>
      </c>
      <c r="B1644" s="274" t="s">
        <v>106</v>
      </c>
      <c r="C1644" s="274" t="s">
        <v>66</v>
      </c>
      <c r="D1644" s="274" t="s">
        <v>65</v>
      </c>
      <c r="E1644" s="274" t="s">
        <v>64</v>
      </c>
      <c r="F1644" s="274" t="s">
        <v>40</v>
      </c>
      <c r="G1644" s="274" t="s">
        <v>105</v>
      </c>
      <c r="H1644" s="274" t="s">
        <v>104</v>
      </c>
      <c r="I1644" s="274" t="s">
        <v>58</v>
      </c>
      <c r="J1644" s="95"/>
      <c r="K1644" s="95"/>
      <c r="L1644" s="95"/>
      <c r="M1644" s="95"/>
      <c r="N1644" s="95"/>
      <c r="O1644" s="93"/>
    </row>
    <row r="1645" spans="1:15" ht="30" x14ac:dyDescent="0.25">
      <c r="A1645" s="292">
        <v>10</v>
      </c>
      <c r="B1645" s="291" t="s">
        <v>516</v>
      </c>
      <c r="C1645" s="291" t="s">
        <v>580</v>
      </c>
      <c r="D1645" s="290">
        <v>1.3</v>
      </c>
      <c r="E1645" s="289" t="s">
        <v>64</v>
      </c>
      <c r="F1645" s="288">
        <v>1</v>
      </c>
      <c r="G1645" s="287"/>
      <c r="H1645" s="287"/>
      <c r="I1645" s="293">
        <f>IF(H1645="",D1645*F1645,D1645*F1645*H1645)</f>
        <v>1.3</v>
      </c>
      <c r="J1645" s="142"/>
      <c r="K1645" s="142"/>
      <c r="L1645" s="142"/>
      <c r="M1645" s="142"/>
      <c r="N1645" s="142"/>
      <c r="O1645" s="120"/>
    </row>
    <row r="1646" spans="1:15" x14ac:dyDescent="0.25">
      <c r="A1646" s="292">
        <v>20</v>
      </c>
      <c r="B1646" s="291" t="s">
        <v>514</v>
      </c>
      <c r="C1646" s="291" t="s">
        <v>579</v>
      </c>
      <c r="D1646" s="290">
        <v>0.04</v>
      </c>
      <c r="E1646" s="289" t="s">
        <v>512</v>
      </c>
      <c r="F1646" s="306">
        <f>J1641*K1641*1000000-73.5</f>
        <v>80.312376319756282</v>
      </c>
      <c r="G1646" s="322" t="s">
        <v>511</v>
      </c>
      <c r="H1646" s="287">
        <v>3</v>
      </c>
      <c r="I1646" s="293">
        <f>IF(H1646="",D1646*F1646,D1646*F1646*H1646)</f>
        <v>9.6374851583707546</v>
      </c>
      <c r="J1646" s="94"/>
      <c r="K1646" s="94"/>
      <c r="L1646" s="94"/>
      <c r="M1646" s="94"/>
      <c r="N1646" s="94"/>
      <c r="O1646" s="93"/>
    </row>
    <row r="1647" spans="1:15" ht="30" x14ac:dyDescent="0.25">
      <c r="A1647" s="292">
        <v>30</v>
      </c>
      <c r="B1647" s="291" t="s">
        <v>516</v>
      </c>
      <c r="C1647" s="291" t="s">
        <v>578</v>
      </c>
      <c r="D1647" s="290">
        <v>1.3</v>
      </c>
      <c r="E1647" s="289" t="s">
        <v>64</v>
      </c>
      <c r="F1647" s="288">
        <v>1</v>
      </c>
      <c r="G1647" s="287"/>
      <c r="H1647" s="287"/>
      <c r="I1647" s="276">
        <f>IF(H1647="",D1647*F1647,D1647*F1647*H1647)</f>
        <v>1.3</v>
      </c>
      <c r="J1647" s="99"/>
      <c r="K1647" s="99"/>
      <c r="L1647" s="99"/>
      <c r="M1647" s="99"/>
      <c r="N1647" s="99"/>
      <c r="O1647" s="130"/>
    </row>
    <row r="1648" spans="1:15" x14ac:dyDescent="0.25">
      <c r="A1648" s="292">
        <v>40</v>
      </c>
      <c r="B1648" s="291" t="s">
        <v>577</v>
      </c>
      <c r="C1648" s="291" t="s">
        <v>576</v>
      </c>
      <c r="D1648" s="290">
        <v>0.5</v>
      </c>
      <c r="E1648" s="289" t="s">
        <v>101</v>
      </c>
      <c r="F1648" s="288">
        <v>10.6</v>
      </c>
      <c r="G1648" s="287"/>
      <c r="H1648" s="287"/>
      <c r="I1648" s="276">
        <f>IF(H1648="",D1648*F1648,D1648*F1648*H1648)</f>
        <v>5.3</v>
      </c>
      <c r="J1648" s="94"/>
      <c r="K1648" s="94"/>
      <c r="L1648" s="94"/>
      <c r="M1648" s="94"/>
      <c r="N1648" s="94"/>
      <c r="O1648" s="93"/>
    </row>
    <row r="1649" spans="1:15" x14ac:dyDescent="0.25">
      <c r="A1649" s="98"/>
      <c r="B1649" s="95"/>
      <c r="C1649" s="95"/>
      <c r="D1649" s="95"/>
      <c r="E1649" s="95"/>
      <c r="F1649" s="95"/>
      <c r="G1649" s="95"/>
      <c r="H1649" s="256" t="s">
        <v>58</v>
      </c>
      <c r="I1649" s="255">
        <f>SUM(I1645:I1648)</f>
        <v>17.537485158370757</v>
      </c>
      <c r="J1649" s="95"/>
      <c r="K1649" s="95"/>
      <c r="L1649" s="95"/>
      <c r="M1649" s="95"/>
      <c r="N1649" s="95"/>
      <c r="O1649" s="93"/>
    </row>
    <row r="1650" spans="1:15" x14ac:dyDescent="0.25">
      <c r="A1650" s="107"/>
      <c r="B1650" s="94"/>
      <c r="C1650" s="94"/>
      <c r="D1650" s="94"/>
      <c r="E1650" s="94"/>
      <c r="F1650" s="94"/>
      <c r="G1650" s="94"/>
      <c r="H1650" s="94"/>
      <c r="I1650" s="99"/>
      <c r="J1650" s="94"/>
      <c r="K1650" s="94"/>
      <c r="L1650" s="94"/>
      <c r="M1650" s="94"/>
      <c r="N1650" s="94"/>
      <c r="O1650" s="93"/>
    </row>
    <row r="1651" spans="1:15" ht="15.75" thickBot="1" x14ac:dyDescent="0.3">
      <c r="A1651" s="92"/>
      <c r="B1651" s="91"/>
      <c r="C1651" s="91"/>
      <c r="D1651" s="91"/>
      <c r="E1651" s="91"/>
      <c r="F1651" s="91"/>
      <c r="G1651" s="91"/>
      <c r="H1651" s="91"/>
      <c r="I1651" s="91"/>
      <c r="J1651" s="91"/>
      <c r="K1651" s="91"/>
      <c r="L1651" s="91"/>
      <c r="M1651" s="91"/>
      <c r="N1651" s="91"/>
      <c r="O1651" s="90"/>
    </row>
    <row r="1652" spans="1:15" ht="15.75" thickBot="1" x14ac:dyDescent="0.3"/>
    <row r="1653" spans="1:15" x14ac:dyDescent="0.25">
      <c r="A1653" s="141"/>
      <c r="B1653" s="140"/>
      <c r="C1653" s="140"/>
      <c r="D1653" s="140"/>
      <c r="E1653" s="140"/>
      <c r="F1653" s="140"/>
      <c r="G1653" s="140"/>
      <c r="H1653" s="140"/>
      <c r="I1653" s="140"/>
      <c r="J1653" s="272"/>
      <c r="K1653" s="140"/>
      <c r="L1653" s="140"/>
      <c r="M1653" s="140"/>
      <c r="N1653" s="140"/>
      <c r="O1653" s="139"/>
    </row>
    <row r="1654" spans="1:15" x14ac:dyDescent="0.25">
      <c r="A1654" s="267" t="s">
        <v>57</v>
      </c>
      <c r="B1654" s="133" t="s">
        <v>523</v>
      </c>
      <c r="C1654" s="94"/>
      <c r="D1654" s="94"/>
      <c r="E1654" s="94"/>
      <c r="F1654" s="94"/>
      <c r="G1654" s="94"/>
      <c r="H1654" s="94"/>
      <c r="I1654" s="94"/>
      <c r="J1654" s="271" t="s">
        <v>51</v>
      </c>
      <c r="K1654" s="138">
        <v>81</v>
      </c>
      <c r="L1654" s="94"/>
      <c r="M1654" s="267" t="s">
        <v>113</v>
      </c>
      <c r="N1654" s="100">
        <f>EN_12001_m+EN_12001_p</f>
        <v>23.853249328634671</v>
      </c>
      <c r="O1654" s="93"/>
    </row>
    <row r="1655" spans="1:15" x14ac:dyDescent="0.25">
      <c r="A1655" s="267" t="s">
        <v>125</v>
      </c>
      <c r="B1655" s="133" t="s">
        <v>21</v>
      </c>
      <c r="C1655" s="94"/>
      <c r="D1655" s="267" t="s">
        <v>122</v>
      </c>
      <c r="E1655" s="94"/>
      <c r="F1655" s="94"/>
      <c r="G1655" s="94"/>
      <c r="H1655" s="94"/>
      <c r="I1655" s="94"/>
      <c r="J1655" s="94"/>
      <c r="K1655" s="94"/>
      <c r="L1655" s="94"/>
      <c r="M1655" s="267" t="s">
        <v>124</v>
      </c>
      <c r="N1655" s="136">
        <v>1</v>
      </c>
      <c r="O1655" s="93"/>
    </row>
    <row r="1656" spans="1:15" x14ac:dyDescent="0.25">
      <c r="A1656" s="267" t="s">
        <v>123</v>
      </c>
      <c r="B1656" s="270" t="str">
        <f>'EN Assemblies'!B633</f>
        <v>Chain set</v>
      </c>
      <c r="C1656" s="94"/>
      <c r="D1656" s="267" t="s">
        <v>119</v>
      </c>
      <c r="E1656" s="94"/>
      <c r="F1656" s="94"/>
      <c r="G1656" s="94"/>
      <c r="H1656" s="94"/>
      <c r="I1656" s="94"/>
      <c r="J1656" s="268" t="s">
        <v>122</v>
      </c>
      <c r="K1656" s="94"/>
      <c r="L1656" s="94"/>
      <c r="M1656" s="94"/>
      <c r="N1656" s="94"/>
      <c r="O1656" s="93"/>
    </row>
    <row r="1657" spans="1:15" x14ac:dyDescent="0.25">
      <c r="A1657" s="267" t="s">
        <v>114</v>
      </c>
      <c r="B1657" s="135" t="s">
        <v>575</v>
      </c>
      <c r="C1657" s="94"/>
      <c r="D1657" s="267" t="s">
        <v>116</v>
      </c>
      <c r="E1657" s="94"/>
      <c r="F1657" s="94"/>
      <c r="G1657" s="94"/>
      <c r="H1657" s="94"/>
      <c r="I1657" s="94"/>
      <c r="J1657" s="268" t="s">
        <v>119</v>
      </c>
      <c r="K1657" s="94"/>
      <c r="L1657" s="94"/>
      <c r="M1657" s="267" t="s">
        <v>118</v>
      </c>
      <c r="N1657" s="100">
        <f>N1655*N1654</f>
        <v>23.853249328634671</v>
      </c>
      <c r="O1657" s="93"/>
    </row>
    <row r="1658" spans="1:15" x14ac:dyDescent="0.25">
      <c r="A1658" s="267" t="s">
        <v>121</v>
      </c>
      <c r="B1658" s="269" t="s">
        <v>574</v>
      </c>
      <c r="C1658" s="94"/>
      <c r="D1658" s="94"/>
      <c r="E1658" s="94"/>
      <c r="F1658" s="94"/>
      <c r="G1658" s="94"/>
      <c r="H1658" s="94"/>
      <c r="I1658" s="94"/>
      <c r="J1658" s="268" t="s">
        <v>116</v>
      </c>
      <c r="K1658" s="94"/>
      <c r="L1658" s="94"/>
      <c r="M1658" s="94"/>
      <c r="N1658" s="94"/>
      <c r="O1658" s="93"/>
    </row>
    <row r="1659" spans="1:15" x14ac:dyDescent="0.25">
      <c r="A1659" s="267" t="s">
        <v>117</v>
      </c>
      <c r="B1659" s="133" t="s">
        <v>23</v>
      </c>
      <c r="C1659" s="94"/>
      <c r="D1659" s="94"/>
      <c r="E1659" s="94"/>
      <c r="F1659" s="94"/>
      <c r="G1659" s="94"/>
      <c r="H1659" s="94"/>
      <c r="I1659" s="94"/>
      <c r="J1659" s="94"/>
      <c r="K1659" s="94"/>
      <c r="L1659" s="94"/>
      <c r="M1659" s="94"/>
      <c r="N1659" s="94"/>
      <c r="O1659" s="93"/>
    </row>
    <row r="1660" spans="1:15" x14ac:dyDescent="0.25">
      <c r="A1660" s="267" t="s">
        <v>115</v>
      </c>
      <c r="B1660" s="133" t="s">
        <v>573</v>
      </c>
      <c r="C1660" s="94"/>
      <c r="D1660" s="94"/>
      <c r="E1660" s="94"/>
      <c r="F1660" s="94"/>
      <c r="G1660" s="94"/>
      <c r="H1660" s="94"/>
      <c r="I1660" s="94"/>
      <c r="J1660" s="94"/>
      <c r="K1660" s="94"/>
      <c r="L1660" s="94"/>
      <c r="M1660" s="94"/>
      <c r="N1660" s="94"/>
      <c r="O1660" s="93"/>
    </row>
    <row r="1661" spans="1:15" x14ac:dyDescent="0.25">
      <c r="A1661" s="266"/>
      <c r="B1661" s="265"/>
      <c r="C1661" s="265"/>
      <c r="D1661" s="265"/>
      <c r="E1661" s="265"/>
      <c r="F1661" s="94"/>
      <c r="G1661" s="94"/>
      <c r="H1661" s="94"/>
      <c r="I1661" s="94"/>
      <c r="J1661" s="94"/>
      <c r="K1661" s="94"/>
      <c r="L1661" s="94"/>
      <c r="M1661" s="94"/>
      <c r="N1661" s="94"/>
      <c r="O1661" s="93"/>
    </row>
    <row r="1662" spans="1:15" x14ac:dyDescent="0.25">
      <c r="A1662" s="264" t="s">
        <v>67</v>
      </c>
      <c r="B1662" s="263" t="s">
        <v>112</v>
      </c>
      <c r="C1662" s="263" t="s">
        <v>66</v>
      </c>
      <c r="D1662" s="263" t="s">
        <v>65</v>
      </c>
      <c r="E1662" s="263" t="s">
        <v>81</v>
      </c>
      <c r="F1662" s="274" t="s">
        <v>80</v>
      </c>
      <c r="G1662" s="274" t="s">
        <v>79</v>
      </c>
      <c r="H1662" s="274" t="s">
        <v>78</v>
      </c>
      <c r="I1662" s="274" t="s">
        <v>111</v>
      </c>
      <c r="J1662" s="274" t="s">
        <v>110</v>
      </c>
      <c r="K1662" s="274" t="s">
        <v>109</v>
      </c>
      <c r="L1662" s="274" t="s">
        <v>108</v>
      </c>
      <c r="M1662" s="274" t="s">
        <v>40</v>
      </c>
      <c r="N1662" s="274" t="s">
        <v>58</v>
      </c>
      <c r="O1662" s="93"/>
    </row>
    <row r="1663" spans="1:15" x14ac:dyDescent="0.25">
      <c r="A1663" s="292">
        <v>10</v>
      </c>
      <c r="B1663" s="298" t="s">
        <v>519</v>
      </c>
      <c r="C1663" s="297" t="s">
        <v>572</v>
      </c>
      <c r="D1663" s="290">
        <v>2.25</v>
      </c>
      <c r="E1663" s="315">
        <v>76</v>
      </c>
      <c r="F1663" s="315" t="s">
        <v>68</v>
      </c>
      <c r="G1663" s="315"/>
      <c r="H1663" s="314"/>
      <c r="I1663" s="313" t="s">
        <v>571</v>
      </c>
      <c r="J1663" s="321">
        <f>PI()*(0.076/2)^2</f>
        <v>4.5364597917836608E-3</v>
      </c>
      <c r="K1663" s="320">
        <v>0.02</v>
      </c>
      <c r="L1663" s="319">
        <v>7860</v>
      </c>
      <c r="M1663" s="318">
        <v>1</v>
      </c>
      <c r="N1663" s="276">
        <f>IF(J1663="",D1663*M1663,D1663*J1663*K1663*L1663*M1663)</f>
        <v>1.6045458283538807</v>
      </c>
      <c r="O1663" s="143"/>
    </row>
    <row r="1664" spans="1:15" x14ac:dyDescent="0.25">
      <c r="A1664" s="98"/>
      <c r="B1664" s="95"/>
      <c r="C1664" s="95"/>
      <c r="D1664" s="95"/>
      <c r="E1664" s="95"/>
      <c r="F1664" s="95"/>
      <c r="G1664" s="95"/>
      <c r="H1664" s="95"/>
      <c r="I1664" s="95"/>
      <c r="J1664" s="95"/>
      <c r="K1664" s="95"/>
      <c r="L1664" s="95"/>
      <c r="M1664" s="256" t="s">
        <v>58</v>
      </c>
      <c r="N1664" s="255">
        <f>SUM(N1663:N1663)</f>
        <v>1.6045458283538807</v>
      </c>
      <c r="O1664" s="93"/>
    </row>
    <row r="1665" spans="1:15" x14ac:dyDescent="0.25">
      <c r="A1665" s="107"/>
      <c r="B1665" s="94"/>
      <c r="C1665" s="94"/>
      <c r="D1665" s="94"/>
      <c r="E1665" s="94"/>
      <c r="F1665" s="94"/>
      <c r="G1665" s="94"/>
      <c r="H1665" s="94"/>
      <c r="I1665" s="94"/>
      <c r="J1665" s="94"/>
      <c r="K1665" s="94"/>
      <c r="L1665" s="94"/>
      <c r="M1665" s="94"/>
      <c r="N1665" s="94"/>
      <c r="O1665" s="93"/>
    </row>
    <row r="1666" spans="1:15" x14ac:dyDescent="0.25">
      <c r="A1666" s="261" t="s">
        <v>67</v>
      </c>
      <c r="B1666" s="260" t="s">
        <v>106</v>
      </c>
      <c r="C1666" s="260" t="s">
        <v>66</v>
      </c>
      <c r="D1666" s="260" t="s">
        <v>65</v>
      </c>
      <c r="E1666" s="260" t="s">
        <v>64</v>
      </c>
      <c r="F1666" s="260" t="s">
        <v>40</v>
      </c>
      <c r="G1666" s="260" t="s">
        <v>105</v>
      </c>
      <c r="H1666" s="260" t="s">
        <v>104</v>
      </c>
      <c r="I1666" s="260" t="s">
        <v>58</v>
      </c>
      <c r="J1666" s="95"/>
      <c r="K1666" s="95"/>
      <c r="L1666" s="95"/>
      <c r="M1666" s="95"/>
      <c r="N1666" s="95"/>
      <c r="O1666" s="93"/>
    </row>
    <row r="1667" spans="1:15" ht="30" x14ac:dyDescent="0.25">
      <c r="A1667" s="114">
        <v>10</v>
      </c>
      <c r="B1667" s="118" t="s">
        <v>516</v>
      </c>
      <c r="C1667" s="118" t="s">
        <v>564</v>
      </c>
      <c r="D1667" s="117">
        <v>1.3</v>
      </c>
      <c r="E1667" s="116" t="s">
        <v>64</v>
      </c>
      <c r="F1667" s="317">
        <v>1</v>
      </c>
      <c r="G1667" s="317"/>
      <c r="H1667" s="317"/>
      <c r="I1667" s="257">
        <f>IF(H1667="",D1667*F1667,D1667*F1667*H1667)</f>
        <v>1.3</v>
      </c>
      <c r="J1667" s="142"/>
      <c r="K1667" s="142"/>
      <c r="L1667" s="142"/>
      <c r="M1667" s="142"/>
      <c r="N1667" s="142"/>
      <c r="O1667" s="120"/>
    </row>
    <row r="1668" spans="1:15" x14ac:dyDescent="0.25">
      <c r="A1668" s="114">
        <v>20</v>
      </c>
      <c r="B1668" s="118" t="s">
        <v>514</v>
      </c>
      <c r="C1668" s="118" t="s">
        <v>560</v>
      </c>
      <c r="D1668" s="117">
        <v>0.04</v>
      </c>
      <c r="E1668" s="116" t="s">
        <v>512</v>
      </c>
      <c r="F1668" s="316">
        <f>J1663*K1663*1000000-27.74</f>
        <v>62.989195835673229</v>
      </c>
      <c r="G1668" s="198" t="s">
        <v>562</v>
      </c>
      <c r="H1668" s="163">
        <v>3</v>
      </c>
      <c r="I1668" s="257">
        <f>IF(H1668="",D1668*F1668,D1668*F1668*H1668)</f>
        <v>7.558703500280787</v>
      </c>
      <c r="J1668" s="94"/>
      <c r="K1668" s="94"/>
      <c r="L1668" s="94"/>
      <c r="M1668" s="94"/>
      <c r="N1668" s="94"/>
      <c r="O1668" s="93"/>
    </row>
    <row r="1669" spans="1:15" x14ac:dyDescent="0.25">
      <c r="A1669" s="114">
        <v>30</v>
      </c>
      <c r="B1669" s="273" t="s">
        <v>563</v>
      </c>
      <c r="C1669" s="291"/>
      <c r="D1669" s="290">
        <v>0.5</v>
      </c>
      <c r="E1669" s="289" t="s">
        <v>101</v>
      </c>
      <c r="F1669" s="310">
        <f>15*0.5</f>
        <v>7.5</v>
      </c>
      <c r="G1669" s="309" t="s">
        <v>562</v>
      </c>
      <c r="H1669" s="308">
        <v>3</v>
      </c>
      <c r="I1669" s="293">
        <f>IF(H1669="",D1669*F1669,D1669*F1669*H1669)</f>
        <v>11.25</v>
      </c>
      <c r="J1669" s="94"/>
      <c r="K1669" s="94"/>
      <c r="L1669" s="94"/>
      <c r="M1669" s="94"/>
      <c r="N1669" s="94"/>
      <c r="O1669" s="93"/>
    </row>
    <row r="1670" spans="1:15" ht="30" x14ac:dyDescent="0.25">
      <c r="A1670" s="292">
        <v>40</v>
      </c>
      <c r="B1670" s="291" t="s">
        <v>551</v>
      </c>
      <c r="C1670" s="291" t="s">
        <v>570</v>
      </c>
      <c r="D1670" s="290">
        <v>1.3</v>
      </c>
      <c r="E1670" s="289" t="s">
        <v>64</v>
      </c>
      <c r="F1670" s="308">
        <v>1</v>
      </c>
      <c r="G1670" s="308"/>
      <c r="H1670" s="308"/>
      <c r="I1670" s="276">
        <f>IF(H1670="",D1670*F1670,D1670*F1670*H1670)</f>
        <v>1.3</v>
      </c>
      <c r="J1670" s="99"/>
      <c r="K1670" s="99"/>
      <c r="L1670" s="99"/>
      <c r="M1670" s="99"/>
      <c r="N1670" s="99"/>
      <c r="O1670" s="130"/>
    </row>
    <row r="1671" spans="1:15" x14ac:dyDescent="0.25">
      <c r="A1671" s="292">
        <v>50</v>
      </c>
      <c r="B1671" s="291" t="s">
        <v>549</v>
      </c>
      <c r="C1671" s="291" t="s">
        <v>569</v>
      </c>
      <c r="D1671" s="290">
        <v>0.5</v>
      </c>
      <c r="E1671" s="289" t="s">
        <v>101</v>
      </c>
      <c r="F1671" s="310">
        <v>1.68</v>
      </c>
      <c r="G1671" s="309"/>
      <c r="H1671" s="308"/>
      <c r="I1671" s="276">
        <f>IF(H1671="",D1671*F1671,D1671*F1671*H1671)</f>
        <v>0.84</v>
      </c>
      <c r="J1671" s="94"/>
      <c r="K1671" s="94"/>
      <c r="L1671" s="94"/>
      <c r="M1671" s="94"/>
      <c r="N1671" s="94"/>
      <c r="O1671" s="93"/>
    </row>
    <row r="1672" spans="1:15" x14ac:dyDescent="0.25">
      <c r="A1672" s="98"/>
      <c r="B1672" s="95"/>
      <c r="C1672" s="95"/>
      <c r="D1672" s="95"/>
      <c r="E1672" s="95"/>
      <c r="F1672" s="95"/>
      <c r="G1672" s="95"/>
      <c r="H1672" s="256" t="s">
        <v>58</v>
      </c>
      <c r="I1672" s="255">
        <f>SUM(I1667:I1671)</f>
        <v>22.24870350028079</v>
      </c>
      <c r="J1672" s="95"/>
      <c r="K1672" s="95"/>
      <c r="L1672" s="95"/>
      <c r="M1672" s="95"/>
      <c r="N1672" s="95"/>
      <c r="O1672" s="93"/>
    </row>
    <row r="1673" spans="1:15" x14ac:dyDescent="0.25">
      <c r="A1673" s="107"/>
      <c r="B1673" s="94"/>
      <c r="C1673" s="94"/>
      <c r="D1673" s="94"/>
      <c r="E1673" s="94"/>
      <c r="F1673" s="94"/>
      <c r="G1673" s="94"/>
      <c r="H1673" s="94"/>
      <c r="I1673" s="99"/>
      <c r="J1673" s="94"/>
      <c r="K1673" s="94"/>
      <c r="L1673" s="94"/>
      <c r="M1673" s="94"/>
      <c r="N1673" s="94"/>
      <c r="O1673" s="93"/>
    </row>
    <row r="1674" spans="1:15" ht="15.75" thickBot="1" x14ac:dyDescent="0.3">
      <c r="A1674" s="92"/>
      <c r="B1674" s="91"/>
      <c r="C1674" s="91"/>
      <c r="D1674" s="91"/>
      <c r="E1674" s="91"/>
      <c r="F1674" s="91"/>
      <c r="G1674" s="91"/>
      <c r="H1674" s="91"/>
      <c r="I1674" s="91"/>
      <c r="J1674" s="91"/>
      <c r="K1674" s="91"/>
      <c r="L1674" s="91"/>
      <c r="M1674" s="91"/>
      <c r="N1674" s="91"/>
      <c r="O1674" s="90"/>
    </row>
    <row r="1675" spans="1:15" ht="15.75" thickBot="1" x14ac:dyDescent="0.3"/>
    <row r="1676" spans="1:15" x14ac:dyDescent="0.25">
      <c r="A1676" s="141"/>
      <c r="B1676" s="140"/>
      <c r="C1676" s="140"/>
      <c r="D1676" s="140"/>
      <c r="E1676" s="140"/>
      <c r="F1676" s="140"/>
      <c r="G1676" s="140"/>
      <c r="H1676" s="140"/>
      <c r="I1676" s="140"/>
      <c r="J1676" s="272"/>
      <c r="K1676" s="140"/>
      <c r="L1676" s="140"/>
      <c r="M1676" s="140"/>
      <c r="N1676" s="140"/>
      <c r="O1676" s="139"/>
    </row>
    <row r="1677" spans="1:15" x14ac:dyDescent="0.25">
      <c r="A1677" s="267" t="s">
        <v>57</v>
      </c>
      <c r="B1677" s="133" t="s">
        <v>523</v>
      </c>
      <c r="C1677" s="94"/>
      <c r="D1677" s="94"/>
      <c r="E1677" s="94"/>
      <c r="F1677" s="94"/>
      <c r="G1677" s="94"/>
      <c r="H1677" s="94"/>
      <c r="I1677" s="94"/>
      <c r="J1677" s="271" t="s">
        <v>51</v>
      </c>
      <c r="K1677" s="138">
        <v>81</v>
      </c>
      <c r="L1677" s="94"/>
      <c r="M1677" s="267" t="s">
        <v>113</v>
      </c>
      <c r="N1677" s="100">
        <f>EN_12002_m+EN_12002_p</f>
        <v>38.4366935175903</v>
      </c>
      <c r="O1677" s="93"/>
    </row>
    <row r="1678" spans="1:15" x14ac:dyDescent="0.25">
      <c r="A1678" s="267" t="s">
        <v>125</v>
      </c>
      <c r="B1678" s="133" t="s">
        <v>21</v>
      </c>
      <c r="C1678" s="94"/>
      <c r="D1678" s="267" t="s">
        <v>122</v>
      </c>
      <c r="E1678" s="270" t="s">
        <v>522</v>
      </c>
      <c r="F1678" s="94"/>
      <c r="G1678" s="94"/>
      <c r="H1678" s="94"/>
      <c r="I1678" s="94"/>
      <c r="J1678" s="94"/>
      <c r="K1678" s="94"/>
      <c r="L1678" s="94"/>
      <c r="M1678" s="267" t="s">
        <v>124</v>
      </c>
      <c r="N1678" s="136">
        <v>1</v>
      </c>
      <c r="O1678" s="93"/>
    </row>
    <row r="1679" spans="1:15" x14ac:dyDescent="0.25">
      <c r="A1679" s="267" t="s">
        <v>123</v>
      </c>
      <c r="B1679" s="270" t="str">
        <f>'EN Assemblies'!B633</f>
        <v>Chain set</v>
      </c>
      <c r="C1679" s="94"/>
      <c r="D1679" s="267" t="s">
        <v>119</v>
      </c>
      <c r="E1679" s="94"/>
      <c r="F1679" s="94"/>
      <c r="G1679" s="94"/>
      <c r="H1679" s="94"/>
      <c r="I1679" s="94"/>
      <c r="J1679" s="268" t="s">
        <v>122</v>
      </c>
      <c r="K1679" s="94"/>
      <c r="L1679" s="94"/>
      <c r="M1679" s="94"/>
      <c r="N1679" s="94"/>
      <c r="O1679" s="93"/>
    </row>
    <row r="1680" spans="1:15" x14ac:dyDescent="0.25">
      <c r="A1680" s="267" t="s">
        <v>114</v>
      </c>
      <c r="B1680" s="135" t="s">
        <v>568</v>
      </c>
      <c r="C1680" s="94"/>
      <c r="D1680" s="267" t="s">
        <v>116</v>
      </c>
      <c r="E1680" s="94"/>
      <c r="F1680" s="94"/>
      <c r="G1680" s="94"/>
      <c r="H1680" s="94"/>
      <c r="I1680" s="94"/>
      <c r="J1680" s="268" t="s">
        <v>119</v>
      </c>
      <c r="K1680" s="94"/>
      <c r="L1680" s="94"/>
      <c r="M1680" s="267" t="s">
        <v>118</v>
      </c>
      <c r="N1680" s="100">
        <f>N1678*N1677</f>
        <v>38.4366935175903</v>
      </c>
      <c r="O1680" s="93"/>
    </row>
    <row r="1681" spans="1:15" x14ac:dyDescent="0.25">
      <c r="A1681" s="267" t="s">
        <v>121</v>
      </c>
      <c r="B1681" s="269" t="s">
        <v>567</v>
      </c>
      <c r="C1681" s="94"/>
      <c r="D1681" s="94"/>
      <c r="E1681" s="94"/>
      <c r="F1681" s="94"/>
      <c r="G1681" s="94"/>
      <c r="H1681" s="94"/>
      <c r="I1681" s="94"/>
      <c r="J1681" s="268" t="s">
        <v>116</v>
      </c>
      <c r="K1681" s="94"/>
      <c r="L1681" s="94"/>
      <c r="M1681" s="94"/>
      <c r="N1681" s="94"/>
      <c r="O1681" s="93"/>
    </row>
    <row r="1682" spans="1:15" x14ac:dyDescent="0.25">
      <c r="A1682" s="267" t="s">
        <v>117</v>
      </c>
      <c r="B1682" s="133" t="s">
        <v>23</v>
      </c>
      <c r="C1682" s="94"/>
      <c r="D1682" s="94"/>
      <c r="E1682" s="94"/>
      <c r="F1682" s="94"/>
      <c r="G1682" s="94"/>
      <c r="H1682" s="94"/>
      <c r="I1682" s="94"/>
      <c r="J1682" s="94"/>
      <c r="K1682" s="94"/>
      <c r="L1682" s="94"/>
      <c r="M1682" s="94"/>
      <c r="N1682" s="94"/>
      <c r="O1682" s="93"/>
    </row>
    <row r="1683" spans="1:15" x14ac:dyDescent="0.25">
      <c r="A1683" s="267" t="s">
        <v>115</v>
      </c>
      <c r="B1683" s="133"/>
      <c r="C1683" s="94"/>
      <c r="D1683" s="94"/>
      <c r="E1683" s="94"/>
      <c r="F1683" s="94"/>
      <c r="G1683" s="94"/>
      <c r="H1683" s="94"/>
      <c r="I1683" s="94"/>
      <c r="J1683" s="94"/>
      <c r="K1683" s="94"/>
      <c r="L1683" s="94"/>
      <c r="M1683" s="94"/>
      <c r="N1683" s="94"/>
      <c r="O1683" s="93"/>
    </row>
    <row r="1684" spans="1:15" x14ac:dyDescent="0.25">
      <c r="A1684" s="266"/>
      <c r="B1684" s="265"/>
      <c r="C1684" s="265"/>
      <c r="D1684" s="265"/>
      <c r="E1684" s="265"/>
      <c r="F1684" s="94"/>
      <c r="G1684" s="94"/>
      <c r="H1684" s="94"/>
      <c r="I1684" s="94"/>
      <c r="J1684" s="94"/>
      <c r="K1684" s="94"/>
      <c r="L1684" s="94"/>
      <c r="M1684" s="94"/>
      <c r="N1684" s="94"/>
      <c r="O1684" s="93"/>
    </row>
    <row r="1685" spans="1:15" x14ac:dyDescent="0.25">
      <c r="A1685" s="264" t="s">
        <v>67</v>
      </c>
      <c r="B1685" s="263" t="s">
        <v>112</v>
      </c>
      <c r="C1685" s="263" t="s">
        <v>66</v>
      </c>
      <c r="D1685" s="263" t="s">
        <v>65</v>
      </c>
      <c r="E1685" s="263" t="s">
        <v>81</v>
      </c>
      <c r="F1685" s="274" t="s">
        <v>80</v>
      </c>
      <c r="G1685" s="274" t="s">
        <v>79</v>
      </c>
      <c r="H1685" s="274" t="s">
        <v>78</v>
      </c>
      <c r="I1685" s="274" t="s">
        <v>111</v>
      </c>
      <c r="J1685" s="274" t="s">
        <v>110</v>
      </c>
      <c r="K1685" s="274" t="s">
        <v>109</v>
      </c>
      <c r="L1685" s="274" t="s">
        <v>108</v>
      </c>
      <c r="M1685" s="274" t="s">
        <v>40</v>
      </c>
      <c r="N1685" s="274" t="s">
        <v>58</v>
      </c>
      <c r="O1685" s="93"/>
    </row>
    <row r="1686" spans="1:15" x14ac:dyDescent="0.25">
      <c r="A1686" s="292">
        <v>10</v>
      </c>
      <c r="B1686" s="298" t="s">
        <v>519</v>
      </c>
      <c r="C1686" s="297" t="s">
        <v>566</v>
      </c>
      <c r="D1686" s="290">
        <v>2.25</v>
      </c>
      <c r="E1686" s="315">
        <v>210</v>
      </c>
      <c r="F1686" s="315" t="s">
        <v>68</v>
      </c>
      <c r="G1686" s="315"/>
      <c r="H1686" s="314"/>
      <c r="I1686" s="313" t="s">
        <v>565</v>
      </c>
      <c r="J1686" s="312">
        <f>0.105^2*PI()</f>
        <v>3.4636059005827467E-2</v>
      </c>
      <c r="K1686" s="311">
        <v>5.0000000000000001E-3</v>
      </c>
      <c r="L1686" s="311">
        <v>7860</v>
      </c>
      <c r="M1686" s="299">
        <v>1</v>
      </c>
      <c r="N1686" s="276">
        <f>IF(J1686="",D1686*M1686,D1686*J1686*K1686*L1686*M1686)</f>
        <v>3.0626935175902936</v>
      </c>
      <c r="O1686" s="143"/>
    </row>
    <row r="1687" spans="1:15" x14ac:dyDescent="0.25">
      <c r="A1687" s="98"/>
      <c r="B1687" s="95"/>
      <c r="C1687" s="95"/>
      <c r="D1687" s="95"/>
      <c r="E1687" s="95"/>
      <c r="F1687" s="95"/>
      <c r="G1687" s="95"/>
      <c r="H1687" s="95"/>
      <c r="I1687" s="95"/>
      <c r="J1687" s="95"/>
      <c r="K1687" s="95"/>
      <c r="L1687" s="95"/>
      <c r="M1687" s="256" t="s">
        <v>58</v>
      </c>
      <c r="N1687" s="255">
        <f>SUM(N1686:N1686)</f>
        <v>3.0626935175902936</v>
      </c>
      <c r="O1687" s="93"/>
    </row>
    <row r="1688" spans="1:15" x14ac:dyDescent="0.25">
      <c r="A1688" s="107"/>
      <c r="B1688" s="94"/>
      <c r="C1688" s="94"/>
      <c r="D1688" s="94"/>
      <c r="E1688" s="94"/>
      <c r="F1688" s="94"/>
      <c r="G1688" s="94"/>
      <c r="H1688" s="94"/>
      <c r="I1688" s="94"/>
      <c r="J1688" s="94"/>
      <c r="K1688" s="94"/>
      <c r="L1688" s="94"/>
      <c r="M1688" s="94"/>
      <c r="N1688" s="94"/>
      <c r="O1688" s="93"/>
    </row>
    <row r="1689" spans="1:15" x14ac:dyDescent="0.25">
      <c r="A1689" s="275" t="s">
        <v>67</v>
      </c>
      <c r="B1689" s="274" t="s">
        <v>106</v>
      </c>
      <c r="C1689" s="274" t="s">
        <v>66</v>
      </c>
      <c r="D1689" s="274" t="s">
        <v>65</v>
      </c>
      <c r="E1689" s="274" t="s">
        <v>64</v>
      </c>
      <c r="F1689" s="274" t="s">
        <v>40</v>
      </c>
      <c r="G1689" s="274" t="s">
        <v>105</v>
      </c>
      <c r="H1689" s="274" t="s">
        <v>104</v>
      </c>
      <c r="I1689" s="274" t="s">
        <v>58</v>
      </c>
      <c r="J1689" s="95"/>
      <c r="K1689" s="95"/>
      <c r="L1689" s="95"/>
      <c r="M1689" s="95"/>
      <c r="N1689" s="95"/>
      <c r="O1689" s="93"/>
    </row>
    <row r="1690" spans="1:15" ht="30" x14ac:dyDescent="0.25">
      <c r="A1690" s="292">
        <v>10</v>
      </c>
      <c r="B1690" s="291" t="s">
        <v>516</v>
      </c>
      <c r="C1690" s="291" t="s">
        <v>564</v>
      </c>
      <c r="D1690" s="290">
        <v>1.3</v>
      </c>
      <c r="E1690" s="289" t="s">
        <v>64</v>
      </c>
      <c r="F1690" s="288">
        <v>1</v>
      </c>
      <c r="G1690" s="287"/>
      <c r="H1690" s="287"/>
      <c r="I1690" s="293">
        <f>IF(H1690="",D1690*F1690,D1690*F1690*H1690)</f>
        <v>1.3</v>
      </c>
      <c r="J1690" s="142"/>
      <c r="K1690" s="142"/>
      <c r="L1690" s="142"/>
      <c r="M1690" s="142"/>
      <c r="N1690" s="142"/>
      <c r="O1690" s="120"/>
    </row>
    <row r="1691" spans="1:15" x14ac:dyDescent="0.25">
      <c r="A1691" s="114">
        <v>20</v>
      </c>
      <c r="B1691" s="273" t="s">
        <v>563</v>
      </c>
      <c r="C1691" s="291"/>
      <c r="D1691" s="290">
        <v>0.5</v>
      </c>
      <c r="E1691" s="289" t="s">
        <v>101</v>
      </c>
      <c r="F1691" s="310">
        <f>39*0.5</f>
        <v>19.5</v>
      </c>
      <c r="G1691" s="309" t="s">
        <v>562</v>
      </c>
      <c r="H1691" s="308">
        <v>3</v>
      </c>
      <c r="I1691" s="293">
        <f>IF(H1693="",D1693*F1693,D1693*F1693*H1693)</f>
        <v>4.8239999999999998</v>
      </c>
      <c r="J1691" s="94"/>
      <c r="K1691" s="94"/>
      <c r="L1691" s="94"/>
      <c r="M1691" s="94"/>
      <c r="N1691" s="94"/>
      <c r="O1691" s="93"/>
    </row>
    <row r="1692" spans="1:15" ht="30" x14ac:dyDescent="0.25">
      <c r="A1692" s="307">
        <v>30</v>
      </c>
      <c r="B1692" s="291" t="s">
        <v>516</v>
      </c>
      <c r="C1692" s="291" t="s">
        <v>561</v>
      </c>
      <c r="D1692" s="290">
        <v>1.3</v>
      </c>
      <c r="E1692" s="289" t="s">
        <v>64</v>
      </c>
      <c r="F1692" s="288">
        <v>1</v>
      </c>
      <c r="G1692" s="297"/>
      <c r="H1692" s="305"/>
      <c r="I1692" s="293"/>
      <c r="J1692" s="94"/>
      <c r="K1692" s="94"/>
      <c r="L1692" s="94"/>
      <c r="M1692" s="94"/>
      <c r="N1692" s="94"/>
      <c r="O1692" s="93"/>
    </row>
    <row r="1693" spans="1:15" x14ac:dyDescent="0.25">
      <c r="A1693" s="286">
        <v>40</v>
      </c>
      <c r="B1693" s="291" t="s">
        <v>527</v>
      </c>
      <c r="C1693" s="291" t="s">
        <v>560</v>
      </c>
      <c r="D1693" s="290">
        <v>0.01</v>
      </c>
      <c r="E1693" s="289" t="s">
        <v>512</v>
      </c>
      <c r="F1693" s="306">
        <v>160.80000000000001</v>
      </c>
      <c r="G1693" s="297" t="s">
        <v>511</v>
      </c>
      <c r="H1693" s="305">
        <v>3</v>
      </c>
      <c r="I1693" s="276">
        <f>IF(H1691="",D1691*F1691,D1691*F1691*H1691)</f>
        <v>29.25</v>
      </c>
      <c r="J1693" s="99"/>
      <c r="K1693" s="99"/>
      <c r="L1693" s="99"/>
      <c r="M1693" s="99"/>
      <c r="N1693" s="99"/>
      <c r="O1693" s="130"/>
    </row>
    <row r="1694" spans="1:15" x14ac:dyDescent="0.25">
      <c r="A1694" s="98"/>
      <c r="B1694" s="95"/>
      <c r="C1694" s="95"/>
      <c r="D1694" s="95"/>
      <c r="E1694" s="95"/>
      <c r="F1694" s="95"/>
      <c r="G1694" s="95"/>
      <c r="H1694" s="256" t="s">
        <v>58</v>
      </c>
      <c r="I1694" s="255">
        <f>SUM(I1690:I1693)</f>
        <v>35.374000000000002</v>
      </c>
      <c r="J1694" s="95"/>
      <c r="K1694" s="95"/>
      <c r="L1694" s="95"/>
      <c r="M1694" s="95"/>
      <c r="N1694" s="95"/>
      <c r="O1694" s="93"/>
    </row>
    <row r="1695" spans="1:15" x14ac:dyDescent="0.25">
      <c r="A1695" s="107"/>
      <c r="B1695" s="94"/>
      <c r="C1695" s="94"/>
      <c r="D1695" s="94"/>
      <c r="E1695" s="94"/>
      <c r="F1695" s="94"/>
      <c r="G1695" s="94"/>
      <c r="H1695" s="94"/>
      <c r="I1695" s="99"/>
      <c r="J1695" s="94"/>
      <c r="K1695" s="94"/>
      <c r="L1695" s="94"/>
      <c r="M1695" s="94"/>
      <c r="N1695" s="94"/>
      <c r="O1695" s="93"/>
    </row>
    <row r="1696" spans="1:15" ht="15.75" thickBot="1" x14ac:dyDescent="0.3">
      <c r="A1696" s="92"/>
      <c r="B1696" s="304"/>
      <c r="C1696" s="304"/>
      <c r="D1696" s="304"/>
      <c r="E1696" s="304"/>
      <c r="F1696" s="304"/>
      <c r="G1696" s="304"/>
      <c r="H1696" s="304"/>
      <c r="I1696" s="91"/>
      <c r="J1696" s="91"/>
      <c r="K1696" s="91"/>
      <c r="L1696" s="91"/>
      <c r="M1696" s="91"/>
      <c r="N1696" s="91"/>
      <c r="O1696" s="90"/>
    </row>
    <row r="1697" spans="1:15" ht="15.75" thickBot="1" x14ac:dyDescent="0.3"/>
    <row r="1698" spans="1:15" x14ac:dyDescent="0.25">
      <c r="A1698" s="141"/>
      <c r="B1698" s="140"/>
      <c r="C1698" s="140"/>
      <c r="D1698" s="140"/>
      <c r="E1698" s="140"/>
      <c r="F1698" s="140"/>
      <c r="G1698" s="140"/>
      <c r="H1698" s="140"/>
      <c r="I1698" s="140"/>
      <c r="J1698" s="272"/>
      <c r="K1698" s="140"/>
      <c r="L1698" s="140"/>
      <c r="M1698" s="140"/>
      <c r="N1698" s="140"/>
      <c r="O1698" s="139"/>
    </row>
    <row r="1699" spans="1:15" x14ac:dyDescent="0.25">
      <c r="A1699" s="267" t="s">
        <v>57</v>
      </c>
      <c r="B1699" s="133" t="s">
        <v>523</v>
      </c>
      <c r="C1699" s="94"/>
      <c r="D1699" s="94"/>
      <c r="E1699" s="94"/>
      <c r="F1699" s="94"/>
      <c r="G1699" s="94"/>
      <c r="H1699" s="94"/>
      <c r="I1699" s="94"/>
      <c r="J1699" s="271" t="s">
        <v>51</v>
      </c>
      <c r="K1699" s="138">
        <v>81</v>
      </c>
      <c r="L1699" s="94"/>
      <c r="M1699" s="267" t="s">
        <v>113</v>
      </c>
      <c r="N1699" s="100">
        <f>EN_12003_m+EN_12003_p</f>
        <v>21.411386035218065</v>
      </c>
      <c r="O1699" s="93"/>
    </row>
    <row r="1700" spans="1:15" x14ac:dyDescent="0.25">
      <c r="A1700" s="267" t="s">
        <v>125</v>
      </c>
      <c r="B1700" s="133" t="s">
        <v>21</v>
      </c>
      <c r="C1700" s="94"/>
      <c r="D1700" s="267" t="s">
        <v>122</v>
      </c>
      <c r="E1700" s="270" t="s">
        <v>522</v>
      </c>
      <c r="F1700" s="94"/>
      <c r="G1700" s="94"/>
      <c r="H1700" s="94"/>
      <c r="I1700" s="94"/>
      <c r="J1700" s="94"/>
      <c r="K1700" s="94"/>
      <c r="L1700" s="94"/>
      <c r="M1700" s="267" t="s">
        <v>124</v>
      </c>
      <c r="N1700" s="136">
        <v>1</v>
      </c>
      <c r="O1700" s="93"/>
    </row>
    <row r="1701" spans="1:15" x14ac:dyDescent="0.25">
      <c r="A1701" s="267" t="s">
        <v>123</v>
      </c>
      <c r="B1701" s="270" t="str">
        <f>'EN Assemblies'!B633</f>
        <v>Chain set</v>
      </c>
      <c r="C1701" s="94"/>
      <c r="D1701" s="267" t="s">
        <v>119</v>
      </c>
      <c r="E1701" s="94"/>
      <c r="F1701" s="94"/>
      <c r="G1701" s="94"/>
      <c r="H1701" s="94"/>
      <c r="I1701" s="94"/>
      <c r="J1701" s="268" t="s">
        <v>122</v>
      </c>
      <c r="K1701" s="94"/>
      <c r="L1701" s="94"/>
      <c r="M1701" s="94"/>
      <c r="N1701" s="94"/>
      <c r="O1701" s="93"/>
    </row>
    <row r="1702" spans="1:15" x14ac:dyDescent="0.25">
      <c r="A1702" s="267" t="s">
        <v>114</v>
      </c>
      <c r="B1702" s="135" t="s">
        <v>559</v>
      </c>
      <c r="C1702" s="94"/>
      <c r="D1702" s="267" t="s">
        <v>116</v>
      </c>
      <c r="E1702" s="94"/>
      <c r="F1702" s="94"/>
      <c r="G1702" s="94"/>
      <c r="H1702" s="94"/>
      <c r="I1702" s="94"/>
      <c r="J1702" s="268" t="s">
        <v>119</v>
      </c>
      <c r="K1702" s="94"/>
      <c r="L1702" s="94"/>
      <c r="M1702" s="267" t="s">
        <v>118</v>
      </c>
      <c r="N1702" s="100">
        <f>N1700*N1699</f>
        <v>21.411386035218065</v>
      </c>
      <c r="O1702" s="93"/>
    </row>
    <row r="1703" spans="1:15" x14ac:dyDescent="0.25">
      <c r="A1703" s="267" t="s">
        <v>121</v>
      </c>
      <c r="B1703" s="269" t="s">
        <v>558</v>
      </c>
      <c r="C1703" s="94"/>
      <c r="D1703" s="94"/>
      <c r="E1703" s="94"/>
      <c r="F1703" s="94"/>
      <c r="G1703" s="94"/>
      <c r="H1703" s="94"/>
      <c r="I1703" s="94"/>
      <c r="J1703" s="268" t="s">
        <v>116</v>
      </c>
      <c r="K1703" s="94"/>
      <c r="L1703" s="94"/>
      <c r="M1703" s="94"/>
      <c r="N1703" s="94"/>
      <c r="O1703" s="93"/>
    </row>
    <row r="1704" spans="1:15" x14ac:dyDescent="0.25">
      <c r="A1704" s="267" t="s">
        <v>117</v>
      </c>
      <c r="B1704" s="133" t="s">
        <v>23</v>
      </c>
      <c r="C1704" s="94"/>
      <c r="D1704" s="94"/>
      <c r="E1704" s="94"/>
      <c r="F1704" s="94"/>
      <c r="G1704" s="94"/>
      <c r="H1704" s="94"/>
      <c r="I1704" s="94"/>
      <c r="J1704" s="94"/>
      <c r="K1704" s="94"/>
      <c r="L1704" s="94"/>
      <c r="M1704" s="94"/>
      <c r="N1704" s="94"/>
      <c r="O1704" s="93"/>
    </row>
    <row r="1705" spans="1:15" x14ac:dyDescent="0.25">
      <c r="A1705" s="267" t="s">
        <v>115</v>
      </c>
      <c r="B1705" s="133"/>
      <c r="C1705" s="94"/>
      <c r="D1705" s="94"/>
      <c r="E1705" s="94"/>
      <c r="F1705" s="94"/>
      <c r="G1705" s="94"/>
      <c r="H1705" s="94"/>
      <c r="I1705" s="94"/>
      <c r="J1705" s="94"/>
      <c r="K1705" s="94"/>
      <c r="L1705" s="94"/>
      <c r="M1705" s="94"/>
      <c r="N1705" s="94"/>
      <c r="O1705" s="93"/>
    </row>
    <row r="1706" spans="1:15" x14ac:dyDescent="0.25">
      <c r="A1706" s="266"/>
      <c r="B1706" s="265"/>
      <c r="C1706" s="265"/>
      <c r="D1706" s="265"/>
      <c r="E1706" s="265"/>
      <c r="F1706" s="94"/>
      <c r="G1706" s="94"/>
      <c r="H1706" s="94"/>
      <c r="I1706" s="94"/>
      <c r="J1706" s="94"/>
      <c r="K1706" s="94"/>
      <c r="L1706" s="94"/>
      <c r="M1706" s="94"/>
      <c r="N1706" s="94"/>
      <c r="O1706" s="93"/>
    </row>
    <row r="1707" spans="1:15" x14ac:dyDescent="0.25">
      <c r="A1707" s="264" t="s">
        <v>67</v>
      </c>
      <c r="B1707" s="263" t="s">
        <v>112</v>
      </c>
      <c r="C1707" s="263" t="s">
        <v>66</v>
      </c>
      <c r="D1707" s="263" t="s">
        <v>65</v>
      </c>
      <c r="E1707" s="263" t="s">
        <v>81</v>
      </c>
      <c r="F1707" s="274" t="s">
        <v>80</v>
      </c>
      <c r="G1707" s="274" t="s">
        <v>79</v>
      </c>
      <c r="H1707" s="274" t="s">
        <v>78</v>
      </c>
      <c r="I1707" s="274" t="s">
        <v>111</v>
      </c>
      <c r="J1707" s="274" t="s">
        <v>110</v>
      </c>
      <c r="K1707" s="274" t="s">
        <v>109</v>
      </c>
      <c r="L1707" s="274" t="s">
        <v>108</v>
      </c>
      <c r="M1707" s="274" t="s">
        <v>40</v>
      </c>
      <c r="N1707" s="274" t="s">
        <v>58</v>
      </c>
      <c r="O1707" s="93"/>
    </row>
    <row r="1708" spans="1:15" x14ac:dyDescent="0.25">
      <c r="A1708" s="292">
        <v>10</v>
      </c>
      <c r="B1708" s="298" t="s">
        <v>557</v>
      </c>
      <c r="C1708" s="297" t="s">
        <v>556</v>
      </c>
      <c r="D1708" s="290">
        <v>4.2</v>
      </c>
      <c r="E1708" s="282">
        <v>132</v>
      </c>
      <c r="F1708" s="282" t="s">
        <v>68</v>
      </c>
      <c r="G1708" s="282"/>
      <c r="H1708" s="278"/>
      <c r="I1708" s="303" t="s">
        <v>555</v>
      </c>
      <c r="J1708" s="295">
        <f>PI()*0.132^2/4</f>
        <v>1.368477759903714E-2</v>
      </c>
      <c r="K1708" s="278">
        <v>2.9000000000000001E-2</v>
      </c>
      <c r="L1708" s="278">
        <v>2710</v>
      </c>
      <c r="M1708" s="302">
        <v>1</v>
      </c>
      <c r="N1708" s="276">
        <f>IF(J1708="",D1708*M1708,D1708*J1708*K1708*L1708*M1708)</f>
        <v>4.517044020334982</v>
      </c>
      <c r="O1708" s="143"/>
    </row>
    <row r="1709" spans="1:15" x14ac:dyDescent="0.25">
      <c r="A1709" s="98"/>
      <c r="B1709" s="95"/>
      <c r="C1709" s="95"/>
      <c r="D1709" s="95"/>
      <c r="E1709" s="95"/>
      <c r="F1709" s="95"/>
      <c r="G1709" s="95"/>
      <c r="H1709" s="95"/>
      <c r="I1709" s="95"/>
      <c r="J1709" s="95"/>
      <c r="K1709" s="95"/>
      <c r="L1709" s="95"/>
      <c r="M1709" s="256" t="s">
        <v>58</v>
      </c>
      <c r="N1709" s="255">
        <f>SUM(N1708:N1708)</f>
        <v>4.517044020334982</v>
      </c>
      <c r="O1709" s="93"/>
    </row>
    <row r="1710" spans="1:15" x14ac:dyDescent="0.25">
      <c r="A1710" s="107"/>
      <c r="B1710" s="94"/>
      <c r="C1710" s="94"/>
      <c r="D1710" s="94"/>
      <c r="E1710" s="94"/>
      <c r="F1710" s="94"/>
      <c r="G1710" s="94"/>
      <c r="H1710" s="94"/>
      <c r="I1710" s="94"/>
      <c r="J1710" s="94"/>
      <c r="K1710" s="94"/>
      <c r="L1710" s="94"/>
      <c r="M1710" s="94"/>
      <c r="N1710" s="94"/>
      <c r="O1710" s="93"/>
    </row>
    <row r="1711" spans="1:15" x14ac:dyDescent="0.25">
      <c r="A1711" s="275" t="s">
        <v>67</v>
      </c>
      <c r="B1711" s="274" t="s">
        <v>106</v>
      </c>
      <c r="C1711" s="274" t="s">
        <v>66</v>
      </c>
      <c r="D1711" s="274" t="s">
        <v>65</v>
      </c>
      <c r="E1711" s="274" t="s">
        <v>64</v>
      </c>
      <c r="F1711" s="274" t="s">
        <v>40</v>
      </c>
      <c r="G1711" s="274" t="s">
        <v>105</v>
      </c>
      <c r="H1711" s="274" t="s">
        <v>104</v>
      </c>
      <c r="I1711" s="274" t="s">
        <v>58</v>
      </c>
      <c r="J1711" s="95"/>
      <c r="K1711" s="95"/>
      <c r="L1711" s="95"/>
      <c r="M1711" s="95"/>
      <c r="N1711" s="95"/>
      <c r="O1711" s="93"/>
    </row>
    <row r="1712" spans="1:15" ht="30" x14ac:dyDescent="0.25">
      <c r="A1712" s="299">
        <v>10</v>
      </c>
      <c r="B1712" s="291" t="s">
        <v>516</v>
      </c>
      <c r="C1712" s="291" t="s">
        <v>554</v>
      </c>
      <c r="D1712" s="290">
        <v>1.3</v>
      </c>
      <c r="E1712" s="289" t="s">
        <v>64</v>
      </c>
      <c r="F1712" s="288">
        <v>1</v>
      </c>
      <c r="G1712" s="299"/>
      <c r="H1712" s="299"/>
      <c r="I1712" s="293">
        <f>IF(H1712="",D1712*F1712,D1712*F1712*H1712)</f>
        <v>1.3</v>
      </c>
      <c r="J1712" s="142"/>
      <c r="K1712" s="142"/>
      <c r="L1712" s="142"/>
      <c r="M1712" s="142"/>
      <c r="N1712" s="142"/>
      <c r="O1712" s="120"/>
    </row>
    <row r="1713" spans="1:15" x14ac:dyDescent="0.25">
      <c r="A1713" s="299">
        <v>20</v>
      </c>
      <c r="B1713" s="291" t="s">
        <v>514</v>
      </c>
      <c r="C1713" s="291" t="s">
        <v>553</v>
      </c>
      <c r="D1713" s="290">
        <v>0.04</v>
      </c>
      <c r="E1713" s="289" t="s">
        <v>512</v>
      </c>
      <c r="F1713" s="301">
        <f>J1708*K1708*1000000-117</f>
        <v>279.85855037207705</v>
      </c>
      <c r="G1713" s="299"/>
      <c r="H1713" s="299"/>
      <c r="I1713" s="293">
        <f>IF(H1713="",D1713*F1713,D1713*F1713*H1713)</f>
        <v>11.194342014883082</v>
      </c>
      <c r="J1713" s="94"/>
      <c r="K1713" s="94"/>
      <c r="L1713" s="94"/>
      <c r="M1713" s="94"/>
      <c r="N1713" s="94"/>
      <c r="O1713" s="93"/>
    </row>
    <row r="1714" spans="1:15" x14ac:dyDescent="0.25">
      <c r="A1714" s="299">
        <v>30</v>
      </c>
      <c r="B1714" s="291" t="s">
        <v>296</v>
      </c>
      <c r="C1714" s="291" t="s">
        <v>552</v>
      </c>
      <c r="D1714" s="290">
        <v>0.35</v>
      </c>
      <c r="E1714" s="289" t="s">
        <v>294</v>
      </c>
      <c r="F1714" s="288">
        <v>5</v>
      </c>
      <c r="G1714" s="300"/>
      <c r="H1714" s="299"/>
      <c r="I1714" s="276">
        <f>IF(H1714="",D1714*F1714,D1714*F1714*H1714)</f>
        <v>1.75</v>
      </c>
      <c r="J1714" s="99"/>
      <c r="K1714" s="99"/>
      <c r="L1714" s="99"/>
      <c r="M1714" s="99"/>
      <c r="N1714" s="99"/>
      <c r="O1714" s="130"/>
    </row>
    <row r="1715" spans="1:15" ht="30" x14ac:dyDescent="0.25">
      <c r="A1715" s="299">
        <v>40</v>
      </c>
      <c r="B1715" s="291" t="s">
        <v>551</v>
      </c>
      <c r="C1715" s="291" t="s">
        <v>550</v>
      </c>
      <c r="D1715" s="290">
        <v>1.3</v>
      </c>
      <c r="E1715" s="289" t="s">
        <v>64</v>
      </c>
      <c r="F1715" s="288">
        <v>1</v>
      </c>
      <c r="G1715" s="300"/>
      <c r="H1715" s="299"/>
      <c r="I1715" s="276">
        <f>IF(H1715="",D1715*F1715,D1715*F1715*H1715)</f>
        <v>1.3</v>
      </c>
      <c r="J1715" s="94"/>
      <c r="K1715" s="94"/>
      <c r="L1715" s="94"/>
      <c r="M1715" s="94"/>
      <c r="N1715" s="94"/>
      <c r="O1715" s="93"/>
    </row>
    <row r="1716" spans="1:15" x14ac:dyDescent="0.25">
      <c r="A1716" s="299">
        <v>50</v>
      </c>
      <c r="B1716" s="291" t="s">
        <v>549</v>
      </c>
      <c r="C1716" s="291" t="s">
        <v>548</v>
      </c>
      <c r="D1716" s="290">
        <v>0.5</v>
      </c>
      <c r="E1716" s="289" t="s">
        <v>101</v>
      </c>
      <c r="F1716" s="288">
        <v>2.7</v>
      </c>
      <c r="G1716" s="299"/>
      <c r="H1716" s="299"/>
      <c r="I1716" s="276">
        <f>IF(H1716="",D1716*F1716,D1716*F1716*H1716)</f>
        <v>1.35</v>
      </c>
      <c r="J1716" s="94"/>
      <c r="K1716" s="94"/>
      <c r="L1716" s="94"/>
      <c r="M1716" s="94"/>
      <c r="N1716" s="94"/>
      <c r="O1716" s="93"/>
    </row>
    <row r="1717" spans="1:15" x14ac:dyDescent="0.25">
      <c r="A1717" s="98"/>
      <c r="B1717" s="95"/>
      <c r="C1717" s="95"/>
      <c r="D1717" s="95"/>
      <c r="E1717" s="95"/>
      <c r="F1717" s="95"/>
      <c r="G1717" s="95"/>
      <c r="H1717" s="256" t="s">
        <v>58</v>
      </c>
      <c r="I1717" s="255">
        <f>SUM(I1712:I1716)</f>
        <v>16.894342014883083</v>
      </c>
      <c r="J1717" s="95"/>
      <c r="K1717" s="95"/>
      <c r="L1717" s="95"/>
      <c r="M1717" s="95"/>
      <c r="N1717" s="95"/>
      <c r="O1717" s="93"/>
    </row>
    <row r="1718" spans="1:15" x14ac:dyDescent="0.25">
      <c r="A1718" s="107"/>
      <c r="B1718" s="94"/>
      <c r="C1718" s="94"/>
      <c r="D1718" s="94"/>
      <c r="E1718" s="94"/>
      <c r="F1718" s="94"/>
      <c r="G1718" s="94"/>
      <c r="H1718" s="94"/>
      <c r="I1718" s="99"/>
      <c r="J1718" s="94"/>
      <c r="K1718" s="94"/>
      <c r="L1718" s="94"/>
      <c r="M1718" s="94"/>
      <c r="N1718" s="94"/>
      <c r="O1718" s="93"/>
    </row>
    <row r="1719" spans="1:15" ht="15.75" thickBot="1" x14ac:dyDescent="0.3">
      <c r="A1719" s="92"/>
      <c r="B1719" s="91"/>
      <c r="C1719" s="91"/>
      <c r="D1719" s="91"/>
      <c r="E1719" s="91"/>
      <c r="F1719" s="91"/>
      <c r="G1719" s="91"/>
      <c r="H1719" s="91"/>
      <c r="I1719" s="91"/>
      <c r="J1719" s="91"/>
      <c r="K1719" s="91"/>
      <c r="L1719" s="91"/>
      <c r="M1719" s="91"/>
      <c r="N1719" s="91"/>
      <c r="O1719" s="90"/>
    </row>
    <row r="1720" spans="1:15" ht="15.75" thickBot="1" x14ac:dyDescent="0.3"/>
    <row r="1721" spans="1:15" x14ac:dyDescent="0.25">
      <c r="A1721" s="141"/>
      <c r="B1721" s="140"/>
      <c r="C1721" s="140"/>
      <c r="D1721" s="140"/>
      <c r="E1721" s="140"/>
      <c r="F1721" s="140"/>
      <c r="G1721" s="140"/>
      <c r="H1721" s="140"/>
      <c r="I1721" s="140"/>
      <c r="J1721" s="272"/>
      <c r="K1721" s="140"/>
      <c r="L1721" s="140"/>
      <c r="M1721" s="140"/>
      <c r="N1721" s="140"/>
      <c r="O1721" s="139"/>
    </row>
    <row r="1722" spans="1:15" x14ac:dyDescent="0.25">
      <c r="A1722" s="267" t="s">
        <v>57</v>
      </c>
      <c r="B1722" s="133" t="s">
        <v>523</v>
      </c>
      <c r="C1722" s="94"/>
      <c r="D1722" s="94"/>
      <c r="E1722" s="94"/>
      <c r="F1722" s="94"/>
      <c r="G1722" s="94"/>
      <c r="H1722" s="94"/>
      <c r="I1722" s="94"/>
      <c r="J1722" s="271" t="s">
        <v>51</v>
      </c>
      <c r="K1722" s="138">
        <v>81</v>
      </c>
      <c r="L1722" s="94"/>
      <c r="M1722" s="267" t="s">
        <v>113</v>
      </c>
      <c r="N1722" s="100">
        <f>EN_12004_m+EN_12004_p</f>
        <v>9.2414838600000007</v>
      </c>
      <c r="O1722" s="93"/>
    </row>
    <row r="1723" spans="1:15" x14ac:dyDescent="0.25">
      <c r="A1723" s="267" t="s">
        <v>125</v>
      </c>
      <c r="B1723" s="133" t="s">
        <v>21</v>
      </c>
      <c r="C1723" s="94"/>
      <c r="D1723" s="267" t="s">
        <v>122</v>
      </c>
      <c r="E1723" s="270" t="s">
        <v>522</v>
      </c>
      <c r="F1723" s="94"/>
      <c r="G1723" s="94"/>
      <c r="H1723" s="94"/>
      <c r="I1723" s="94"/>
      <c r="J1723" s="94"/>
      <c r="K1723" s="94"/>
      <c r="L1723" s="94"/>
      <c r="M1723" s="267" t="s">
        <v>124</v>
      </c>
      <c r="N1723" s="136">
        <v>1</v>
      </c>
      <c r="O1723" s="93"/>
    </row>
    <row r="1724" spans="1:15" x14ac:dyDescent="0.25">
      <c r="A1724" s="267" t="s">
        <v>123</v>
      </c>
      <c r="B1724" s="270" t="str">
        <f>'EN Assemblies'!B633</f>
        <v>Chain set</v>
      </c>
      <c r="C1724" s="94"/>
      <c r="D1724" s="267" t="s">
        <v>119</v>
      </c>
      <c r="E1724" s="94"/>
      <c r="F1724" s="94"/>
      <c r="G1724" s="94"/>
      <c r="H1724" s="94"/>
      <c r="I1724" s="94"/>
      <c r="J1724" s="268" t="s">
        <v>122</v>
      </c>
      <c r="K1724" s="94"/>
      <c r="L1724" s="94"/>
      <c r="M1724" s="94"/>
      <c r="N1724" s="94"/>
      <c r="O1724" s="93"/>
    </row>
    <row r="1725" spans="1:15" x14ac:dyDescent="0.25">
      <c r="A1725" s="267" t="s">
        <v>114</v>
      </c>
      <c r="B1725" s="135" t="s">
        <v>547</v>
      </c>
      <c r="C1725" s="94"/>
      <c r="D1725" s="267" t="s">
        <v>116</v>
      </c>
      <c r="E1725" s="94"/>
      <c r="F1725" s="94"/>
      <c r="G1725" s="94"/>
      <c r="H1725" s="94"/>
      <c r="I1725" s="94"/>
      <c r="J1725" s="268" t="s">
        <v>119</v>
      </c>
      <c r="K1725" s="94"/>
      <c r="L1725" s="94"/>
      <c r="M1725" s="267" t="s">
        <v>118</v>
      </c>
      <c r="N1725" s="100">
        <f>N1723*N1722</f>
        <v>9.2414838600000007</v>
      </c>
      <c r="O1725" s="93"/>
    </row>
    <row r="1726" spans="1:15" x14ac:dyDescent="0.25">
      <c r="A1726" s="267" t="s">
        <v>121</v>
      </c>
      <c r="B1726" s="269" t="s">
        <v>546</v>
      </c>
      <c r="C1726" s="94"/>
      <c r="D1726" s="94"/>
      <c r="E1726" s="94"/>
      <c r="F1726" s="94"/>
      <c r="G1726" s="94"/>
      <c r="H1726" s="94"/>
      <c r="I1726" s="94"/>
      <c r="J1726" s="268" t="s">
        <v>116</v>
      </c>
      <c r="K1726" s="94"/>
      <c r="L1726" s="94"/>
      <c r="M1726" s="94"/>
      <c r="N1726" s="94"/>
      <c r="O1726" s="93"/>
    </row>
    <row r="1727" spans="1:15" x14ac:dyDescent="0.25">
      <c r="A1727" s="267" t="s">
        <v>117</v>
      </c>
      <c r="B1727" s="133" t="s">
        <v>23</v>
      </c>
      <c r="C1727" s="94"/>
      <c r="D1727" s="94"/>
      <c r="E1727" s="94"/>
      <c r="F1727" s="94"/>
      <c r="G1727" s="94"/>
      <c r="H1727" s="94"/>
      <c r="I1727" s="94"/>
      <c r="J1727" s="94"/>
      <c r="K1727" s="94"/>
      <c r="L1727" s="94"/>
      <c r="M1727" s="94"/>
      <c r="N1727" s="94"/>
      <c r="O1727" s="93"/>
    </row>
    <row r="1728" spans="1:15" x14ac:dyDescent="0.25">
      <c r="A1728" s="267" t="s">
        <v>115</v>
      </c>
      <c r="B1728" s="133"/>
      <c r="C1728" s="94"/>
      <c r="D1728" s="94"/>
      <c r="E1728" s="94"/>
      <c r="F1728" s="94"/>
      <c r="G1728" s="94"/>
      <c r="H1728" s="94"/>
      <c r="I1728" s="94"/>
      <c r="J1728" s="94"/>
      <c r="K1728" s="94"/>
      <c r="L1728" s="94"/>
      <c r="M1728" s="94"/>
      <c r="N1728" s="94"/>
      <c r="O1728" s="93"/>
    </row>
    <row r="1729" spans="1:15" x14ac:dyDescent="0.25">
      <c r="A1729" s="266"/>
      <c r="B1729" s="265"/>
      <c r="C1729" s="265"/>
      <c r="D1729" s="265"/>
      <c r="E1729" s="265"/>
      <c r="F1729" s="94"/>
      <c r="G1729" s="94"/>
      <c r="H1729" s="94"/>
      <c r="I1729" s="94"/>
      <c r="J1729" s="94"/>
      <c r="K1729" s="94"/>
      <c r="L1729" s="94"/>
      <c r="M1729" s="94"/>
      <c r="N1729" s="94"/>
      <c r="O1729" s="93"/>
    </row>
    <row r="1730" spans="1:15" x14ac:dyDescent="0.25">
      <c r="A1730" s="264" t="s">
        <v>67</v>
      </c>
      <c r="B1730" s="263" t="s">
        <v>112</v>
      </c>
      <c r="C1730" s="263" t="s">
        <v>66</v>
      </c>
      <c r="D1730" s="263" t="s">
        <v>65</v>
      </c>
      <c r="E1730" s="263" t="s">
        <v>81</v>
      </c>
      <c r="F1730" s="274" t="s">
        <v>80</v>
      </c>
      <c r="G1730" s="274" t="s">
        <v>79</v>
      </c>
      <c r="H1730" s="274" t="s">
        <v>78</v>
      </c>
      <c r="I1730" s="274" t="s">
        <v>111</v>
      </c>
      <c r="J1730" s="274" t="s">
        <v>110</v>
      </c>
      <c r="K1730" s="274" t="s">
        <v>109</v>
      </c>
      <c r="L1730" s="274" t="s">
        <v>108</v>
      </c>
      <c r="M1730" s="274" t="s">
        <v>40</v>
      </c>
      <c r="N1730" s="274" t="s">
        <v>58</v>
      </c>
      <c r="O1730" s="93"/>
    </row>
    <row r="1731" spans="1:15" ht="30" x14ac:dyDescent="0.25">
      <c r="A1731" s="292">
        <v>10</v>
      </c>
      <c r="B1731" s="298" t="s">
        <v>519</v>
      </c>
      <c r="C1731" s="297" t="s">
        <v>545</v>
      </c>
      <c r="D1731" s="290">
        <v>2.25</v>
      </c>
      <c r="E1731" s="282">
        <v>62</v>
      </c>
      <c r="F1731" s="282" t="s">
        <v>68</v>
      </c>
      <c r="G1731" s="282">
        <v>3</v>
      </c>
      <c r="H1731" s="278" t="s">
        <v>68</v>
      </c>
      <c r="I1731" s="281" t="s">
        <v>544</v>
      </c>
      <c r="J1731" s="280">
        <f>E1731*G1731/1000000</f>
        <v>1.8599999999999999E-4</v>
      </c>
      <c r="K1731" s="279">
        <v>0.64600000000000002</v>
      </c>
      <c r="L1731" s="278">
        <v>7860</v>
      </c>
      <c r="M1731" s="284">
        <v>1</v>
      </c>
      <c r="N1731" s="276">
        <f>IF(J1731="",D1731*M1731,D1731*J1731*K1731*L1731*M1731)</f>
        <v>2.12495886</v>
      </c>
      <c r="O1731" s="143"/>
    </row>
    <row r="1732" spans="1:15" x14ac:dyDescent="0.25">
      <c r="A1732" s="296">
        <v>20</v>
      </c>
      <c r="B1732" s="282" t="s">
        <v>250</v>
      </c>
      <c r="C1732" s="282" t="s">
        <v>543</v>
      </c>
      <c r="D1732" s="283">
        <v>10</v>
      </c>
      <c r="E1732" s="282">
        <v>8.0100000000000005E-2</v>
      </c>
      <c r="F1732" s="282" t="s">
        <v>299</v>
      </c>
      <c r="G1732" s="282"/>
      <c r="H1732" s="278"/>
      <c r="I1732" s="281"/>
      <c r="J1732" s="295"/>
      <c r="K1732" s="279"/>
      <c r="L1732" s="278"/>
      <c r="M1732" s="294">
        <v>8.0100000000000005E-2</v>
      </c>
      <c r="N1732" s="276">
        <f>IF(J1732="",D1732*M1732,D1732*J1732*K1732*L1732*M1732)</f>
        <v>0.80100000000000005</v>
      </c>
      <c r="O1732" s="143"/>
    </row>
    <row r="1733" spans="1:15" x14ac:dyDescent="0.25">
      <c r="A1733" s="98"/>
      <c r="B1733" s="95"/>
      <c r="C1733" s="95"/>
      <c r="D1733" s="95"/>
      <c r="E1733" s="95"/>
      <c r="F1733" s="95"/>
      <c r="G1733" s="95"/>
      <c r="H1733" s="95"/>
      <c r="I1733" s="95"/>
      <c r="J1733" s="95"/>
      <c r="K1733" s="95"/>
      <c r="L1733" s="95"/>
      <c r="M1733" s="256" t="s">
        <v>58</v>
      </c>
      <c r="N1733" s="255">
        <f>SUM(N1731:N1732)</f>
        <v>2.9259588600000002</v>
      </c>
      <c r="O1733" s="93"/>
    </row>
    <row r="1734" spans="1:15" x14ac:dyDescent="0.25">
      <c r="A1734" s="107"/>
      <c r="B1734" s="94"/>
      <c r="C1734" s="94"/>
      <c r="D1734" s="94"/>
      <c r="E1734" s="94"/>
      <c r="F1734" s="94"/>
      <c r="G1734" s="94"/>
      <c r="H1734" s="94"/>
      <c r="I1734" s="94"/>
      <c r="J1734" s="94"/>
      <c r="K1734" s="94"/>
      <c r="L1734" s="94"/>
      <c r="M1734" s="94"/>
      <c r="N1734" s="94"/>
      <c r="O1734" s="93"/>
    </row>
    <row r="1735" spans="1:15" x14ac:dyDescent="0.25">
      <c r="A1735" s="275" t="s">
        <v>67</v>
      </c>
      <c r="B1735" s="274" t="s">
        <v>106</v>
      </c>
      <c r="C1735" s="274" t="s">
        <v>66</v>
      </c>
      <c r="D1735" s="274" t="s">
        <v>65</v>
      </c>
      <c r="E1735" s="274" t="s">
        <v>64</v>
      </c>
      <c r="F1735" s="274" t="s">
        <v>40</v>
      </c>
      <c r="G1735" s="274" t="s">
        <v>105</v>
      </c>
      <c r="H1735" s="274" t="s">
        <v>104</v>
      </c>
      <c r="I1735" s="274" t="s">
        <v>58</v>
      </c>
      <c r="J1735" s="95"/>
      <c r="K1735" s="95"/>
      <c r="L1735" s="95"/>
      <c r="M1735" s="95"/>
      <c r="N1735" s="95"/>
      <c r="O1735" s="93"/>
    </row>
    <row r="1736" spans="1:15" ht="30" x14ac:dyDescent="0.25">
      <c r="A1736" s="292">
        <v>10</v>
      </c>
      <c r="B1736" s="291" t="s">
        <v>516</v>
      </c>
      <c r="C1736" s="291" t="s">
        <v>542</v>
      </c>
      <c r="D1736" s="290">
        <v>1.3</v>
      </c>
      <c r="E1736" s="289" t="s">
        <v>64</v>
      </c>
      <c r="F1736" s="288">
        <v>1</v>
      </c>
      <c r="G1736" s="287"/>
      <c r="H1736" s="287"/>
      <c r="I1736" s="293">
        <f>IF(H1736="",D1736*F1736,D1736*F1736*H1736)</f>
        <v>1.3</v>
      </c>
      <c r="J1736" s="142"/>
      <c r="K1736" s="142"/>
      <c r="L1736" s="142"/>
      <c r="M1736" s="142"/>
      <c r="N1736" s="142"/>
      <c r="O1736" s="120"/>
    </row>
    <row r="1737" spans="1:15" x14ac:dyDescent="0.25">
      <c r="A1737" s="292">
        <v>20</v>
      </c>
      <c r="B1737" s="291" t="s">
        <v>541</v>
      </c>
      <c r="C1737" s="291" t="s">
        <v>540</v>
      </c>
      <c r="D1737" s="290">
        <v>0.01</v>
      </c>
      <c r="E1737" s="289" t="s">
        <v>101</v>
      </c>
      <c r="F1737" s="288">
        <v>121.5</v>
      </c>
      <c r="G1737" s="287" t="s">
        <v>511</v>
      </c>
      <c r="H1737" s="287">
        <v>3</v>
      </c>
      <c r="I1737" s="293">
        <f>IF(H1737="",D1737*F1737,D1737*F1737*H1737)</f>
        <v>3.6450000000000005</v>
      </c>
      <c r="J1737" s="94"/>
      <c r="K1737" s="94"/>
      <c r="L1737" s="94"/>
      <c r="M1737" s="94"/>
      <c r="N1737" s="94"/>
      <c r="O1737" s="93"/>
    </row>
    <row r="1738" spans="1:15" x14ac:dyDescent="0.25">
      <c r="A1738" s="292">
        <v>30</v>
      </c>
      <c r="B1738" s="291" t="s">
        <v>539</v>
      </c>
      <c r="C1738" s="291" t="s">
        <v>538</v>
      </c>
      <c r="D1738" s="290">
        <v>0.25</v>
      </c>
      <c r="E1738" s="289" t="s">
        <v>537</v>
      </c>
      <c r="F1738" s="288">
        <v>1</v>
      </c>
      <c r="G1738" s="287"/>
      <c r="H1738" s="287"/>
      <c r="I1738" s="276">
        <f>IF(H1738="",D1738*F1738,D1738*F1738*H1738)</f>
        <v>0.25</v>
      </c>
      <c r="J1738" s="99"/>
      <c r="K1738" s="99"/>
      <c r="L1738" s="99"/>
      <c r="M1738" s="99"/>
      <c r="N1738" s="99"/>
      <c r="O1738" s="130"/>
    </row>
    <row r="1739" spans="1:15" x14ac:dyDescent="0.25">
      <c r="A1739" s="292">
        <v>40</v>
      </c>
      <c r="B1739" s="291" t="s">
        <v>296</v>
      </c>
      <c r="C1739" s="291" t="s">
        <v>536</v>
      </c>
      <c r="D1739" s="290">
        <v>0.35</v>
      </c>
      <c r="E1739" s="289" t="s">
        <v>294</v>
      </c>
      <c r="F1739" s="288">
        <v>2</v>
      </c>
      <c r="G1739" s="287"/>
      <c r="H1739" s="287"/>
      <c r="I1739" s="276">
        <f>IF(H1739="",D1739*F1739,D1739*F1739*H1739)</f>
        <v>0.7</v>
      </c>
      <c r="J1739" s="94"/>
      <c r="K1739" s="94"/>
      <c r="L1739" s="94"/>
      <c r="M1739" s="94"/>
      <c r="N1739" s="94"/>
      <c r="O1739" s="93"/>
    </row>
    <row r="1740" spans="1:15" x14ac:dyDescent="0.25">
      <c r="A1740" s="286">
        <v>50</v>
      </c>
      <c r="B1740" s="285" t="s">
        <v>535</v>
      </c>
      <c r="C1740" s="285" t="s">
        <v>534</v>
      </c>
      <c r="D1740" s="283">
        <v>5.25</v>
      </c>
      <c r="E1740" s="282" t="s">
        <v>241</v>
      </c>
      <c r="F1740" s="282">
        <f>E1732</f>
        <v>8.0100000000000005E-2</v>
      </c>
      <c r="G1740" s="282"/>
      <c r="H1740" s="282"/>
      <c r="I1740" s="276">
        <f>IF(H1740="",D1740*F1740,D1740*F1740*H1740)</f>
        <v>0.42052500000000004</v>
      </c>
      <c r="J1740" s="94"/>
      <c r="K1740" s="94"/>
      <c r="L1740" s="94"/>
      <c r="M1740" s="94"/>
      <c r="N1740" s="94"/>
      <c r="O1740" s="93"/>
    </row>
    <row r="1741" spans="1:15" x14ac:dyDescent="0.25">
      <c r="A1741" s="98"/>
      <c r="B1741" s="95"/>
      <c r="C1741" s="95"/>
      <c r="D1741" s="95"/>
      <c r="E1741" s="95"/>
      <c r="F1741" s="95"/>
      <c r="G1741" s="95"/>
      <c r="H1741" s="256" t="s">
        <v>58</v>
      </c>
      <c r="I1741" s="255">
        <f>SUM(I1736:I1740)</f>
        <v>6.3155250000000009</v>
      </c>
      <c r="J1741" s="95"/>
      <c r="K1741" s="95"/>
      <c r="L1741" s="95"/>
      <c r="M1741" s="95"/>
      <c r="N1741" s="95"/>
      <c r="O1741" s="93"/>
    </row>
    <row r="1742" spans="1:15" x14ac:dyDescent="0.25">
      <c r="A1742" s="107"/>
      <c r="B1742" s="94"/>
      <c r="C1742" s="94"/>
      <c r="D1742" s="94"/>
      <c r="E1742" s="94"/>
      <c r="F1742" s="94"/>
      <c r="G1742" s="94"/>
      <c r="H1742" s="94"/>
      <c r="I1742" s="99"/>
      <c r="J1742" s="94"/>
      <c r="K1742" s="94"/>
      <c r="L1742" s="94"/>
      <c r="M1742" s="94"/>
      <c r="N1742" s="94"/>
      <c r="O1742" s="93"/>
    </row>
    <row r="1743" spans="1:15" ht="15.75" thickBot="1" x14ac:dyDescent="0.3">
      <c r="A1743" s="92"/>
      <c r="B1743" s="91"/>
      <c r="C1743" s="91"/>
      <c r="D1743" s="91"/>
      <c r="E1743" s="91"/>
      <c r="F1743" s="91"/>
      <c r="G1743" s="91"/>
      <c r="H1743" s="91"/>
      <c r="I1743" s="91"/>
      <c r="J1743" s="91"/>
      <c r="K1743" s="91"/>
      <c r="L1743" s="91"/>
      <c r="M1743" s="91"/>
      <c r="N1743" s="91"/>
      <c r="O1743" s="90"/>
    </row>
    <row r="1744" spans="1:15" ht="15.75" thickBot="1" x14ac:dyDescent="0.3"/>
    <row r="1745" spans="1:15" x14ac:dyDescent="0.25">
      <c r="A1745" s="141"/>
      <c r="B1745" s="140"/>
      <c r="C1745" s="140"/>
      <c r="D1745" s="140"/>
      <c r="E1745" s="140"/>
      <c r="F1745" s="140"/>
      <c r="G1745" s="140"/>
      <c r="H1745" s="140"/>
      <c r="I1745" s="140"/>
      <c r="J1745" s="272"/>
      <c r="K1745" s="140"/>
      <c r="L1745" s="140"/>
      <c r="M1745" s="140"/>
      <c r="N1745" s="140"/>
      <c r="O1745" s="139"/>
    </row>
    <row r="1746" spans="1:15" x14ac:dyDescent="0.25">
      <c r="A1746" s="267" t="s">
        <v>57</v>
      </c>
      <c r="B1746" s="133" t="s">
        <v>523</v>
      </c>
      <c r="C1746" s="94"/>
      <c r="D1746" s="94"/>
      <c r="E1746" s="94"/>
      <c r="F1746" s="94"/>
      <c r="G1746" s="94"/>
      <c r="H1746" s="94"/>
      <c r="I1746" s="94"/>
      <c r="J1746" s="271" t="s">
        <v>51</v>
      </c>
      <c r="K1746" s="138">
        <v>81</v>
      </c>
      <c r="L1746" s="94"/>
      <c r="M1746" s="267" t="s">
        <v>113</v>
      </c>
      <c r="N1746" s="100">
        <f>EN_12005_m+EN_12005_p</f>
        <v>1.561561</v>
      </c>
      <c r="O1746" s="93"/>
    </row>
    <row r="1747" spans="1:15" x14ac:dyDescent="0.25">
      <c r="A1747" s="267" t="s">
        <v>125</v>
      </c>
      <c r="B1747" s="133" t="s">
        <v>21</v>
      </c>
      <c r="C1747" s="94"/>
      <c r="D1747" s="267" t="s">
        <v>122</v>
      </c>
      <c r="E1747" s="94"/>
      <c r="F1747" s="94"/>
      <c r="G1747" s="94"/>
      <c r="H1747" s="94"/>
      <c r="I1747" s="94"/>
      <c r="J1747" s="94"/>
      <c r="K1747" s="94"/>
      <c r="L1747" s="94"/>
      <c r="M1747" s="267" t="s">
        <v>124</v>
      </c>
      <c r="N1747" s="136">
        <v>1</v>
      </c>
      <c r="O1747" s="93"/>
    </row>
    <row r="1748" spans="1:15" x14ac:dyDescent="0.25">
      <c r="A1748" s="267" t="s">
        <v>123</v>
      </c>
      <c r="B1748" s="270" t="str">
        <f>'EN Assemblies'!B633</f>
        <v>Chain set</v>
      </c>
      <c r="C1748" s="94"/>
      <c r="D1748" s="267" t="s">
        <v>119</v>
      </c>
      <c r="E1748" s="94"/>
      <c r="F1748" s="94"/>
      <c r="G1748" s="94"/>
      <c r="H1748" s="94"/>
      <c r="I1748" s="94"/>
      <c r="J1748" s="268" t="s">
        <v>122</v>
      </c>
      <c r="K1748" s="94"/>
      <c r="L1748" s="94"/>
      <c r="M1748" s="94"/>
      <c r="N1748" s="94"/>
      <c r="O1748" s="93"/>
    </row>
    <row r="1749" spans="1:15" x14ac:dyDescent="0.25">
      <c r="A1749" s="267" t="s">
        <v>114</v>
      </c>
      <c r="B1749" s="135" t="s">
        <v>533</v>
      </c>
      <c r="C1749" s="94"/>
      <c r="D1749" s="267" t="s">
        <v>116</v>
      </c>
      <c r="E1749" s="94"/>
      <c r="F1749" s="94"/>
      <c r="G1749" s="94"/>
      <c r="H1749" s="94"/>
      <c r="I1749" s="94"/>
      <c r="J1749" s="268" t="s">
        <v>119</v>
      </c>
      <c r="K1749" s="94"/>
      <c r="L1749" s="94"/>
      <c r="M1749" s="267" t="s">
        <v>118</v>
      </c>
      <c r="N1749" s="100">
        <f>N1747*N1746</f>
        <v>1.561561</v>
      </c>
      <c r="O1749" s="93"/>
    </row>
    <row r="1750" spans="1:15" x14ac:dyDescent="0.25">
      <c r="A1750" s="267" t="s">
        <v>121</v>
      </c>
      <c r="B1750" s="269" t="s">
        <v>532</v>
      </c>
      <c r="C1750" s="94"/>
      <c r="D1750" s="94"/>
      <c r="E1750" s="94"/>
      <c r="F1750" s="94"/>
      <c r="G1750" s="94"/>
      <c r="H1750" s="94"/>
      <c r="I1750" s="94"/>
      <c r="J1750" s="268" t="s">
        <v>116</v>
      </c>
      <c r="K1750" s="94"/>
      <c r="L1750" s="94"/>
      <c r="M1750" s="94"/>
      <c r="N1750" s="94"/>
      <c r="O1750" s="93"/>
    </row>
    <row r="1751" spans="1:15" x14ac:dyDescent="0.25">
      <c r="A1751" s="267" t="s">
        <v>117</v>
      </c>
      <c r="B1751" s="133" t="s">
        <v>23</v>
      </c>
      <c r="C1751" s="94"/>
      <c r="D1751" s="94"/>
      <c r="E1751" s="94"/>
      <c r="F1751" s="94"/>
      <c r="G1751" s="94"/>
      <c r="H1751" s="94"/>
      <c r="I1751" s="94"/>
      <c r="J1751" s="94"/>
      <c r="K1751" s="94"/>
      <c r="L1751" s="94"/>
      <c r="M1751" s="94"/>
      <c r="N1751" s="94"/>
      <c r="O1751" s="93"/>
    </row>
    <row r="1752" spans="1:15" x14ac:dyDescent="0.25">
      <c r="A1752" s="267" t="s">
        <v>115</v>
      </c>
      <c r="B1752" s="133"/>
      <c r="C1752" s="94"/>
      <c r="D1752" s="94"/>
      <c r="E1752" s="94"/>
      <c r="F1752" s="94"/>
      <c r="G1752" s="94"/>
      <c r="H1752" s="94"/>
      <c r="I1752" s="94"/>
      <c r="J1752" s="94"/>
      <c r="K1752" s="94"/>
      <c r="L1752" s="94"/>
      <c r="M1752" s="94"/>
      <c r="N1752" s="94"/>
      <c r="O1752" s="93"/>
    </row>
    <row r="1753" spans="1:15" x14ac:dyDescent="0.25">
      <c r="A1753" s="266"/>
      <c r="B1753" s="265"/>
      <c r="C1753" s="265"/>
      <c r="D1753" s="265"/>
      <c r="E1753" s="265"/>
      <c r="F1753" s="94"/>
      <c r="G1753" s="94"/>
      <c r="H1753" s="94"/>
      <c r="I1753" s="94"/>
      <c r="J1753" s="94"/>
      <c r="K1753" s="94"/>
      <c r="L1753" s="94"/>
      <c r="M1753" s="94"/>
      <c r="N1753" s="94"/>
      <c r="O1753" s="93"/>
    </row>
    <row r="1754" spans="1:15" x14ac:dyDescent="0.25">
      <c r="A1754" s="264" t="s">
        <v>67</v>
      </c>
      <c r="B1754" s="263" t="s">
        <v>112</v>
      </c>
      <c r="C1754" s="263" t="s">
        <v>66</v>
      </c>
      <c r="D1754" s="263" t="s">
        <v>65</v>
      </c>
      <c r="E1754" s="263" t="s">
        <v>81</v>
      </c>
      <c r="F1754" s="274" t="s">
        <v>80</v>
      </c>
      <c r="G1754" s="274" t="s">
        <v>79</v>
      </c>
      <c r="H1754" s="274" t="s">
        <v>78</v>
      </c>
      <c r="I1754" s="274" t="s">
        <v>111</v>
      </c>
      <c r="J1754" s="274" t="s">
        <v>110</v>
      </c>
      <c r="K1754" s="274" t="s">
        <v>109</v>
      </c>
      <c r="L1754" s="274" t="s">
        <v>108</v>
      </c>
      <c r="M1754" s="274" t="s">
        <v>40</v>
      </c>
      <c r="N1754" s="274" t="s">
        <v>58</v>
      </c>
      <c r="O1754" s="93"/>
    </row>
    <row r="1755" spans="1:15" ht="30" x14ac:dyDescent="0.25">
      <c r="A1755" s="211">
        <v>10</v>
      </c>
      <c r="B1755" s="211" t="s">
        <v>519</v>
      </c>
      <c r="C1755" s="211" t="s">
        <v>531</v>
      </c>
      <c r="D1755" s="211">
        <v>2.25</v>
      </c>
      <c r="E1755" s="211">
        <v>15</v>
      </c>
      <c r="F1755" s="282" t="s">
        <v>68</v>
      </c>
      <c r="G1755" s="282">
        <v>2</v>
      </c>
      <c r="H1755" s="282" t="s">
        <v>68</v>
      </c>
      <c r="I1755" s="281" t="s">
        <v>530</v>
      </c>
      <c r="J1755" s="282">
        <v>3.0000000000000001E-5</v>
      </c>
      <c r="K1755" s="282">
        <v>0.02</v>
      </c>
      <c r="L1755" s="282">
        <v>7860</v>
      </c>
      <c r="M1755" s="284">
        <v>1</v>
      </c>
      <c r="N1755" s="276">
        <f>IF(J1755="",D1755*M1755,D1755*J1755*K1755*L1755*M1755)</f>
        <v>1.0611000000000001E-2</v>
      </c>
      <c r="O1755" s="143"/>
    </row>
    <row r="1756" spans="1:15" x14ac:dyDescent="0.25">
      <c r="A1756" s="282">
        <v>20</v>
      </c>
      <c r="B1756" s="282" t="s">
        <v>250</v>
      </c>
      <c r="C1756" s="282" t="s">
        <v>529</v>
      </c>
      <c r="D1756" s="283">
        <v>10</v>
      </c>
      <c r="E1756" s="282">
        <v>5.9999999999999995E-4</v>
      </c>
      <c r="F1756" s="282" t="s">
        <v>299</v>
      </c>
      <c r="G1756" s="282"/>
      <c r="H1756" s="278"/>
      <c r="I1756" s="281"/>
      <c r="J1756" s="280"/>
      <c r="K1756" s="279"/>
      <c r="L1756" s="278"/>
      <c r="M1756" s="277">
        <v>5.9999999999999995E-4</v>
      </c>
      <c r="N1756" s="276">
        <f>IF(J1756="",D1756*M1756,D1756*J1756*K1756*L1756*M1756)</f>
        <v>5.9999999999999993E-3</v>
      </c>
      <c r="O1756" s="143"/>
    </row>
    <row r="1757" spans="1:15" x14ac:dyDescent="0.25">
      <c r="A1757" s="98"/>
      <c r="B1757" s="95"/>
      <c r="C1757" s="95"/>
      <c r="D1757" s="95"/>
      <c r="E1757" s="95"/>
      <c r="F1757" s="95"/>
      <c r="G1757" s="95"/>
      <c r="H1757" s="95"/>
      <c r="I1757" s="95"/>
      <c r="J1757" s="95"/>
      <c r="K1757" s="95"/>
      <c r="L1757" s="95"/>
      <c r="M1757" s="256" t="s">
        <v>58</v>
      </c>
      <c r="N1757" s="255">
        <f>SUM(N1755:N1756)</f>
        <v>1.6611000000000001E-2</v>
      </c>
      <c r="O1757" s="93"/>
    </row>
    <row r="1758" spans="1:15" x14ac:dyDescent="0.25">
      <c r="A1758" s="107"/>
      <c r="B1758" s="94"/>
      <c r="C1758" s="94"/>
      <c r="D1758" s="94"/>
      <c r="E1758" s="94"/>
      <c r="F1758" s="94"/>
      <c r="G1758" s="94"/>
      <c r="H1758" s="94"/>
      <c r="I1758" s="94"/>
      <c r="J1758" s="94"/>
      <c r="K1758" s="94"/>
      <c r="L1758" s="94"/>
      <c r="M1758" s="94"/>
      <c r="N1758" s="94"/>
      <c r="O1758" s="93"/>
    </row>
    <row r="1759" spans="1:15" x14ac:dyDescent="0.25">
      <c r="A1759" s="275" t="s">
        <v>67</v>
      </c>
      <c r="B1759" s="274" t="s">
        <v>106</v>
      </c>
      <c r="C1759" s="274" t="s">
        <v>66</v>
      </c>
      <c r="D1759" s="274" t="s">
        <v>65</v>
      </c>
      <c r="E1759" s="274" t="s">
        <v>64</v>
      </c>
      <c r="F1759" s="274" t="s">
        <v>40</v>
      </c>
      <c r="G1759" s="274" t="s">
        <v>105</v>
      </c>
      <c r="H1759" s="274" t="s">
        <v>104</v>
      </c>
      <c r="I1759" s="274" t="s">
        <v>58</v>
      </c>
      <c r="J1759" s="95"/>
      <c r="K1759" s="95"/>
      <c r="L1759" s="95"/>
      <c r="M1759" s="95"/>
      <c r="N1759" s="95"/>
      <c r="O1759" s="93"/>
    </row>
    <row r="1760" spans="1:15" ht="30" x14ac:dyDescent="0.25">
      <c r="A1760" s="115">
        <v>10</v>
      </c>
      <c r="B1760" s="273" t="s">
        <v>516</v>
      </c>
      <c r="C1760" s="173" t="s">
        <v>528</v>
      </c>
      <c r="D1760" s="155">
        <v>1.3</v>
      </c>
      <c r="E1760" s="115" t="s">
        <v>64</v>
      </c>
      <c r="F1760" s="115">
        <v>1</v>
      </c>
      <c r="G1760" s="115"/>
      <c r="H1760" s="115"/>
      <c r="I1760" s="257">
        <f>IF(H1760="",D1760*F1760,D1760*F1760*H1760)</f>
        <v>1.3</v>
      </c>
      <c r="J1760" s="142"/>
      <c r="K1760" s="142"/>
      <c r="L1760" s="142"/>
      <c r="M1760" s="142"/>
      <c r="N1760" s="142"/>
      <c r="O1760" s="120"/>
    </row>
    <row r="1761" spans="1:15" x14ac:dyDescent="0.25">
      <c r="A1761" s="115">
        <v>20</v>
      </c>
      <c r="B1761" s="173" t="s">
        <v>527</v>
      </c>
      <c r="C1761" s="173" t="s">
        <v>526</v>
      </c>
      <c r="D1761" s="155">
        <v>0.01</v>
      </c>
      <c r="E1761" s="115" t="s">
        <v>101</v>
      </c>
      <c r="F1761" s="115">
        <v>8.06</v>
      </c>
      <c r="G1761" s="115" t="s">
        <v>525</v>
      </c>
      <c r="H1761" s="115">
        <v>3</v>
      </c>
      <c r="I1761" s="257">
        <f>IF(H1761="",D1761*F1761,D1761*F1761*H1761)</f>
        <v>0.24180000000000001</v>
      </c>
      <c r="J1761" s="94"/>
      <c r="K1761" s="94"/>
      <c r="L1761" s="94"/>
      <c r="M1761" s="94"/>
      <c r="N1761" s="94"/>
      <c r="O1761" s="93"/>
    </row>
    <row r="1762" spans="1:15" x14ac:dyDescent="0.25">
      <c r="A1762" s="115">
        <v>30</v>
      </c>
      <c r="B1762" s="173" t="s">
        <v>243</v>
      </c>
      <c r="C1762" s="177" t="s">
        <v>524</v>
      </c>
      <c r="D1762" s="155">
        <v>5.25</v>
      </c>
      <c r="E1762" s="115" t="s">
        <v>299</v>
      </c>
      <c r="F1762" s="115">
        <v>5.9999999999999995E-4</v>
      </c>
      <c r="G1762" s="115"/>
      <c r="H1762" s="115"/>
      <c r="I1762" s="212">
        <f>IF(H1762="",D1762*F1762,D1762*F1762*H1762)</f>
        <v>3.1499999999999996E-3</v>
      </c>
      <c r="J1762" s="99"/>
      <c r="K1762" s="99"/>
      <c r="L1762" s="99"/>
      <c r="M1762" s="99"/>
      <c r="N1762" s="99"/>
      <c r="O1762" s="130"/>
    </row>
    <row r="1763" spans="1:15" x14ac:dyDescent="0.25">
      <c r="A1763" s="98"/>
      <c r="B1763" s="95"/>
      <c r="C1763" s="95"/>
      <c r="D1763" s="95"/>
      <c r="E1763" s="95"/>
      <c r="F1763" s="95"/>
      <c r="G1763" s="95"/>
      <c r="H1763" s="256" t="s">
        <v>58</v>
      </c>
      <c r="I1763" s="255">
        <f>SUM(I1760:I1762)</f>
        <v>1.54495</v>
      </c>
      <c r="J1763" s="95"/>
      <c r="K1763" s="95"/>
      <c r="L1763" s="95"/>
      <c r="M1763" s="95"/>
      <c r="N1763" s="95"/>
      <c r="O1763" s="93"/>
    </row>
    <row r="1764" spans="1:15" x14ac:dyDescent="0.25">
      <c r="A1764" s="107"/>
      <c r="B1764" s="94"/>
      <c r="C1764" s="94"/>
      <c r="D1764" s="94"/>
      <c r="E1764" s="94"/>
      <c r="F1764" s="94"/>
      <c r="G1764" s="94"/>
      <c r="H1764" s="94"/>
      <c r="I1764" s="99"/>
      <c r="J1764" s="94"/>
      <c r="K1764" s="94"/>
      <c r="L1764" s="94"/>
      <c r="M1764" s="94"/>
      <c r="N1764" s="94"/>
      <c r="O1764" s="93"/>
    </row>
    <row r="1765" spans="1:15" ht="15.75" thickBot="1" x14ac:dyDescent="0.3">
      <c r="A1765" s="92"/>
      <c r="B1765" s="91"/>
      <c r="C1765" s="91"/>
      <c r="D1765" s="91"/>
      <c r="E1765" s="91"/>
      <c r="F1765" s="91"/>
      <c r="G1765" s="91"/>
      <c r="H1765" s="91"/>
      <c r="I1765" s="91"/>
      <c r="J1765" s="91"/>
      <c r="K1765" s="91"/>
      <c r="L1765" s="91"/>
      <c r="M1765" s="91"/>
      <c r="N1765" s="91"/>
      <c r="O1765" s="90"/>
    </row>
    <row r="1766" spans="1:15" ht="15.75" thickBot="1" x14ac:dyDescent="0.3"/>
    <row r="1767" spans="1:15" x14ac:dyDescent="0.25">
      <c r="A1767" s="141"/>
      <c r="B1767" s="140"/>
      <c r="C1767" s="140"/>
      <c r="D1767" s="140"/>
      <c r="E1767" s="140"/>
      <c r="F1767" s="140"/>
      <c r="G1767" s="140"/>
      <c r="H1767" s="140"/>
      <c r="I1767" s="140"/>
      <c r="J1767" s="272"/>
      <c r="K1767" s="140"/>
      <c r="L1767" s="140"/>
      <c r="M1767" s="140"/>
      <c r="N1767" s="140"/>
      <c r="O1767" s="139"/>
    </row>
    <row r="1768" spans="1:15" x14ac:dyDescent="0.25">
      <c r="A1768" s="267" t="s">
        <v>57</v>
      </c>
      <c r="B1768" s="133" t="s">
        <v>523</v>
      </c>
      <c r="C1768" s="94"/>
      <c r="D1768" s="94"/>
      <c r="E1768" s="94"/>
      <c r="F1768" s="94"/>
      <c r="G1768" s="94"/>
      <c r="H1768" s="94"/>
      <c r="I1768" s="94"/>
      <c r="J1768" s="271" t="s">
        <v>51</v>
      </c>
      <c r="K1768" s="138">
        <v>81</v>
      </c>
      <c r="L1768" s="94"/>
      <c r="M1768" s="267" t="s">
        <v>113</v>
      </c>
      <c r="N1768" s="100">
        <f>EN_12006_m+EN_12006_p</f>
        <v>1.4278518634953417</v>
      </c>
      <c r="O1768" s="93"/>
    </row>
    <row r="1769" spans="1:15" x14ac:dyDescent="0.25">
      <c r="A1769" s="267" t="s">
        <v>125</v>
      </c>
      <c r="B1769" s="133" t="s">
        <v>21</v>
      </c>
      <c r="C1769" s="94"/>
      <c r="D1769" s="267" t="s">
        <v>122</v>
      </c>
      <c r="E1769" s="270" t="s">
        <v>522</v>
      </c>
      <c r="F1769" s="94"/>
      <c r="G1769" s="94"/>
      <c r="H1769" s="94"/>
      <c r="I1769" s="94"/>
      <c r="J1769" s="94"/>
      <c r="K1769" s="94"/>
      <c r="L1769" s="94"/>
      <c r="M1769" s="267" t="s">
        <v>124</v>
      </c>
      <c r="N1769" s="136">
        <v>5</v>
      </c>
      <c r="O1769" s="93"/>
    </row>
    <row r="1770" spans="1:15" x14ac:dyDescent="0.25">
      <c r="A1770" s="267" t="s">
        <v>123</v>
      </c>
      <c r="B1770" s="270" t="str">
        <f>'EN Assemblies'!B633</f>
        <v>Chain set</v>
      </c>
      <c r="C1770" s="94"/>
      <c r="D1770" s="267" t="s">
        <v>119</v>
      </c>
      <c r="E1770" s="94"/>
      <c r="F1770" s="94"/>
      <c r="G1770" s="94"/>
      <c r="H1770" s="94"/>
      <c r="I1770" s="94"/>
      <c r="J1770" s="268" t="s">
        <v>122</v>
      </c>
      <c r="K1770" s="94"/>
      <c r="L1770" s="94"/>
      <c r="M1770" s="94"/>
      <c r="N1770" s="94"/>
      <c r="O1770" s="93"/>
    </row>
    <row r="1771" spans="1:15" x14ac:dyDescent="0.25">
      <c r="A1771" s="267" t="s">
        <v>114</v>
      </c>
      <c r="B1771" s="135" t="s">
        <v>521</v>
      </c>
      <c r="C1771" s="94"/>
      <c r="D1771" s="267" t="s">
        <v>116</v>
      </c>
      <c r="E1771" s="94"/>
      <c r="F1771" s="94"/>
      <c r="G1771" s="94"/>
      <c r="H1771" s="94"/>
      <c r="I1771" s="94"/>
      <c r="J1771" s="268" t="s">
        <v>119</v>
      </c>
      <c r="K1771" s="94"/>
      <c r="L1771" s="94"/>
      <c r="M1771" s="267" t="s">
        <v>118</v>
      </c>
      <c r="N1771" s="100">
        <f>N1769*N1768</f>
        <v>7.1392593174767081</v>
      </c>
      <c r="O1771" s="93"/>
    </row>
    <row r="1772" spans="1:15" x14ac:dyDescent="0.25">
      <c r="A1772" s="267" t="s">
        <v>121</v>
      </c>
      <c r="B1772" s="269" t="s">
        <v>520</v>
      </c>
      <c r="C1772" s="94"/>
      <c r="D1772" s="94"/>
      <c r="E1772" s="94"/>
      <c r="F1772" s="94"/>
      <c r="G1772" s="94"/>
      <c r="H1772" s="94"/>
      <c r="I1772" s="94"/>
      <c r="J1772" s="268" t="s">
        <v>116</v>
      </c>
      <c r="K1772" s="94"/>
      <c r="L1772" s="94"/>
      <c r="M1772" s="94"/>
      <c r="N1772" s="94"/>
      <c r="O1772" s="93"/>
    </row>
    <row r="1773" spans="1:15" x14ac:dyDescent="0.25">
      <c r="A1773" s="267" t="s">
        <v>117</v>
      </c>
      <c r="B1773" s="133" t="s">
        <v>23</v>
      </c>
      <c r="C1773" s="94"/>
      <c r="D1773" s="94"/>
      <c r="E1773" s="94"/>
      <c r="F1773" s="94"/>
      <c r="G1773" s="94"/>
      <c r="H1773" s="94"/>
      <c r="I1773" s="94"/>
      <c r="J1773" s="94"/>
      <c r="K1773" s="94"/>
      <c r="L1773" s="94"/>
      <c r="M1773" s="94"/>
      <c r="N1773" s="94"/>
      <c r="O1773" s="93"/>
    </row>
    <row r="1774" spans="1:15" x14ac:dyDescent="0.25">
      <c r="A1774" s="267" t="s">
        <v>115</v>
      </c>
      <c r="B1774" s="133"/>
      <c r="C1774" s="94"/>
      <c r="D1774" s="94"/>
      <c r="E1774" s="94"/>
      <c r="F1774" s="94"/>
      <c r="G1774" s="94"/>
      <c r="H1774" s="94"/>
      <c r="I1774" s="94"/>
      <c r="J1774" s="94"/>
      <c r="K1774" s="94"/>
      <c r="L1774" s="94"/>
      <c r="M1774" s="94"/>
      <c r="N1774" s="94"/>
      <c r="O1774" s="93"/>
    </row>
    <row r="1775" spans="1:15" x14ac:dyDescent="0.25">
      <c r="A1775" s="266"/>
      <c r="B1775" s="265"/>
      <c r="C1775" s="265"/>
      <c r="D1775" s="265"/>
      <c r="E1775" s="265"/>
      <c r="F1775" s="94"/>
      <c r="G1775" s="94"/>
      <c r="H1775" s="94"/>
      <c r="I1775" s="94"/>
      <c r="J1775" s="94"/>
      <c r="K1775" s="94"/>
      <c r="L1775" s="94"/>
      <c r="M1775" s="94"/>
      <c r="N1775" s="94"/>
      <c r="O1775" s="93"/>
    </row>
    <row r="1776" spans="1:15" x14ac:dyDescent="0.25">
      <c r="A1776" s="264" t="s">
        <v>67</v>
      </c>
      <c r="B1776" s="263" t="s">
        <v>112</v>
      </c>
      <c r="C1776" s="263" t="s">
        <v>66</v>
      </c>
      <c r="D1776" s="263" t="s">
        <v>65</v>
      </c>
      <c r="E1776" s="263" t="s">
        <v>81</v>
      </c>
      <c r="F1776" s="260" t="s">
        <v>80</v>
      </c>
      <c r="G1776" s="260" t="s">
        <v>79</v>
      </c>
      <c r="H1776" s="260" t="s">
        <v>78</v>
      </c>
      <c r="I1776" s="260" t="s">
        <v>111</v>
      </c>
      <c r="J1776" s="260" t="s">
        <v>110</v>
      </c>
      <c r="K1776" s="260" t="s">
        <v>109</v>
      </c>
      <c r="L1776" s="260" t="s">
        <v>108</v>
      </c>
      <c r="M1776" s="260" t="s">
        <v>40</v>
      </c>
      <c r="N1776" s="260" t="s">
        <v>58</v>
      </c>
      <c r="O1776" s="93"/>
    </row>
    <row r="1777" spans="1:15" x14ac:dyDescent="0.25">
      <c r="A1777" s="114">
        <v>10</v>
      </c>
      <c r="B1777" s="113" t="s">
        <v>519</v>
      </c>
      <c r="C1777" s="126" t="s">
        <v>518</v>
      </c>
      <c r="D1777" s="117">
        <v>2.25</v>
      </c>
      <c r="E1777" s="115">
        <v>12</v>
      </c>
      <c r="F1777" s="115" t="s">
        <v>68</v>
      </c>
      <c r="G1777" s="115"/>
      <c r="H1777" s="152"/>
      <c r="I1777" s="190" t="s">
        <v>517</v>
      </c>
      <c r="J1777" s="199">
        <f>PI()*0.006*0.006</f>
        <v>1.1309733552923255E-4</v>
      </c>
      <c r="K1777" s="193">
        <v>1.2E-2</v>
      </c>
      <c r="L1777" s="152">
        <v>7680</v>
      </c>
      <c r="M1777" s="262">
        <v>1</v>
      </c>
      <c r="N1777" s="212">
        <f>IF(J1777="",D1777*M1777,D1777*J1777*K1777*L1777*M1777)</f>
        <v>2.345186349534166E-2</v>
      </c>
      <c r="O1777" s="143"/>
    </row>
    <row r="1778" spans="1:15" x14ac:dyDescent="0.25">
      <c r="A1778" s="98"/>
      <c r="B1778" s="95"/>
      <c r="C1778" s="95"/>
      <c r="D1778" s="95"/>
      <c r="E1778" s="95"/>
      <c r="F1778" s="95"/>
      <c r="G1778" s="95"/>
      <c r="H1778" s="95"/>
      <c r="I1778" s="95"/>
      <c r="J1778" s="95"/>
      <c r="K1778" s="95"/>
      <c r="L1778" s="95"/>
      <c r="M1778" s="256" t="s">
        <v>58</v>
      </c>
      <c r="N1778" s="255">
        <f>SUM(N1777:N1777)</f>
        <v>2.345186349534166E-2</v>
      </c>
      <c r="O1778" s="93"/>
    </row>
    <row r="1779" spans="1:15" x14ac:dyDescent="0.25">
      <c r="A1779" s="107"/>
      <c r="B1779" s="94"/>
      <c r="C1779" s="94"/>
      <c r="D1779" s="94"/>
      <c r="E1779" s="94"/>
      <c r="F1779" s="94"/>
      <c r="G1779" s="94"/>
      <c r="H1779" s="94"/>
      <c r="I1779" s="94"/>
      <c r="J1779" s="94"/>
      <c r="K1779" s="94"/>
      <c r="L1779" s="94"/>
      <c r="M1779" s="94"/>
      <c r="N1779" s="94"/>
      <c r="O1779" s="93"/>
    </row>
    <row r="1780" spans="1:15" x14ac:dyDescent="0.25">
      <c r="A1780" s="261" t="s">
        <v>67</v>
      </c>
      <c r="B1780" s="260" t="s">
        <v>106</v>
      </c>
      <c r="C1780" s="260" t="s">
        <v>66</v>
      </c>
      <c r="D1780" s="260" t="s">
        <v>65</v>
      </c>
      <c r="E1780" s="260" t="s">
        <v>64</v>
      </c>
      <c r="F1780" s="260" t="s">
        <v>40</v>
      </c>
      <c r="G1780" s="260" t="s">
        <v>105</v>
      </c>
      <c r="H1780" s="260" t="s">
        <v>104</v>
      </c>
      <c r="I1780" s="260" t="s">
        <v>58</v>
      </c>
      <c r="J1780" s="95"/>
      <c r="K1780" s="95"/>
      <c r="L1780" s="95"/>
      <c r="M1780" s="95"/>
      <c r="N1780" s="95"/>
      <c r="O1780" s="93"/>
    </row>
    <row r="1781" spans="1:15" ht="30" x14ac:dyDescent="0.25">
      <c r="A1781" s="114">
        <v>10</v>
      </c>
      <c r="B1781" s="118" t="s">
        <v>516</v>
      </c>
      <c r="C1781" s="118" t="s">
        <v>515</v>
      </c>
      <c r="D1781" s="117">
        <v>1.3</v>
      </c>
      <c r="E1781" s="116" t="s">
        <v>64</v>
      </c>
      <c r="F1781" s="110">
        <v>1</v>
      </c>
      <c r="G1781" s="258"/>
      <c r="H1781" s="258"/>
      <c r="I1781" s="257">
        <f>IF(H1781="",D1781*F1781,D1781*F1781*H1781)</f>
        <v>1.3</v>
      </c>
      <c r="J1781" s="142"/>
      <c r="K1781" s="142"/>
      <c r="L1781" s="142"/>
      <c r="M1781" s="142"/>
      <c r="N1781" s="142"/>
      <c r="O1781" s="120"/>
    </row>
    <row r="1782" spans="1:15" x14ac:dyDescent="0.25">
      <c r="A1782" s="114">
        <v>20</v>
      </c>
      <c r="B1782" s="118" t="s">
        <v>514</v>
      </c>
      <c r="C1782" s="118" t="s">
        <v>513</v>
      </c>
      <c r="D1782" s="117">
        <v>0.04</v>
      </c>
      <c r="E1782" s="116" t="s">
        <v>512</v>
      </c>
      <c r="F1782" s="259">
        <v>0.87</v>
      </c>
      <c r="G1782" s="126" t="s">
        <v>511</v>
      </c>
      <c r="H1782" s="258">
        <v>3</v>
      </c>
      <c r="I1782" s="257">
        <f>IF(H1782="",D1782*F1782,D1782*F1782*H1782)</f>
        <v>0.10439999999999999</v>
      </c>
      <c r="J1782" s="94"/>
      <c r="K1782" s="94"/>
      <c r="L1782" s="94"/>
      <c r="M1782" s="94"/>
      <c r="N1782" s="94"/>
      <c r="O1782" s="93"/>
    </row>
    <row r="1783" spans="1:15" x14ac:dyDescent="0.25">
      <c r="A1783" s="98"/>
      <c r="B1783" s="95"/>
      <c r="C1783" s="95"/>
      <c r="D1783" s="95"/>
      <c r="E1783" s="95"/>
      <c r="F1783" s="95"/>
      <c r="G1783" s="95"/>
      <c r="H1783" s="256" t="s">
        <v>58</v>
      </c>
      <c r="I1783" s="255">
        <f>SUM(I1781:I1782)</f>
        <v>1.4044000000000001</v>
      </c>
      <c r="J1783" s="95"/>
      <c r="K1783" s="95"/>
      <c r="L1783" s="95"/>
      <c r="M1783" s="95"/>
      <c r="N1783" s="95"/>
      <c r="O1783" s="93"/>
    </row>
    <row r="1784" spans="1:15" x14ac:dyDescent="0.25">
      <c r="A1784" s="107"/>
      <c r="B1784" s="94"/>
      <c r="C1784" s="94"/>
      <c r="D1784" s="94"/>
      <c r="E1784" s="94"/>
      <c r="F1784" s="94"/>
      <c r="G1784" s="94"/>
      <c r="H1784" s="94"/>
      <c r="I1784" s="99"/>
      <c r="J1784" s="94"/>
      <c r="K1784" s="94"/>
      <c r="L1784" s="94"/>
      <c r="M1784" s="94"/>
      <c r="N1784" s="94"/>
      <c r="O1784" s="93"/>
    </row>
    <row r="1785" spans="1:15" ht="15.75" thickBot="1" x14ac:dyDescent="0.3">
      <c r="A1785" s="92"/>
      <c r="B1785" s="91"/>
      <c r="C1785" s="91"/>
      <c r="D1785" s="91"/>
      <c r="E1785" s="91"/>
      <c r="F1785" s="91"/>
      <c r="G1785" s="91"/>
      <c r="H1785" s="91"/>
      <c r="I1785" s="91"/>
      <c r="J1785" s="91"/>
      <c r="K1785" s="91"/>
      <c r="L1785" s="91"/>
      <c r="M1785" s="91"/>
      <c r="N1785" s="91"/>
      <c r="O1785" s="90"/>
    </row>
  </sheetData>
  <hyperlinks>
    <hyperlink ref="B4" location="EN_A0001" display="EN_A0001"/>
    <hyperlink ref="B61" location="EN_A0001" display="EN_A0001"/>
    <hyperlink ref="B87" location="EN_A0001" display="EN_A0001"/>
    <hyperlink ref="B111" location="EN_A0001" display="EN_A0001"/>
    <hyperlink ref="B147" location="EN_A0001" display="EN_A0001"/>
    <hyperlink ref="B32" location="EN_A0001" display="EN_A0001"/>
    <hyperlink ref="E31" location="EN_01002_d" display="Drawing"/>
    <hyperlink ref="E60" location="EN_01003_d1" display="Drawing 1"/>
    <hyperlink ref="E61" location="EN_01003_d2" display="Drawing 2"/>
    <hyperlink ref="E86" location="EN_01004_d" display="Drawing"/>
    <hyperlink ref="E110" location="EN_01005_d1" display="Drawing 1"/>
    <hyperlink ref="E111" location="EN_01005_d2" display="Drawing 2"/>
    <hyperlink ref="E112" location="EN_01005_d3" display="Drawing 3"/>
    <hyperlink ref="E113" location="EN_01005_d4" display="Drawing 4"/>
    <hyperlink ref="E146" location="EN_01006_d" display="Drawing"/>
    <hyperlink ref="B345" location="EN_A0002" display="EN_A0002"/>
    <hyperlink ref="B320" location="EN_A0002" display="EN_A0002"/>
    <hyperlink ref="B295" location="EN_A0002" display="EN_A0002"/>
    <hyperlink ref="B269" location="EN_A0002" display="EN_A0002"/>
    <hyperlink ref="B242" location="EN_A0002" display="EN_A0002"/>
    <hyperlink ref="B214" location="EN_A0002" display="EN_A0002"/>
    <hyperlink ref="B193" location="EN_A0002" display="EN_A0002"/>
    <hyperlink ref="B171" location="EN_A0002" display="EN_A0002"/>
    <hyperlink ref="B520" location="EN_A0003" display="EN_A0003"/>
    <hyperlink ref="B498" location="EN_A0003" display="EN_A0003"/>
    <hyperlink ref="B477" location="EN_A0003" display="EN_A0003"/>
    <hyperlink ref="B452" location="EN_A0003" display="EN_A0003"/>
    <hyperlink ref="B417" location="EN_A0003" display="EN_A0003"/>
    <hyperlink ref="B373" location="EN_A0003" display="EN_A0003"/>
    <hyperlink ref="E372" location="EN_03001_d1" display="Drawing 1 Main plate "/>
    <hyperlink ref="E373" location="EN_03001_d2" display="Drawing 2 Bottom plate "/>
    <hyperlink ref="E374" location="EN_03001_d3" display="Drawing 3 Side bottom plate "/>
    <hyperlink ref="E375" location="EN_03001_d4" display="Drawing 4 Tube"/>
    <hyperlink ref="E416" location="EN_03002_d" display="Drawing"/>
    <hyperlink ref="E497" location="EN_03005" display="Drawing"/>
    <hyperlink ref="E519" location="EN_03006_d" display="Drawing"/>
    <hyperlink ref="B542" location="EN_A0004" display="EN_A0004"/>
    <hyperlink ref="B573" location="EN_A0004" display="EN_A0004"/>
    <hyperlink ref="B595" location="EN_A0004" display="EN_A0004"/>
    <hyperlink ref="B617" location="EN_A0004" display="EN_A0004"/>
    <hyperlink ref="E572" location="EN_03006_d" display="Drawing"/>
    <hyperlink ref="E594" location="EN_04003_d" display="Drawing"/>
    <hyperlink ref="E637" location="EN_04005_d" display="Drawing"/>
    <hyperlink ref="B638" location="EN_A0004" display="EN_A0004"/>
    <hyperlink ref="B659" location="EN_A0004" display="EN_A0004"/>
    <hyperlink ref="B680" location="EN_A0005" display="EN_A0005"/>
    <hyperlink ref="B699" location="EN_A0005" display="EN_A0005"/>
    <hyperlink ref="B719" location="EN_A0005" display="EN_A0005"/>
    <hyperlink ref="B738" location="EN_A0005" display="EN_A0005"/>
    <hyperlink ref="B757" location="EN_A0005" display="EN_A0005"/>
    <hyperlink ref="B778" location="EN_A0005" display="EN_A0005"/>
    <hyperlink ref="E698" location="EN_05002_d" display="Drawing"/>
    <hyperlink ref="E756" location="EN_05005_d" display="Drawing"/>
    <hyperlink ref="B802" location="EN_A0006" display="EN_A0006"/>
    <hyperlink ref="B823" location="EN_A0006" display="EN_A0006"/>
    <hyperlink ref="B845" location="EN_A0006" display="EN_A0006"/>
    <hyperlink ref="B867" location="EN_A0006" display="EN_A0006"/>
    <hyperlink ref="B889" location="EN_A0006" display="EN_A0006"/>
    <hyperlink ref="B911" location="EN_A0006" display="EN_A0006"/>
    <hyperlink ref="B931" location="EN_A0006" display="EN_A0006"/>
    <hyperlink ref="B956" location="EN_A0006" display="EN_A0006"/>
    <hyperlink ref="B976" location="EN_A0006" display="EN_A0006"/>
    <hyperlink ref="B996" location="EN_A0007" display="EN_A0007"/>
    <hyperlink ref="B1017" location="EN_A0007" display="EN_A0007"/>
    <hyperlink ref="B1044" location="EN_A0008" display="EN_A0008"/>
    <hyperlink ref="B1071" location="EN_A0008" display="EN_A0008"/>
    <hyperlink ref="B1086" location="EN_A0008" display="EN_A0008"/>
    <hyperlink ref="B1110" location="EN_A0008" display="EN_A0008"/>
    <hyperlink ref="B1145" location="EN_A0008" display="EN_A0008"/>
    <hyperlink ref="B1167" location="EN_A0008" display="EN_A0008"/>
    <hyperlink ref="B1189" location="EN_A0008" display="EN_A0008"/>
    <hyperlink ref="B1212" location="EN_A0008" display="EN_A0008"/>
    <hyperlink ref="E1070" location="EN_08002_d" display="Drawing"/>
    <hyperlink ref="E1109" location="EN_08004_d" display="Drawing"/>
    <hyperlink ref="E1144" location="EN_08005_d" display="Drawing"/>
    <hyperlink ref="E1166" location="EN_08006_d" display="Drawing"/>
    <hyperlink ref="E1188" location="EN_08007_d" display="Drawing"/>
    <hyperlink ref="B1234" location="EN_A0009" display="EN_A0009"/>
    <hyperlink ref="B1258" location="EN_A0009" display="EN_A0009"/>
    <hyperlink ref="B1281" location="EN_A0009" display="EN_A0009"/>
    <hyperlink ref="B1301" location="EN_A0009" display="EN_A0009"/>
    <hyperlink ref="B1322" location="EN_A0009" display="EN_A0009"/>
    <hyperlink ref="B1343" location="EN_A0009" display="EN_A0009"/>
    <hyperlink ref="E1280" location="EN_09003_d" display="Drawing"/>
    <hyperlink ref="E1300" location="EN_09004_d" display="Drawing"/>
    <hyperlink ref="E1321" location="EN_09005_d" display="Drawing"/>
    <hyperlink ref="B1375" location="EN_A0010" display="EN_A0010"/>
    <hyperlink ref="B1417" location="EN_A0010" display="EN_A0010"/>
    <hyperlink ref="B1432" location="EN_A0010" display="EN_A0010"/>
    <hyperlink ref="B1454" location="EN_A0010" display="EN_A0010"/>
    <hyperlink ref="B1476" location="EN_A0010" display="EN_A0010"/>
    <hyperlink ref="B1498" location="EN_A0010" display="EN_A0010"/>
    <hyperlink ref="B1520" location="EN_A0010" display="EN_A0010"/>
    <hyperlink ref="B1543" location="EN_A0010" display="EN_A0010"/>
    <hyperlink ref="E1431" location="EN_10003_d" display="Drawing"/>
    <hyperlink ref="E1453" location="EN_10004_d" display="Drawing"/>
    <hyperlink ref="E1475" location="EN_10005_d" display="Drawing"/>
    <hyperlink ref="E1497" location="EN_10006_d" display="Drawing"/>
    <hyperlink ref="E1519" location="EN_10007_d" display="Drawing"/>
    <hyperlink ref="E1542" location="EN_10008_d" display="Drawing "/>
    <hyperlink ref="B1656" location="EN_A0012" display="EN_A0012"/>
    <hyperlink ref="B1679" location="EN_A0012" display="EN_A0012"/>
    <hyperlink ref="B1701" location="EN_A0012" display="EN_A0012"/>
    <hyperlink ref="B1724" location="EN_A0012" display="EN_A0012"/>
    <hyperlink ref="B1748" location="EN_A0012" display="EN_A0012"/>
    <hyperlink ref="B1770" location="EN_A0012" display="EN_A0012"/>
    <hyperlink ref="E1678" location="EN_12002_d" display="Drawing"/>
    <hyperlink ref="E1700" location="EN_12003_d" display="Drawing"/>
    <hyperlink ref="E1723" location="EN_12004_d" display="Drawing"/>
    <hyperlink ref="E1769" location="EN_12006_d" display="Drawing"/>
  </hyperlinks>
  <pageMargins left="0.78749999999999998" right="0.78749999999999998" top="1.05277777777778" bottom="1.05277777777778" header="0.78749999999999998" footer="0.78749999999999998"/>
  <pageSetup paperSize="9" scale="59" firstPageNumber="0" fitToHeight="0" orientation="landscape" r:id="rId1"/>
  <headerFooter>
    <oddHeader>&amp;C&amp;"Times New Roman,Normal"&amp;12&amp;A</oddHeader>
    <oddFooter>&amp;C&amp;"Times New Roman,Normal"&amp;12Page &amp;P</oddFooter>
  </headerFooter>
  <rowBreaks count="74" manualBreakCount="74">
    <brk id="27" max="16383" man="1"/>
    <brk id="56" max="16383" man="1"/>
    <brk id="82" max="16383" man="1"/>
    <brk id="106" max="16383" man="1"/>
    <brk id="142" max="16383" man="1"/>
    <brk id="166" max="16383" man="1"/>
    <brk id="188" max="16383" man="1"/>
    <brk id="209" max="16383" man="1"/>
    <brk id="237" max="16383" man="1"/>
    <brk id="264" max="16383" man="1"/>
    <brk id="290" max="16383" man="1"/>
    <brk id="315" max="16383" man="1"/>
    <brk id="340" max="16383" man="1"/>
    <brk id="368" max="16383" man="1"/>
    <brk id="412" max="16383" man="1"/>
    <brk id="447" max="16383" man="1"/>
    <brk id="472" max="16383" man="1"/>
    <brk id="493" max="16383" man="1"/>
    <brk id="515" max="16383" man="1"/>
    <brk id="537" max="16383" man="1"/>
    <brk id="568" max="16383" man="1"/>
    <brk id="590" max="16383" man="1"/>
    <brk id="612" max="16383" man="1"/>
    <brk id="633" max="16383" man="1"/>
    <brk id="654" max="16383" man="1"/>
    <brk id="675" max="16383" man="1"/>
    <brk id="694" max="16383" man="1"/>
    <brk id="714" max="16383" man="1"/>
    <brk id="733" max="16383" man="1"/>
    <brk id="752" max="16383" man="1"/>
    <brk id="773" max="16383" man="1"/>
    <brk id="797" max="16383" man="1"/>
    <brk id="818" max="16383" man="1"/>
    <brk id="840" max="16383" man="1"/>
    <brk id="862" max="16383" man="1"/>
    <brk id="884" max="16383" man="1"/>
    <brk id="906" max="16383" man="1"/>
    <brk id="926" max="16383" man="1"/>
    <brk id="951" max="16383" man="1"/>
    <brk id="971" max="16383" man="1"/>
    <brk id="991" max="16383" man="1"/>
    <brk id="1012" max="16383" man="1"/>
    <brk id="1039" max="16383" man="1"/>
    <brk id="1066" max="16383" man="1"/>
    <brk id="1081" max="16383" man="1"/>
    <brk id="1105" max="16383" man="1"/>
    <brk id="1140" max="16383" man="1"/>
    <brk id="1162" max="16383" man="1"/>
    <brk id="1184" max="16383" man="1"/>
    <brk id="1207" max="16383" man="1"/>
    <brk id="1229" max="16383" man="1"/>
    <brk id="1253" max="16383" man="1"/>
    <brk id="1276" max="16383" man="1"/>
    <brk id="1296" max="16383" man="1"/>
    <brk id="1317" max="16383" man="1"/>
    <brk id="1338" max="16383" man="1"/>
    <brk id="1370" max="16383" man="1"/>
    <brk id="1412" max="16383" man="1"/>
    <brk id="1427" max="16383" man="1"/>
    <brk id="1449" max="16383" man="1"/>
    <brk id="1471" max="16383" man="1"/>
    <brk id="1493" max="16383" man="1"/>
    <brk id="1515" max="16383" man="1"/>
    <brk id="1538" max="16383" man="1"/>
    <brk id="1561" max="16383" man="1"/>
    <brk id="1583" max="16383" man="1"/>
    <brk id="1607" max="16383" man="1"/>
    <brk id="1629" max="16383" man="1"/>
    <brk id="1651" max="16383" man="1"/>
    <brk id="1674" max="16383" man="1"/>
    <brk id="1696" max="16383" man="1"/>
    <brk id="1719" max="16383" man="1"/>
    <brk id="1743" max="16383" man="1"/>
    <brk id="1765" max="16383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  <pageSetUpPr fitToPage="1"/>
  </sheetPr>
  <dimension ref="A1:K494"/>
  <sheetViews>
    <sheetView zoomScale="90" zoomScaleNormal="90" zoomScaleSheetLayoutView="80" workbookViewId="0"/>
  </sheetViews>
  <sheetFormatPr baseColWidth="10" defaultRowHeight="15" x14ac:dyDescent="0.25"/>
  <cols>
    <col min="1" max="1" width="14" style="89" customWidth="1"/>
    <col min="2" max="7" width="11.42578125" style="89"/>
    <col min="8" max="8" width="13.140625" style="89" customWidth="1"/>
    <col min="9" max="9" width="13.42578125" style="89" customWidth="1"/>
    <col min="10" max="16384" width="11.42578125" style="89"/>
  </cols>
  <sheetData>
    <row r="1" spans="1:10" x14ac:dyDescent="0.25">
      <c r="A1" s="547" t="s">
        <v>1087</v>
      </c>
      <c r="B1" s="547" t="str">
        <f>EN_01002</f>
        <v>EN 01002</v>
      </c>
      <c r="I1" s="547" t="s">
        <v>1087</v>
      </c>
      <c r="J1" s="547" t="str">
        <f>EN_01003</f>
        <v>EN 01003</v>
      </c>
    </row>
    <row r="23" spans="1:10" x14ac:dyDescent="0.25">
      <c r="A23" s="547" t="s">
        <v>1087</v>
      </c>
      <c r="B23" s="547" t="str">
        <f>EN_01003</f>
        <v>EN 01003</v>
      </c>
      <c r="I23" s="547" t="s">
        <v>1087</v>
      </c>
      <c r="J23" s="547" t="str">
        <f>EN_01004</f>
        <v>EN 01004</v>
      </c>
    </row>
    <row r="48" spans="1:10" x14ac:dyDescent="0.25">
      <c r="A48" s="547" t="s">
        <v>1087</v>
      </c>
      <c r="B48" s="547" t="str">
        <f>EN_01005</f>
        <v>EN 01005</v>
      </c>
      <c r="I48" s="547" t="s">
        <v>1087</v>
      </c>
      <c r="J48" s="547" t="str">
        <f>EN_01005</f>
        <v>EN 01005</v>
      </c>
    </row>
    <row r="73" spans="1:10" x14ac:dyDescent="0.25">
      <c r="A73" s="547" t="s">
        <v>1087</v>
      </c>
      <c r="B73" s="547" t="str">
        <f>EN_01005</f>
        <v>EN 01005</v>
      </c>
    </row>
    <row r="74" spans="1:10" x14ac:dyDescent="0.25">
      <c r="I74" s="547" t="s">
        <v>1087</v>
      </c>
      <c r="J74" s="547" t="str">
        <f>EN_01005</f>
        <v>EN 01005</v>
      </c>
    </row>
    <row r="98" spans="1:2" x14ac:dyDescent="0.25">
      <c r="A98" s="547" t="s">
        <v>1087</v>
      </c>
      <c r="B98" s="547" t="str">
        <f>EN_01006</f>
        <v>EN 01006</v>
      </c>
    </row>
    <row r="124" spans="1:11" x14ac:dyDescent="0.25">
      <c r="A124" s="547" t="s">
        <v>1088</v>
      </c>
      <c r="B124" s="547" t="s">
        <v>990</v>
      </c>
      <c r="C124" s="547" t="s">
        <v>974</v>
      </c>
      <c r="I124" s="547" t="s">
        <v>1088</v>
      </c>
      <c r="J124" s="547" t="s">
        <v>990</v>
      </c>
      <c r="K124" s="547" t="s">
        <v>973</v>
      </c>
    </row>
    <row r="125" spans="1:11" x14ac:dyDescent="0.25">
      <c r="A125" s="547"/>
      <c r="B125" s="547"/>
      <c r="C125" s="547"/>
    </row>
    <row r="149" spans="1:11" x14ac:dyDescent="0.25">
      <c r="A149" s="547" t="s">
        <v>1088</v>
      </c>
      <c r="B149" s="547" t="s">
        <v>990</v>
      </c>
      <c r="C149" s="547" t="s">
        <v>1093</v>
      </c>
      <c r="I149" s="547" t="s">
        <v>1088</v>
      </c>
      <c r="J149" s="547" t="s">
        <v>990</v>
      </c>
      <c r="K149" s="547" t="s">
        <v>1092</v>
      </c>
    </row>
    <row r="173" spans="1:10" x14ac:dyDescent="0.25">
      <c r="A173" s="547" t="s">
        <v>1088</v>
      </c>
      <c r="B173" s="547" t="s">
        <v>1091</v>
      </c>
    </row>
    <row r="174" spans="1:10" x14ac:dyDescent="0.25">
      <c r="I174" s="547" t="s">
        <v>1087</v>
      </c>
      <c r="J174" s="547" t="s">
        <v>929</v>
      </c>
    </row>
    <row r="198" spans="1:3" x14ac:dyDescent="0.25">
      <c r="A198" s="547" t="s">
        <v>1087</v>
      </c>
      <c r="B198" s="547" t="s">
        <v>923</v>
      </c>
      <c r="C198" s="547" t="s">
        <v>1090</v>
      </c>
    </row>
    <row r="224" spans="1:10" x14ac:dyDescent="0.25">
      <c r="A224" s="547" t="s">
        <v>1087</v>
      </c>
      <c r="B224" s="547" t="s">
        <v>897</v>
      </c>
      <c r="I224" s="547" t="s">
        <v>1087</v>
      </c>
      <c r="J224" s="547" t="s">
        <v>885</v>
      </c>
    </row>
    <row r="249" spans="1:10" x14ac:dyDescent="0.25">
      <c r="A249" s="547" t="s">
        <v>1087</v>
      </c>
      <c r="B249" s="547" t="s">
        <v>873</v>
      </c>
      <c r="I249" s="547" t="s">
        <v>1087</v>
      </c>
      <c r="J249" s="547" t="s">
        <v>860</v>
      </c>
    </row>
    <row r="275" spans="1:10" x14ac:dyDescent="0.25">
      <c r="A275" s="547" t="s">
        <v>1087</v>
      </c>
      <c r="B275" s="547" t="s">
        <v>771</v>
      </c>
      <c r="I275" s="547" t="s">
        <v>1087</v>
      </c>
      <c r="J275" s="547" t="s">
        <v>760</v>
      </c>
    </row>
    <row r="300" spans="1:10" x14ac:dyDescent="0.25">
      <c r="A300" s="547" t="s">
        <v>1088</v>
      </c>
      <c r="B300" s="547" t="s">
        <v>738</v>
      </c>
      <c r="I300" s="547" t="s">
        <v>1088</v>
      </c>
      <c r="J300" s="547" t="s">
        <v>734</v>
      </c>
    </row>
    <row r="325" spans="1:10" x14ac:dyDescent="0.25">
      <c r="A325" s="547" t="s">
        <v>1087</v>
      </c>
      <c r="B325" s="547" t="s">
        <v>730</v>
      </c>
      <c r="I325" s="547"/>
      <c r="J325" s="547"/>
    </row>
    <row r="350" spans="1:10" x14ac:dyDescent="0.25">
      <c r="A350" s="547" t="s">
        <v>1089</v>
      </c>
      <c r="B350" s="547" t="s">
        <v>698</v>
      </c>
      <c r="I350" s="547" t="s">
        <v>1087</v>
      </c>
      <c r="J350" s="547" t="s">
        <v>693</v>
      </c>
    </row>
    <row r="375" spans="1:2" x14ac:dyDescent="0.25">
      <c r="A375" s="547" t="s">
        <v>1087</v>
      </c>
      <c r="B375" s="547" t="s">
        <v>690</v>
      </c>
    </row>
    <row r="400" spans="1:10" x14ac:dyDescent="0.25">
      <c r="A400" s="547" t="s">
        <v>1087</v>
      </c>
      <c r="B400" s="547" t="s">
        <v>640</v>
      </c>
      <c r="I400" s="547" t="s">
        <v>1087</v>
      </c>
      <c r="J400" s="547" t="s">
        <v>636</v>
      </c>
    </row>
    <row r="423" spans="1:10" x14ac:dyDescent="0.25">
      <c r="A423" s="547" t="s">
        <v>1088</v>
      </c>
      <c r="B423" s="547" t="s">
        <v>627</v>
      </c>
      <c r="I423" s="547" t="s">
        <v>1087</v>
      </c>
      <c r="J423" s="547" t="s">
        <v>624</v>
      </c>
    </row>
    <row r="447" spans="1:10" x14ac:dyDescent="0.25">
      <c r="A447" s="547" t="s">
        <v>1087</v>
      </c>
      <c r="B447" s="547" t="s">
        <v>617</v>
      </c>
      <c r="I447" s="547" t="s">
        <v>1087</v>
      </c>
      <c r="J447" s="547" t="s">
        <v>612</v>
      </c>
    </row>
    <row r="470" spans="1:10" x14ac:dyDescent="0.25">
      <c r="A470" s="547" t="s">
        <v>1087</v>
      </c>
      <c r="B470" s="547" t="s">
        <v>567</v>
      </c>
      <c r="I470" s="547" t="s">
        <v>1087</v>
      </c>
      <c r="J470" s="547" t="s">
        <v>558</v>
      </c>
    </row>
    <row r="493" spans="1:10" x14ac:dyDescent="0.25">
      <c r="A493" s="547" t="s">
        <v>1087</v>
      </c>
      <c r="B493" s="547" t="s">
        <v>546</v>
      </c>
    </row>
    <row r="494" spans="1:10" x14ac:dyDescent="0.25">
      <c r="I494" s="547" t="s">
        <v>1087</v>
      </c>
      <c r="J494" s="547" t="s">
        <v>520</v>
      </c>
    </row>
  </sheetData>
  <hyperlinks>
    <hyperlink ref="B1" location="EL_01001" display="EL_01001"/>
    <hyperlink ref="A1" location="EL_01001" display="Drawing part :"/>
    <hyperlink ref="A1:B1" location="EN_01002" display="Drawing part :"/>
    <hyperlink ref="I1:J1" location="EN_01003" display="Drawing part :"/>
    <hyperlink ref="A23:B23" location="EN_01003" display="Drawing part :"/>
    <hyperlink ref="I23:J23" location="EN_01004" display="Drawing part :"/>
    <hyperlink ref="A48:B48" location="EN_01005" display="Drawing part :"/>
    <hyperlink ref="I48:J48" location="EN_01005" display="Drawing part :"/>
    <hyperlink ref="A73:B73" location="EN_01005" display="Drawing part :"/>
    <hyperlink ref="I74:J74" location="EN_01005" display="Drawing part :"/>
    <hyperlink ref="A98:B98" location="EN_01006" display="Drawing part :"/>
    <hyperlink ref="A124:C125" location="EN_03001" display="Drawing part"/>
    <hyperlink ref="I124:K124" location="EN_03001" display="Drawing part"/>
    <hyperlink ref="A149:C149" location="EN_03001" display="Drawing part"/>
    <hyperlink ref="I149:K149" location="EN_03001" display="Drawing part"/>
    <hyperlink ref="A173:B173" location="En_03002" display="Drawing part"/>
    <hyperlink ref="I174:J174" location="EN_03005" display="Drawing part :"/>
    <hyperlink ref="A198:B198" location="EN_03006" display="Drawing part :"/>
    <hyperlink ref="C198" location="EN_04002" display="EN_04002"/>
    <hyperlink ref="A224:B224" location="EN_04003" display="Drawing part :"/>
    <hyperlink ref="I224:J224" location="EN_04005" display="Drawing part :"/>
    <hyperlink ref="A249:B249" location="EN_05002" display="Drawing part :"/>
    <hyperlink ref="I249:J249" location="EN_05005" display="Drawing part :"/>
    <hyperlink ref="A275:B275" location="EN_08002" display="Drawing part :"/>
    <hyperlink ref="I275:J275" location="EN_08004" display="Drawing part :"/>
    <hyperlink ref="A300:B300" location="EN_08005" display="Drawing part"/>
    <hyperlink ref="I300:J300" location="EN_08006" display="Drawing part"/>
    <hyperlink ref="A325:B325" location="EN_08007" display="Drawing part :"/>
    <hyperlink ref="A350:B350" location="EN_09003" display="Drawing part : "/>
    <hyperlink ref="I350:J350" location="EN_09004" display="Drawing part :"/>
    <hyperlink ref="A375:B375" location="EN_09005" display="Drawing part :"/>
    <hyperlink ref="A400:B400" location="EN_10003" display="Drawing part :"/>
    <hyperlink ref="I400:J400" location="EN_10004" display="Drawing part :"/>
    <hyperlink ref="A423:B423" location="EN_10005" display="Drawing part"/>
    <hyperlink ref="I423:J423" location="EN_10006" display="Drawing part :"/>
    <hyperlink ref="A447:B447" location="EN_10007" display="Drawing part :"/>
    <hyperlink ref="I447:J447" location="EN_10008" display="Drawing part :"/>
    <hyperlink ref="A470:B470" location="EN_12002" display="Drawing part :"/>
    <hyperlink ref="I470:J470" location="EN_12003" display="Drawing part :"/>
    <hyperlink ref="A493:B493" location="EN_12004" display="Drawing part :"/>
    <hyperlink ref="I494:J494" location="EN_12006" display="Drawing part :"/>
  </hyperlinks>
  <pageMargins left="0.7" right="0.7" top="0.75" bottom="0.75" header="0.3" footer="0.3"/>
  <pageSetup paperSize="9" scale="65" fitToHeight="0" orientation="landscape" r:id="rId1"/>
  <rowBreaks count="7" manualBreakCount="7">
    <brk id="47" max="16383" man="1"/>
    <brk id="97" max="16383" man="1"/>
    <brk id="197" max="16383" man="1"/>
    <brk id="349" max="16383" man="1"/>
    <brk id="399" max="16383" man="1"/>
    <brk id="446" max="16383" man="1"/>
    <brk id="492" max="16383" man="1"/>
  </row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FF"/>
    <pageSetUpPr fitToPage="1"/>
  </sheetPr>
  <dimension ref="A1:O326"/>
  <sheetViews>
    <sheetView zoomScale="80" zoomScaleNormal="80" zoomScaleSheetLayoutView="80" workbookViewId="0"/>
  </sheetViews>
  <sheetFormatPr baseColWidth="10" defaultColWidth="9.140625" defaultRowHeight="15" x14ac:dyDescent="0.25"/>
  <cols>
    <col min="1" max="1" width="9.140625" style="89"/>
    <col min="2" max="2" width="30.42578125" style="89" customWidth="1"/>
    <col min="3" max="3" width="40.7109375" style="89" customWidth="1"/>
    <col min="4" max="4" width="10.85546875" style="89" customWidth="1"/>
    <col min="5" max="5" width="12.5703125" style="89" customWidth="1"/>
    <col min="6" max="6" width="9.140625" style="89"/>
    <col min="7" max="7" width="13.140625" style="89" customWidth="1"/>
    <col min="8" max="8" width="9.140625" style="89"/>
    <col min="9" max="9" width="13.42578125" style="89" customWidth="1"/>
    <col min="10" max="10" width="10" style="89" customWidth="1"/>
    <col min="11" max="13" width="9.140625" style="89"/>
    <col min="14" max="14" width="14" style="89" customWidth="1"/>
    <col min="15" max="15" width="5.28515625" style="89" customWidth="1"/>
    <col min="16" max="16384" width="9.140625" style="89"/>
  </cols>
  <sheetData>
    <row r="1" spans="1:15" x14ac:dyDescent="0.25">
      <c r="A1" s="141"/>
      <c r="B1" s="140"/>
      <c r="C1" s="549"/>
      <c r="D1" s="140"/>
      <c r="E1" s="140"/>
      <c r="F1" s="140"/>
      <c r="G1" s="140"/>
      <c r="I1" s="140"/>
      <c r="J1" s="140"/>
      <c r="K1" s="140"/>
      <c r="L1" s="140"/>
      <c r="M1" s="140"/>
      <c r="N1" s="140"/>
      <c r="O1" s="139"/>
    </row>
    <row r="2" spans="1:15" x14ac:dyDescent="0.25">
      <c r="A2" s="729" t="s">
        <v>57</v>
      </c>
      <c r="B2" s="133" t="s">
        <v>523</v>
      </c>
      <c r="C2" s="549"/>
      <c r="D2" s="94"/>
      <c r="E2" s="94"/>
      <c r="F2" s="94"/>
      <c r="G2" s="94"/>
      <c r="I2" s="94"/>
      <c r="J2" s="729" t="s">
        <v>51</v>
      </c>
      <c r="K2" s="138">
        <v>81</v>
      </c>
      <c r="L2" s="94"/>
      <c r="M2" s="729" t="s">
        <v>126</v>
      </c>
      <c r="N2" s="137">
        <f>E19+FR_A0001_m+FR_A0001_p+FR_A0001_t</f>
        <v>633.7150581205284</v>
      </c>
      <c r="O2" s="93"/>
    </row>
    <row r="3" spans="1:15" x14ac:dyDescent="0.25">
      <c r="A3" s="729" t="s">
        <v>125</v>
      </c>
      <c r="B3" s="133" t="s">
        <v>1412</v>
      </c>
      <c r="C3" s="549"/>
      <c r="D3" s="94"/>
      <c r="E3" s="94"/>
      <c r="F3" s="94"/>
      <c r="G3" s="94"/>
      <c r="I3" s="94"/>
      <c r="J3" s="94"/>
      <c r="K3" s="94"/>
      <c r="L3" s="94"/>
      <c r="M3" s="729" t="s">
        <v>124</v>
      </c>
      <c r="N3" s="136">
        <v>1</v>
      </c>
      <c r="O3" s="93"/>
    </row>
    <row r="4" spans="1:15" x14ac:dyDescent="0.25">
      <c r="A4" s="729" t="s">
        <v>123</v>
      </c>
      <c r="B4" s="99" t="s">
        <v>1504</v>
      </c>
      <c r="C4" s="214"/>
      <c r="I4" s="94"/>
      <c r="J4" s="736" t="s">
        <v>122</v>
      </c>
      <c r="K4" s="270" t="s">
        <v>522</v>
      </c>
      <c r="L4" s="94"/>
      <c r="M4" s="94"/>
      <c r="N4" s="94"/>
      <c r="O4" s="93"/>
    </row>
    <row r="5" spans="1:15" x14ac:dyDescent="0.25">
      <c r="A5" s="729" t="s">
        <v>121</v>
      </c>
      <c r="B5" s="135" t="s">
        <v>1503</v>
      </c>
      <c r="I5" s="94"/>
      <c r="J5" s="736" t="s">
        <v>119</v>
      </c>
      <c r="K5" s="94"/>
      <c r="L5" s="94"/>
      <c r="M5" s="729" t="s">
        <v>118</v>
      </c>
      <c r="N5" s="100">
        <f>N2*N3</f>
        <v>633.7150581205284</v>
      </c>
      <c r="O5" s="93"/>
    </row>
    <row r="6" spans="1:15" x14ac:dyDescent="0.25">
      <c r="A6" s="729" t="s">
        <v>117</v>
      </c>
      <c r="B6" s="133" t="s">
        <v>23</v>
      </c>
      <c r="J6" s="736" t="s">
        <v>116</v>
      </c>
      <c r="K6" s="94"/>
      <c r="L6" s="94"/>
      <c r="M6" s="94"/>
      <c r="N6" s="94"/>
      <c r="O6" s="93"/>
    </row>
    <row r="7" spans="1:15" x14ac:dyDescent="0.25">
      <c r="A7" s="729" t="s">
        <v>115</v>
      </c>
      <c r="B7" s="133" t="s">
        <v>1502</v>
      </c>
      <c r="D7" s="94"/>
      <c r="E7" s="94"/>
      <c r="F7" s="94"/>
      <c r="J7" s="94"/>
      <c r="K7" s="94"/>
      <c r="L7" s="94"/>
      <c r="M7" s="94"/>
      <c r="N7" s="94"/>
      <c r="O7" s="93"/>
    </row>
    <row r="8" spans="1:15" x14ac:dyDescent="0.25">
      <c r="A8" s="107"/>
      <c r="B8" s="94"/>
      <c r="D8" s="94"/>
      <c r="E8" s="94"/>
      <c r="F8" s="94"/>
      <c r="J8" s="94"/>
      <c r="K8" s="94"/>
      <c r="L8" s="94"/>
      <c r="M8" s="94"/>
      <c r="N8" s="94"/>
      <c r="O8" s="93"/>
    </row>
    <row r="9" spans="1:15" x14ac:dyDescent="0.25">
      <c r="A9" s="729" t="s">
        <v>67</v>
      </c>
      <c r="B9" s="729" t="s">
        <v>114</v>
      </c>
      <c r="C9" s="729" t="s">
        <v>113</v>
      </c>
      <c r="D9" s="729" t="s">
        <v>40</v>
      </c>
      <c r="E9" s="729" t="s">
        <v>58</v>
      </c>
      <c r="F9" s="94"/>
      <c r="J9" s="94"/>
      <c r="K9" s="94"/>
      <c r="L9" s="94"/>
      <c r="M9" s="94"/>
      <c r="N9" s="94"/>
      <c r="O9" s="93"/>
    </row>
    <row r="10" spans="1:15" x14ac:dyDescent="0.25">
      <c r="A10" s="129">
        <v>10</v>
      </c>
      <c r="B10" s="132" t="str">
        <f>'FR Parts'!B5</f>
        <v>Bent Round Steel Tubing</v>
      </c>
      <c r="C10" s="100">
        <f>'FR Parts'!N2</f>
        <v>19.991161742895002</v>
      </c>
      <c r="D10" s="127">
        <f>'FR Parts'!N3</f>
        <v>1</v>
      </c>
      <c r="E10" s="100">
        <f t="shared" ref="E10:E18" si="0">C10*D10</f>
        <v>19.991161742895002</v>
      </c>
      <c r="F10" s="94"/>
      <c r="J10" s="94"/>
      <c r="K10" s="94"/>
      <c r="L10" s="94"/>
      <c r="M10" s="94"/>
      <c r="N10" s="94"/>
      <c r="O10" s="93"/>
    </row>
    <row r="11" spans="1:15" x14ac:dyDescent="0.25">
      <c r="A11" s="129">
        <v>20</v>
      </c>
      <c r="B11" s="132" t="str">
        <f>'FR Parts'!B26</f>
        <v>Straight Round Steel Tubing</v>
      </c>
      <c r="C11" s="100">
        <f>'FR Parts'!N23</f>
        <v>281.43655218929996</v>
      </c>
      <c r="D11" s="127">
        <f>'FR Parts'!N24</f>
        <v>1</v>
      </c>
      <c r="E11" s="100">
        <f t="shared" si="0"/>
        <v>281.43655218929996</v>
      </c>
      <c r="F11" s="99"/>
      <c r="H11" s="99"/>
      <c r="I11" s="99"/>
      <c r="J11" s="99"/>
      <c r="K11" s="99"/>
      <c r="L11" s="99"/>
      <c r="M11" s="99"/>
      <c r="N11" s="99"/>
      <c r="O11" s="93"/>
    </row>
    <row r="12" spans="1:15" x14ac:dyDescent="0.25">
      <c r="A12" s="129">
        <v>30</v>
      </c>
      <c r="B12" s="132" t="str">
        <f>'FR Parts'!B48</f>
        <v>Anti-intrusion plate</v>
      </c>
      <c r="C12" s="100">
        <f>'FR Parts'!N45</f>
        <v>10.645725225</v>
      </c>
      <c r="D12" s="127">
        <f>'FR Parts'!N46</f>
        <v>1</v>
      </c>
      <c r="E12" s="100">
        <f t="shared" si="0"/>
        <v>10.645725225</v>
      </c>
      <c r="F12" s="99"/>
      <c r="G12" s="99"/>
      <c r="H12" s="99"/>
      <c r="I12" s="99"/>
      <c r="J12" s="99"/>
      <c r="K12" s="99"/>
      <c r="L12" s="99"/>
      <c r="M12" s="99"/>
      <c r="N12" s="99"/>
      <c r="O12" s="131"/>
    </row>
    <row r="13" spans="1:15" s="254" customFormat="1" x14ac:dyDescent="0.25">
      <c r="A13" s="129">
        <v>40</v>
      </c>
      <c r="B13" s="132" t="str">
        <f>'FR Parts'!B73</f>
        <v>Front gusset plate</v>
      </c>
      <c r="C13" s="100">
        <f>'FR Parts'!N70</f>
        <v>1.5102218000000001</v>
      </c>
      <c r="D13" s="127">
        <f>'FR Parts'!N71</f>
        <v>2</v>
      </c>
      <c r="E13" s="100">
        <f t="shared" si="0"/>
        <v>3.0204436000000001</v>
      </c>
      <c r="F13" s="99"/>
      <c r="G13" s="99"/>
      <c r="H13" s="99"/>
      <c r="I13" s="99"/>
      <c r="J13" s="99"/>
      <c r="K13" s="99"/>
      <c r="L13" s="99"/>
      <c r="M13" s="99"/>
      <c r="N13" s="99"/>
      <c r="O13" s="131"/>
    </row>
    <row r="14" spans="1:15" s="254" customFormat="1" x14ac:dyDescent="0.25">
      <c r="A14" s="129">
        <v>50</v>
      </c>
      <c r="B14" s="132" t="str">
        <f>'FR Parts'!B92</f>
        <v>Rear gusset plate</v>
      </c>
      <c r="C14" s="100">
        <f>'FR Parts'!N89</f>
        <v>1.2183053750000001</v>
      </c>
      <c r="D14" s="127">
        <f>'FR Parts'!N90</f>
        <v>2</v>
      </c>
      <c r="E14" s="100">
        <f t="shared" si="0"/>
        <v>2.4366107500000003</v>
      </c>
      <c r="F14" s="99"/>
      <c r="G14" s="99"/>
      <c r="H14" s="99"/>
      <c r="I14" s="99"/>
      <c r="J14" s="99"/>
      <c r="K14" s="99"/>
      <c r="L14" s="99"/>
      <c r="M14" s="99"/>
      <c r="N14" s="99"/>
      <c r="O14" s="131"/>
    </row>
    <row r="15" spans="1:15" s="254" customFormat="1" x14ac:dyDescent="0.25">
      <c r="A15" s="129">
        <v>60</v>
      </c>
      <c r="B15" s="132" t="str">
        <f>'FR Parts'!B111</f>
        <v>Suspensions gusset plate</v>
      </c>
      <c r="C15" s="100">
        <f>'FR Parts'!N108</f>
        <v>0.59441720000000009</v>
      </c>
      <c r="D15" s="127">
        <f>'FR Parts'!N109</f>
        <v>2</v>
      </c>
      <c r="E15" s="100">
        <f t="shared" si="0"/>
        <v>1.1888344000000002</v>
      </c>
      <c r="F15" s="99"/>
      <c r="G15" s="99"/>
      <c r="H15" s="99"/>
      <c r="I15" s="99"/>
      <c r="J15" s="99"/>
      <c r="K15" s="99"/>
      <c r="L15" s="99"/>
      <c r="M15" s="99"/>
      <c r="N15" s="99"/>
      <c r="O15" s="131"/>
    </row>
    <row r="16" spans="1:15" s="254" customFormat="1" x14ac:dyDescent="0.25">
      <c r="A16" s="129">
        <v>70</v>
      </c>
      <c r="B16" s="132" t="str">
        <f>'FR Parts'!B130</f>
        <v>Tube cover Diam. 24</v>
      </c>
      <c r="C16" s="100">
        <f>'FR Parts'!N127</f>
        <v>0.40949756000000004</v>
      </c>
      <c r="D16" s="127">
        <f>'FR Parts'!N128</f>
        <v>2</v>
      </c>
      <c r="E16" s="100">
        <f t="shared" si="0"/>
        <v>0.81899512000000008</v>
      </c>
      <c r="F16" s="99"/>
      <c r="G16" s="99"/>
      <c r="H16" s="99"/>
      <c r="I16" s="99"/>
      <c r="J16" s="99"/>
      <c r="K16" s="99"/>
      <c r="L16" s="99"/>
      <c r="M16" s="99"/>
      <c r="N16" s="99"/>
      <c r="O16" s="130"/>
    </row>
    <row r="17" spans="1:15" x14ac:dyDescent="0.25">
      <c r="A17" s="129">
        <v>80</v>
      </c>
      <c r="B17" s="132" t="str">
        <f>'FR Parts'!B149</f>
        <v>Tube cover Diam. 26</v>
      </c>
      <c r="C17" s="100">
        <f>'FR Parts'!N146</f>
        <v>0.42839755999999996</v>
      </c>
      <c r="D17" s="127">
        <f>'FR Parts'!N147</f>
        <v>2</v>
      </c>
      <c r="E17" s="100">
        <f t="shared" si="0"/>
        <v>0.85679511999999991</v>
      </c>
      <c r="F17" s="94"/>
      <c r="G17" s="94"/>
      <c r="H17" s="94"/>
      <c r="I17" s="94"/>
      <c r="J17" s="94"/>
      <c r="K17" s="94"/>
      <c r="L17" s="94"/>
      <c r="M17" s="94"/>
      <c r="N17" s="94"/>
      <c r="O17" s="93"/>
    </row>
    <row r="18" spans="1:15" x14ac:dyDescent="0.25">
      <c r="A18" s="129">
        <v>90</v>
      </c>
      <c r="B18" s="132" t="str">
        <f>'FR Parts'!B168</f>
        <v>Tube cover Diam. 28</v>
      </c>
      <c r="C18" s="100">
        <f>'FR Parts'!N165</f>
        <v>0.45336416000000002</v>
      </c>
      <c r="D18" s="127">
        <f>'FR Parts'!N166</f>
        <v>4</v>
      </c>
      <c r="E18" s="100">
        <f t="shared" si="0"/>
        <v>1.8134566400000001</v>
      </c>
      <c r="F18" s="94"/>
      <c r="G18" s="94"/>
      <c r="H18" s="94"/>
      <c r="I18" s="94"/>
      <c r="J18" s="94"/>
      <c r="K18" s="94"/>
      <c r="L18" s="94"/>
      <c r="M18" s="94"/>
      <c r="N18" s="94"/>
      <c r="O18" s="93"/>
    </row>
    <row r="19" spans="1:15" x14ac:dyDescent="0.25">
      <c r="A19" s="107"/>
      <c r="B19" s="94"/>
      <c r="C19" s="94"/>
      <c r="D19" s="746" t="s">
        <v>58</v>
      </c>
      <c r="E19" s="727">
        <f>SUM(E10:E18)</f>
        <v>322.208574787195</v>
      </c>
      <c r="F19" s="99"/>
      <c r="G19" s="99"/>
      <c r="H19" s="99"/>
      <c r="I19" s="99"/>
      <c r="J19" s="99"/>
      <c r="K19" s="99"/>
      <c r="L19" s="99"/>
      <c r="M19" s="99"/>
      <c r="N19" s="99"/>
      <c r="O19" s="93"/>
    </row>
    <row r="20" spans="1:15" x14ac:dyDescent="0.25">
      <c r="A20" s="107"/>
      <c r="B20" s="94"/>
      <c r="C20" s="94"/>
      <c r="D20" s="94"/>
      <c r="E20" s="94"/>
      <c r="F20" s="94"/>
      <c r="G20" s="94"/>
      <c r="H20" s="94"/>
      <c r="I20" s="94"/>
      <c r="J20" s="94"/>
      <c r="K20" s="94"/>
      <c r="L20" s="94"/>
      <c r="M20" s="94"/>
      <c r="N20" s="94"/>
      <c r="O20" s="93"/>
    </row>
    <row r="21" spans="1:15" x14ac:dyDescent="0.25">
      <c r="A21" s="729" t="s">
        <v>67</v>
      </c>
      <c r="B21" s="729" t="s">
        <v>112</v>
      </c>
      <c r="C21" s="729" t="s">
        <v>66</v>
      </c>
      <c r="D21" s="729" t="s">
        <v>65</v>
      </c>
      <c r="E21" s="729" t="s">
        <v>81</v>
      </c>
      <c r="F21" s="729" t="s">
        <v>80</v>
      </c>
      <c r="G21" s="729" t="s">
        <v>79</v>
      </c>
      <c r="H21" s="729" t="s">
        <v>78</v>
      </c>
      <c r="I21" s="729" t="s">
        <v>111</v>
      </c>
      <c r="J21" s="729" t="s">
        <v>110</v>
      </c>
      <c r="K21" s="729" t="s">
        <v>109</v>
      </c>
      <c r="L21" s="729" t="s">
        <v>108</v>
      </c>
      <c r="M21" s="729" t="s">
        <v>40</v>
      </c>
      <c r="N21" s="729" t="s">
        <v>58</v>
      </c>
      <c r="O21" s="93"/>
    </row>
    <row r="22" spans="1:15" x14ac:dyDescent="0.25">
      <c r="A22" s="828">
        <v>10</v>
      </c>
      <c r="B22" s="828" t="s">
        <v>250</v>
      </c>
      <c r="C22" s="828" t="s">
        <v>1501</v>
      </c>
      <c r="D22" s="829">
        <v>10</v>
      </c>
      <c r="E22" s="828">
        <v>3.71</v>
      </c>
      <c r="F22" s="828" t="s">
        <v>299</v>
      </c>
      <c r="G22" s="828"/>
      <c r="H22" s="843"/>
      <c r="I22" s="940"/>
      <c r="J22" s="851"/>
      <c r="K22" s="843"/>
      <c r="L22" s="843"/>
      <c r="M22" s="939">
        <v>3.71</v>
      </c>
      <c r="N22" s="100">
        <f>M22*D22</f>
        <v>37.1</v>
      </c>
      <c r="O22" s="93"/>
    </row>
    <row r="23" spans="1:15" x14ac:dyDescent="0.25">
      <c r="A23" s="98"/>
      <c r="B23" s="95"/>
      <c r="C23" s="95"/>
      <c r="D23" s="95"/>
      <c r="E23" s="95"/>
      <c r="F23" s="95"/>
      <c r="G23" s="95"/>
      <c r="H23" s="95"/>
      <c r="I23" s="95"/>
      <c r="J23" s="95"/>
      <c r="K23" s="95"/>
      <c r="L23" s="95"/>
      <c r="M23" s="729" t="s">
        <v>58</v>
      </c>
      <c r="N23" s="727">
        <f>SUM(N22:N22)</f>
        <v>37.1</v>
      </c>
      <c r="O23" s="93"/>
    </row>
    <row r="24" spans="1:15" x14ac:dyDescent="0.25">
      <c r="A24" s="107"/>
      <c r="B24" s="94"/>
      <c r="C24" s="94"/>
      <c r="D24" s="94"/>
      <c r="E24" s="94"/>
      <c r="F24" s="94"/>
      <c r="G24" s="94"/>
      <c r="H24" s="94"/>
      <c r="I24" s="94"/>
      <c r="J24" s="94"/>
      <c r="K24" s="94"/>
      <c r="L24" s="94"/>
      <c r="M24" s="94"/>
      <c r="N24" s="94"/>
      <c r="O24" s="93"/>
    </row>
    <row r="25" spans="1:15" s="245" customFormat="1" x14ac:dyDescent="0.25">
      <c r="A25" s="729" t="s">
        <v>67</v>
      </c>
      <c r="B25" s="729" t="s">
        <v>106</v>
      </c>
      <c r="C25" s="729" t="s">
        <v>66</v>
      </c>
      <c r="D25" s="729" t="s">
        <v>65</v>
      </c>
      <c r="E25" s="729" t="s">
        <v>64</v>
      </c>
      <c r="F25" s="729" t="s">
        <v>40</v>
      </c>
      <c r="G25" s="729" t="s">
        <v>105</v>
      </c>
      <c r="H25" s="729" t="s">
        <v>104</v>
      </c>
      <c r="I25" s="729" t="s">
        <v>58</v>
      </c>
      <c r="J25" s="95"/>
      <c r="K25" s="95"/>
      <c r="L25" s="95"/>
      <c r="M25" s="95"/>
      <c r="N25" s="95"/>
      <c r="O25" s="120"/>
    </row>
    <row r="26" spans="1:15" x14ac:dyDescent="0.25">
      <c r="A26" s="793">
        <v>10</v>
      </c>
      <c r="B26" s="795" t="s">
        <v>1500</v>
      </c>
      <c r="C26" s="795"/>
      <c r="D26" s="802">
        <v>0.38</v>
      </c>
      <c r="E26" s="793" t="s">
        <v>101</v>
      </c>
      <c r="F26" s="745">
        <v>464.52</v>
      </c>
      <c r="G26" s="793"/>
      <c r="H26" s="793">
        <v>1</v>
      </c>
      <c r="I26" s="100">
        <f>IF(H26="",D26*F26,D26*F26*H26)</f>
        <v>176.51759999999999</v>
      </c>
      <c r="J26" s="94"/>
      <c r="K26" s="94"/>
      <c r="L26" s="94"/>
      <c r="M26" s="94"/>
      <c r="N26" s="94"/>
      <c r="O26" s="93"/>
    </row>
    <row r="27" spans="1:15" ht="30.75" customHeight="1" x14ac:dyDescent="0.25">
      <c r="A27" s="793">
        <v>20</v>
      </c>
      <c r="B27" s="744" t="s">
        <v>103</v>
      </c>
      <c r="C27" s="794" t="s">
        <v>1499</v>
      </c>
      <c r="D27" s="938">
        <v>0.15</v>
      </c>
      <c r="E27" s="818" t="s">
        <v>101</v>
      </c>
      <c r="F27" s="854">
        <v>147.18700000000001</v>
      </c>
      <c r="G27" s="828"/>
      <c r="H27" s="828">
        <v>1</v>
      </c>
      <c r="I27" s="100">
        <f>IF(H27="",D27*F27,D27*F27*H27)</f>
        <v>22.078050000000001</v>
      </c>
      <c r="J27" s="94"/>
      <c r="K27" s="94"/>
      <c r="L27" s="94"/>
      <c r="M27" s="94"/>
      <c r="N27" s="94"/>
      <c r="O27" s="93"/>
    </row>
    <row r="28" spans="1:15" x14ac:dyDescent="0.25">
      <c r="A28" s="828">
        <v>30</v>
      </c>
      <c r="B28" s="818" t="s">
        <v>535</v>
      </c>
      <c r="C28" s="841"/>
      <c r="D28" s="855">
        <v>5.25</v>
      </c>
      <c r="E28" s="818" t="s">
        <v>299</v>
      </c>
      <c r="F28" s="828">
        <v>3.71</v>
      </c>
      <c r="G28" s="828"/>
      <c r="H28" s="828">
        <v>1</v>
      </c>
      <c r="I28" s="100">
        <f>IF(H28="",D28*F28,D28*F28*H28)</f>
        <v>19.477499999999999</v>
      </c>
      <c r="J28" s="94"/>
      <c r="K28" s="94"/>
      <c r="L28" s="94"/>
      <c r="M28" s="94"/>
      <c r="N28" s="94"/>
      <c r="O28" s="93"/>
    </row>
    <row r="29" spans="1:15" x14ac:dyDescent="0.25">
      <c r="A29" s="98"/>
      <c r="B29" s="95"/>
      <c r="C29" s="95"/>
      <c r="D29" s="95"/>
      <c r="E29" s="95"/>
      <c r="F29" s="95"/>
      <c r="G29" s="95"/>
      <c r="H29" s="746" t="s">
        <v>58</v>
      </c>
      <c r="I29" s="727">
        <f>SUM(I26:I28)</f>
        <v>218.07314999999997</v>
      </c>
      <c r="J29" s="94"/>
      <c r="K29" s="94"/>
      <c r="L29" s="94"/>
      <c r="M29" s="94"/>
      <c r="N29" s="94"/>
      <c r="O29" s="93"/>
    </row>
    <row r="30" spans="1:15" x14ac:dyDescent="0.25">
      <c r="A30" s="107"/>
      <c r="B30" s="94"/>
      <c r="C30" s="94"/>
      <c r="D30" s="94"/>
      <c r="E30" s="94"/>
      <c r="F30" s="94"/>
      <c r="G30" s="94"/>
      <c r="H30" s="94"/>
      <c r="I30" s="94"/>
      <c r="J30" s="94"/>
      <c r="K30" s="94"/>
      <c r="L30" s="94"/>
      <c r="M30" s="94"/>
      <c r="N30" s="94"/>
      <c r="O30" s="93"/>
    </row>
    <row r="31" spans="1:15" x14ac:dyDescent="0.25">
      <c r="A31" s="729" t="s">
        <v>67</v>
      </c>
      <c r="B31" s="729" t="s">
        <v>13</v>
      </c>
      <c r="C31" s="729" t="s">
        <v>66</v>
      </c>
      <c r="D31" s="729" t="s">
        <v>65</v>
      </c>
      <c r="E31" s="729" t="s">
        <v>64</v>
      </c>
      <c r="F31" s="729" t="s">
        <v>40</v>
      </c>
      <c r="G31" s="729" t="s">
        <v>63</v>
      </c>
      <c r="H31" s="729" t="s">
        <v>62</v>
      </c>
      <c r="I31" s="729" t="s">
        <v>58</v>
      </c>
      <c r="J31" s="95"/>
      <c r="K31" s="94"/>
      <c r="L31" s="94"/>
      <c r="M31" s="94"/>
      <c r="N31" s="94"/>
      <c r="O31" s="93"/>
    </row>
    <row r="32" spans="1:15" x14ac:dyDescent="0.25">
      <c r="A32" s="828">
        <v>10</v>
      </c>
      <c r="B32" s="826" t="s">
        <v>61</v>
      </c>
      <c r="C32" s="937" t="s">
        <v>1498</v>
      </c>
      <c r="D32" s="829">
        <v>500</v>
      </c>
      <c r="E32" s="828" t="s">
        <v>59</v>
      </c>
      <c r="F32" s="828">
        <v>318</v>
      </c>
      <c r="G32" s="828">
        <v>3000</v>
      </c>
      <c r="H32" s="828">
        <v>1</v>
      </c>
      <c r="I32" s="100">
        <f>D32*F32/G32*H32</f>
        <v>53</v>
      </c>
      <c r="J32" s="95"/>
      <c r="K32" s="94"/>
      <c r="L32" s="94"/>
      <c r="M32" s="94"/>
      <c r="N32" s="94"/>
      <c r="O32" s="93"/>
    </row>
    <row r="33" spans="1:15" x14ac:dyDescent="0.25">
      <c r="A33" s="828">
        <v>20</v>
      </c>
      <c r="B33" s="826" t="s">
        <v>61</v>
      </c>
      <c r="C33" s="828" t="s">
        <v>1497</v>
      </c>
      <c r="D33" s="829">
        <v>500</v>
      </c>
      <c r="E33" s="828" t="s">
        <v>59</v>
      </c>
      <c r="F33" s="828">
        <v>20</v>
      </c>
      <c r="G33" s="828">
        <v>3000</v>
      </c>
      <c r="H33" s="828">
        <v>1</v>
      </c>
      <c r="I33" s="100">
        <f>D33*F33/G33*H33</f>
        <v>3.3333333333333335</v>
      </c>
      <c r="J33" s="99"/>
      <c r="K33" s="94"/>
      <c r="L33" s="94"/>
      <c r="M33" s="94"/>
      <c r="N33" s="94"/>
      <c r="O33" s="93"/>
    </row>
    <row r="34" spans="1:15" x14ac:dyDescent="0.25">
      <c r="A34" s="98"/>
      <c r="B34" s="95"/>
      <c r="C34" s="95"/>
      <c r="D34" s="95"/>
      <c r="E34" s="95"/>
      <c r="F34" s="95"/>
      <c r="G34" s="95"/>
      <c r="H34" s="728" t="s">
        <v>58</v>
      </c>
      <c r="I34" s="749">
        <f>SUM(I32:I33)</f>
        <v>56.333333333333336</v>
      </c>
      <c r="J34" s="95"/>
      <c r="K34" s="94"/>
      <c r="L34" s="94"/>
      <c r="M34" s="94"/>
      <c r="N34" s="94"/>
      <c r="O34" s="93"/>
    </row>
    <row r="35" spans="1:15" ht="15.75" thickBot="1" x14ac:dyDescent="0.3">
      <c r="A35" s="92"/>
      <c r="B35" s="91"/>
      <c r="C35" s="91"/>
      <c r="D35" s="91"/>
      <c r="E35" s="91"/>
      <c r="F35" s="91"/>
      <c r="G35" s="91"/>
      <c r="H35" s="91"/>
      <c r="I35" s="91"/>
      <c r="J35" s="91"/>
      <c r="K35" s="91"/>
      <c r="L35" s="91"/>
      <c r="M35" s="91"/>
      <c r="N35" s="91"/>
      <c r="O35" s="90"/>
    </row>
    <row r="36" spans="1:15" ht="15.75" thickBot="1" x14ac:dyDescent="0.3">
      <c r="A36" s="94"/>
      <c r="B36" s="94"/>
      <c r="C36" s="94"/>
      <c r="D36" s="94"/>
      <c r="E36" s="94"/>
      <c r="F36" s="94"/>
      <c r="G36" s="94"/>
      <c r="H36" s="94"/>
      <c r="I36" s="94"/>
      <c r="J36" s="94"/>
      <c r="K36" s="94"/>
      <c r="L36" s="94"/>
      <c r="M36" s="94"/>
      <c r="N36" s="94"/>
    </row>
    <row r="37" spans="1:15" x14ac:dyDescent="0.25">
      <c r="A37" s="141"/>
      <c r="B37" s="140"/>
      <c r="C37" s="140"/>
      <c r="D37" s="140"/>
      <c r="E37" s="140"/>
      <c r="F37" s="140"/>
      <c r="G37" s="140"/>
      <c r="H37" s="140"/>
      <c r="I37" s="140"/>
      <c r="J37" s="140"/>
      <c r="K37" s="140"/>
      <c r="L37" s="140"/>
      <c r="M37" s="140"/>
      <c r="N37" s="140"/>
      <c r="O37" s="139"/>
    </row>
    <row r="38" spans="1:15" x14ac:dyDescent="0.25">
      <c r="A38" s="729" t="s">
        <v>57</v>
      </c>
      <c r="B38" s="133" t="s">
        <v>523</v>
      </c>
      <c r="C38" s="94"/>
      <c r="D38" s="94"/>
      <c r="E38" s="94"/>
      <c r="F38" s="94"/>
      <c r="G38" s="94"/>
      <c r="H38" s="94"/>
      <c r="I38" s="94"/>
      <c r="J38" s="729" t="s">
        <v>51</v>
      </c>
      <c r="K38" s="138">
        <v>81</v>
      </c>
      <c r="L38" s="94"/>
      <c r="M38" s="729" t="s">
        <v>126</v>
      </c>
      <c r="N38" s="137">
        <f>E47+FR_A0002_p+FR_A0002_f</f>
        <v>55.603753335</v>
      </c>
      <c r="O38" s="93"/>
    </row>
    <row r="39" spans="1:15" x14ac:dyDescent="0.25">
      <c r="A39" s="729" t="s">
        <v>125</v>
      </c>
      <c r="B39" s="133" t="s">
        <v>1412</v>
      </c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729" t="s">
        <v>124</v>
      </c>
      <c r="N39" s="136">
        <v>1</v>
      </c>
      <c r="O39" s="93"/>
    </row>
    <row r="40" spans="1:15" x14ac:dyDescent="0.25">
      <c r="A40" s="729" t="s">
        <v>123</v>
      </c>
      <c r="B40" s="745" t="s">
        <v>1495</v>
      </c>
      <c r="C40" s="94"/>
      <c r="D40" s="94"/>
      <c r="E40" s="94"/>
      <c r="F40" s="94"/>
      <c r="G40" s="94"/>
      <c r="H40" s="94"/>
      <c r="I40" s="94"/>
      <c r="J40" s="736" t="s">
        <v>122</v>
      </c>
      <c r="K40" s="94"/>
      <c r="L40" s="94"/>
      <c r="M40" s="94"/>
      <c r="N40" s="94"/>
      <c r="O40" s="93"/>
    </row>
    <row r="41" spans="1:15" x14ac:dyDescent="0.25">
      <c r="A41" s="729" t="s">
        <v>121</v>
      </c>
      <c r="B41" s="135" t="s">
        <v>1496</v>
      </c>
      <c r="C41" s="94"/>
      <c r="D41" s="94"/>
      <c r="E41" s="94"/>
      <c r="F41" s="94"/>
      <c r="G41" s="94"/>
      <c r="H41" s="94"/>
      <c r="I41" s="94"/>
      <c r="J41" s="736" t="s">
        <v>119</v>
      </c>
      <c r="K41" s="94"/>
      <c r="L41" s="94"/>
      <c r="M41" s="729" t="s">
        <v>118</v>
      </c>
      <c r="N41" s="100">
        <f>N38*N39</f>
        <v>55.603753335</v>
      </c>
      <c r="O41" s="93"/>
    </row>
    <row r="42" spans="1:15" x14ac:dyDescent="0.25">
      <c r="A42" s="729" t="s">
        <v>117</v>
      </c>
      <c r="B42" s="133" t="s">
        <v>23</v>
      </c>
      <c r="C42" s="94"/>
      <c r="D42" s="94"/>
      <c r="E42" s="94"/>
      <c r="F42" s="94"/>
      <c r="G42" s="94"/>
      <c r="H42" s="94"/>
      <c r="I42" s="94"/>
      <c r="J42" s="736" t="s">
        <v>116</v>
      </c>
      <c r="K42" s="94"/>
      <c r="L42" s="94"/>
      <c r="M42" s="94"/>
      <c r="N42" s="94"/>
      <c r="O42" s="93"/>
    </row>
    <row r="43" spans="1:15" x14ac:dyDescent="0.25">
      <c r="A43" s="729" t="s">
        <v>115</v>
      </c>
      <c r="B43" s="744" t="s">
        <v>1495</v>
      </c>
      <c r="C43" s="94"/>
      <c r="D43" s="94"/>
      <c r="E43" s="94"/>
      <c r="F43" s="94"/>
      <c r="G43" s="94"/>
      <c r="H43" s="94"/>
      <c r="I43" s="94"/>
      <c r="J43" s="94"/>
      <c r="K43" s="94"/>
      <c r="L43" s="94"/>
      <c r="M43" s="94"/>
      <c r="N43" s="94"/>
      <c r="O43" s="93"/>
    </row>
    <row r="44" spans="1:15" x14ac:dyDescent="0.25">
      <c r="A44" s="107"/>
      <c r="B44" s="94"/>
      <c r="C44" s="94"/>
      <c r="D44" s="94"/>
      <c r="E44" s="94"/>
      <c r="F44" s="94"/>
      <c r="G44" s="94"/>
      <c r="H44" s="94"/>
      <c r="I44" s="94"/>
      <c r="J44" s="94"/>
      <c r="K44" s="94"/>
      <c r="L44" s="94"/>
      <c r="M44" s="94"/>
      <c r="N44" s="94"/>
      <c r="O44" s="93"/>
    </row>
    <row r="45" spans="1:15" x14ac:dyDescent="0.25">
      <c r="A45" s="729" t="s">
        <v>67</v>
      </c>
      <c r="B45" s="729" t="s">
        <v>114</v>
      </c>
      <c r="C45" s="729" t="s">
        <v>113</v>
      </c>
      <c r="D45" s="729" t="s">
        <v>40</v>
      </c>
      <c r="E45" s="729" t="s">
        <v>58</v>
      </c>
      <c r="F45" s="94"/>
      <c r="G45" s="94"/>
      <c r="H45" s="94"/>
      <c r="I45" s="94"/>
      <c r="J45" s="94"/>
      <c r="K45" s="94"/>
      <c r="L45" s="94"/>
      <c r="M45" s="94"/>
      <c r="N45" s="94"/>
      <c r="O45" s="93"/>
    </row>
    <row r="46" spans="1:15" x14ac:dyDescent="0.25">
      <c r="A46" s="129">
        <v>10</v>
      </c>
      <c r="B46" s="132" t="str">
        <f>'FR Parts'!B187</f>
        <v>Impact Attenuator part</v>
      </c>
      <c r="C46" s="100">
        <f>'FR Parts'!N184</f>
        <v>45.581253335</v>
      </c>
      <c r="D46" s="127">
        <f>'FR Parts'!N185</f>
        <v>1</v>
      </c>
      <c r="E46" s="100">
        <f>C46*D46</f>
        <v>45.581253335</v>
      </c>
      <c r="F46" s="94"/>
      <c r="G46" s="94"/>
      <c r="H46" s="94"/>
      <c r="I46" s="94"/>
      <c r="J46" s="94"/>
      <c r="K46" s="94"/>
      <c r="L46" s="94"/>
      <c r="M46" s="94"/>
      <c r="N46" s="94"/>
      <c r="O46" s="93"/>
    </row>
    <row r="47" spans="1:15" x14ac:dyDescent="0.25">
      <c r="A47" s="107"/>
      <c r="B47" s="94"/>
      <c r="C47" s="94"/>
      <c r="D47" s="746" t="s">
        <v>58</v>
      </c>
      <c r="E47" s="727">
        <f>SUM(E46:E46)</f>
        <v>45.581253335</v>
      </c>
      <c r="F47" s="99"/>
      <c r="G47" s="99"/>
      <c r="H47" s="99"/>
      <c r="I47" s="99"/>
      <c r="J47" s="99"/>
      <c r="K47" s="99"/>
      <c r="L47" s="99"/>
      <c r="M47" s="99"/>
      <c r="N47" s="99"/>
      <c r="O47" s="93"/>
    </row>
    <row r="48" spans="1:15" x14ac:dyDescent="0.25">
      <c r="A48" s="107"/>
      <c r="B48" s="94"/>
      <c r="C48" s="94"/>
      <c r="D48" s="94"/>
      <c r="E48" s="94"/>
      <c r="F48" s="94"/>
      <c r="G48" s="94"/>
      <c r="H48" s="94"/>
      <c r="I48" s="94"/>
      <c r="J48" s="94"/>
      <c r="K48" s="94"/>
      <c r="L48" s="94"/>
      <c r="M48" s="94"/>
      <c r="N48" s="94"/>
      <c r="O48" s="93"/>
    </row>
    <row r="49" spans="1:15" x14ac:dyDescent="0.25">
      <c r="A49" s="729" t="s">
        <v>67</v>
      </c>
      <c r="B49" s="729" t="s">
        <v>106</v>
      </c>
      <c r="C49" s="729" t="s">
        <v>66</v>
      </c>
      <c r="D49" s="729" t="s">
        <v>65</v>
      </c>
      <c r="E49" s="729" t="s">
        <v>64</v>
      </c>
      <c r="F49" s="729" t="s">
        <v>40</v>
      </c>
      <c r="G49" s="729" t="s">
        <v>105</v>
      </c>
      <c r="H49" s="729" t="s">
        <v>104</v>
      </c>
      <c r="I49" s="729" t="s">
        <v>58</v>
      </c>
      <c r="J49" s="95"/>
      <c r="K49" s="95"/>
      <c r="L49" s="95"/>
      <c r="M49" s="95"/>
      <c r="N49" s="95"/>
      <c r="O49" s="120"/>
    </row>
    <row r="50" spans="1:15" x14ac:dyDescent="0.25">
      <c r="A50" s="793">
        <v>10</v>
      </c>
      <c r="B50" s="791" t="s">
        <v>87</v>
      </c>
      <c r="C50" s="936" t="s">
        <v>1494</v>
      </c>
      <c r="D50" s="935">
        <v>6.25E-2</v>
      </c>
      <c r="E50" s="807" t="s">
        <v>64</v>
      </c>
      <c r="F50" s="801">
        <v>1</v>
      </c>
      <c r="G50" s="801"/>
      <c r="H50" s="801">
        <v>1</v>
      </c>
      <c r="I50" s="100">
        <f>IF(H50="",D50*F50,D50*F50*H50)</f>
        <v>6.25E-2</v>
      </c>
      <c r="J50" s="94"/>
      <c r="K50" s="94"/>
      <c r="L50" s="94"/>
      <c r="M50" s="94"/>
      <c r="N50" s="94"/>
      <c r="O50" s="93"/>
    </row>
    <row r="51" spans="1:15" x14ac:dyDescent="0.25">
      <c r="A51" s="793">
        <v>20</v>
      </c>
      <c r="B51" s="796" t="s">
        <v>85</v>
      </c>
      <c r="C51" s="748" t="s">
        <v>1493</v>
      </c>
      <c r="D51" s="802">
        <v>0.75</v>
      </c>
      <c r="E51" s="791" t="s">
        <v>64</v>
      </c>
      <c r="F51" s="801">
        <v>8</v>
      </c>
      <c r="G51" s="793"/>
      <c r="H51" s="793"/>
      <c r="I51" s="100">
        <f>IF(H51="",D51*F51,D51*F51*H51)</f>
        <v>6</v>
      </c>
      <c r="J51" s="94"/>
      <c r="K51" s="94"/>
      <c r="L51" s="94"/>
      <c r="M51" s="94"/>
      <c r="N51" s="94"/>
      <c r="O51" s="93"/>
    </row>
    <row r="52" spans="1:15" x14ac:dyDescent="0.25">
      <c r="A52" s="793">
        <v>30</v>
      </c>
      <c r="B52" s="796" t="s">
        <v>84</v>
      </c>
      <c r="C52" s="796" t="s">
        <v>1493</v>
      </c>
      <c r="D52" s="802">
        <v>0.25</v>
      </c>
      <c r="E52" s="793" t="s">
        <v>64</v>
      </c>
      <c r="F52" s="801">
        <v>8</v>
      </c>
      <c r="G52" s="793"/>
      <c r="H52" s="793"/>
      <c r="I52" s="100">
        <f>IF(H52="",D52*F52,D52*F52*H52)</f>
        <v>2</v>
      </c>
      <c r="J52" s="94"/>
      <c r="K52" s="94"/>
      <c r="L52" s="94"/>
      <c r="M52" s="94"/>
      <c r="N52" s="94"/>
      <c r="O52" s="93"/>
    </row>
    <row r="53" spans="1:15" x14ac:dyDescent="0.25">
      <c r="A53" s="98"/>
      <c r="B53" s="95"/>
      <c r="C53" s="95"/>
      <c r="D53" s="95"/>
      <c r="E53" s="95"/>
      <c r="F53" s="95"/>
      <c r="G53" s="95"/>
      <c r="H53" s="746" t="s">
        <v>58</v>
      </c>
      <c r="I53" s="727">
        <f>SUM(I50:I52)</f>
        <v>8.0625</v>
      </c>
      <c r="J53" s="94"/>
      <c r="K53" s="94"/>
      <c r="L53" s="94"/>
      <c r="M53" s="94"/>
      <c r="N53" s="94"/>
      <c r="O53" s="93"/>
    </row>
    <row r="54" spans="1:15" x14ac:dyDescent="0.25">
      <c r="A54" s="107"/>
      <c r="B54" s="94"/>
      <c r="C54" s="94"/>
      <c r="D54" s="94"/>
      <c r="E54" s="94"/>
      <c r="F54" s="94"/>
      <c r="G54" s="94"/>
      <c r="H54" s="94"/>
      <c r="I54" s="94"/>
      <c r="J54" s="94"/>
      <c r="K54" s="94"/>
      <c r="L54" s="94"/>
      <c r="M54" s="94"/>
      <c r="N54" s="94"/>
      <c r="O54" s="93"/>
    </row>
    <row r="55" spans="1:15" x14ac:dyDescent="0.25">
      <c r="A55" s="729" t="s">
        <v>67</v>
      </c>
      <c r="B55" s="729" t="s">
        <v>82</v>
      </c>
      <c r="C55" s="729" t="s">
        <v>66</v>
      </c>
      <c r="D55" s="729" t="s">
        <v>65</v>
      </c>
      <c r="E55" s="729" t="s">
        <v>81</v>
      </c>
      <c r="F55" s="729" t="s">
        <v>80</v>
      </c>
      <c r="G55" s="729" t="s">
        <v>79</v>
      </c>
      <c r="H55" s="729" t="s">
        <v>78</v>
      </c>
      <c r="I55" s="729" t="s">
        <v>40</v>
      </c>
      <c r="J55" s="729" t="s">
        <v>58</v>
      </c>
      <c r="K55" s="94"/>
      <c r="L55" s="94"/>
      <c r="M55" s="94"/>
      <c r="N55" s="94"/>
      <c r="O55" s="93"/>
    </row>
    <row r="56" spans="1:15" x14ac:dyDescent="0.25">
      <c r="A56" s="793">
        <v>10</v>
      </c>
      <c r="B56" s="793" t="s">
        <v>184</v>
      </c>
      <c r="C56" s="793"/>
      <c r="D56" s="929">
        <v>0.39</v>
      </c>
      <c r="E56" s="891">
        <v>8</v>
      </c>
      <c r="F56" s="891" t="s">
        <v>68</v>
      </c>
      <c r="G56" s="891">
        <v>80</v>
      </c>
      <c r="H56" s="891" t="s">
        <v>68</v>
      </c>
      <c r="I56" s="801">
        <v>4</v>
      </c>
      <c r="J56" s="100">
        <f>I56*D56</f>
        <v>1.56</v>
      </c>
      <c r="K56" s="94"/>
      <c r="L56" s="94"/>
      <c r="M56" s="94"/>
      <c r="N56" s="94"/>
      <c r="O56" s="93"/>
    </row>
    <row r="57" spans="1:15" x14ac:dyDescent="0.25">
      <c r="A57" s="793">
        <v>20</v>
      </c>
      <c r="B57" s="793" t="s">
        <v>75</v>
      </c>
      <c r="C57" s="793"/>
      <c r="D57" s="929">
        <v>0.04</v>
      </c>
      <c r="E57" s="793">
        <v>8</v>
      </c>
      <c r="F57" s="888" t="s">
        <v>68</v>
      </c>
      <c r="G57" s="793"/>
      <c r="H57" s="745"/>
      <c r="I57" s="801">
        <v>8</v>
      </c>
      <c r="J57" s="100">
        <f>I57*D57</f>
        <v>0.32</v>
      </c>
      <c r="K57" s="94"/>
      <c r="L57" s="94"/>
      <c r="M57" s="94"/>
      <c r="N57" s="94"/>
      <c r="O57" s="93"/>
    </row>
    <row r="58" spans="1:15" x14ac:dyDescent="0.25">
      <c r="A58" s="793">
        <v>30</v>
      </c>
      <c r="B58" s="934" t="s">
        <v>74</v>
      </c>
      <c r="C58" s="801"/>
      <c r="D58" s="933">
        <v>0.01</v>
      </c>
      <c r="E58" s="932" t="s">
        <v>64</v>
      </c>
      <c r="F58" s="801"/>
      <c r="G58" s="801"/>
      <c r="H58" s="795"/>
      <c r="I58" s="801">
        <v>8</v>
      </c>
      <c r="J58" s="100">
        <f>I58*D58</f>
        <v>0.08</v>
      </c>
      <c r="K58" s="94"/>
      <c r="L58" s="94"/>
      <c r="M58" s="94"/>
      <c r="N58" s="94"/>
      <c r="O58" s="93"/>
    </row>
    <row r="59" spans="1:15" x14ac:dyDescent="0.25">
      <c r="A59" s="98"/>
      <c r="B59" s="95"/>
      <c r="C59" s="95"/>
      <c r="D59" s="95"/>
      <c r="E59" s="95"/>
      <c r="F59" s="95"/>
      <c r="G59" s="95"/>
      <c r="H59" s="95"/>
      <c r="I59" s="746" t="s">
        <v>58</v>
      </c>
      <c r="J59" s="727">
        <f>SUM(J56:J58)</f>
        <v>1.9600000000000002</v>
      </c>
      <c r="K59" s="94"/>
      <c r="L59" s="94"/>
      <c r="M59" s="94"/>
      <c r="N59" s="94"/>
      <c r="O59" s="93"/>
    </row>
    <row r="60" spans="1:15" ht="15.75" thickBot="1" x14ac:dyDescent="0.3">
      <c r="A60" s="92"/>
      <c r="B60" s="91"/>
      <c r="C60" s="91"/>
      <c r="D60" s="91"/>
      <c r="E60" s="91"/>
      <c r="F60" s="91"/>
      <c r="G60" s="91"/>
      <c r="H60" s="91"/>
      <c r="I60" s="91"/>
      <c r="J60" s="91"/>
      <c r="K60" s="91"/>
      <c r="L60" s="91"/>
      <c r="M60" s="91"/>
      <c r="N60" s="91"/>
      <c r="O60" s="90"/>
    </row>
    <row r="61" spans="1:15" ht="15.75" thickBot="1" x14ac:dyDescent="0.3"/>
    <row r="62" spans="1:15" x14ac:dyDescent="0.25">
      <c r="A62" s="141"/>
      <c r="B62" s="140"/>
      <c r="C62" s="140"/>
      <c r="D62" s="140"/>
      <c r="E62" s="140"/>
      <c r="F62" s="140"/>
      <c r="G62" s="140"/>
      <c r="H62" s="140"/>
      <c r="I62" s="140"/>
      <c r="J62" s="140"/>
      <c r="K62" s="140"/>
      <c r="L62" s="140"/>
      <c r="M62" s="140"/>
      <c r="N62" s="140"/>
      <c r="O62" s="139"/>
    </row>
    <row r="63" spans="1:15" x14ac:dyDescent="0.25">
      <c r="A63" s="729" t="s">
        <v>57</v>
      </c>
      <c r="B63" s="133" t="s">
        <v>523</v>
      </c>
      <c r="C63" s="94"/>
      <c r="D63" s="94"/>
      <c r="E63" s="94"/>
      <c r="F63" s="94"/>
      <c r="G63" s="94"/>
      <c r="H63" s="94"/>
      <c r="I63" s="94"/>
      <c r="J63" s="729" t="s">
        <v>51</v>
      </c>
      <c r="K63" s="138">
        <v>81</v>
      </c>
      <c r="L63" s="94"/>
      <c r="M63" s="729" t="s">
        <v>126</v>
      </c>
      <c r="N63" s="137">
        <f>E74+FR_A0003_p+FR_A0003_f+FR_A0003_m+FR_A0003_t</f>
        <v>691.13621415833336</v>
      </c>
      <c r="O63" s="93"/>
    </row>
    <row r="64" spans="1:15" x14ac:dyDescent="0.25">
      <c r="A64" s="729" t="s">
        <v>125</v>
      </c>
      <c r="B64" s="133" t="s">
        <v>1412</v>
      </c>
      <c r="C64" s="94"/>
      <c r="D64" s="94"/>
      <c r="E64" s="94"/>
      <c r="F64" s="94"/>
      <c r="G64" s="94"/>
      <c r="H64" s="94"/>
      <c r="I64" s="94"/>
      <c r="J64" s="94"/>
      <c r="K64" s="94"/>
      <c r="L64" s="94"/>
      <c r="M64" s="729" t="s">
        <v>124</v>
      </c>
      <c r="N64" s="136">
        <v>1</v>
      </c>
      <c r="O64" s="93"/>
    </row>
    <row r="65" spans="1:15" x14ac:dyDescent="0.25">
      <c r="A65" s="729" t="s">
        <v>123</v>
      </c>
      <c r="B65" s="745" t="s">
        <v>1491</v>
      </c>
      <c r="C65" s="94"/>
      <c r="D65" s="94"/>
      <c r="E65" s="94"/>
      <c r="F65" s="94"/>
      <c r="G65" s="94"/>
      <c r="H65" s="94"/>
      <c r="I65" s="94"/>
      <c r="J65" s="736" t="s">
        <v>122</v>
      </c>
      <c r="K65" s="94"/>
      <c r="L65" s="94"/>
      <c r="M65" s="94"/>
      <c r="N65" s="94"/>
      <c r="O65" s="93"/>
    </row>
    <row r="66" spans="1:15" x14ac:dyDescent="0.25">
      <c r="A66" s="729" t="s">
        <v>121</v>
      </c>
      <c r="B66" s="135" t="s">
        <v>1492</v>
      </c>
      <c r="C66" s="94"/>
      <c r="D66" s="94"/>
      <c r="E66" s="94"/>
      <c r="F66" s="94"/>
      <c r="G66" s="94"/>
      <c r="H66" s="94"/>
      <c r="I66" s="94"/>
      <c r="J66" s="736" t="s">
        <v>119</v>
      </c>
      <c r="K66" s="94"/>
      <c r="L66" s="94"/>
      <c r="M66" s="729" t="s">
        <v>118</v>
      </c>
      <c r="N66" s="100">
        <f>N63*N64</f>
        <v>691.13621415833336</v>
      </c>
      <c r="O66" s="93"/>
    </row>
    <row r="67" spans="1:15" x14ac:dyDescent="0.25">
      <c r="A67" s="729" t="s">
        <v>117</v>
      </c>
      <c r="B67" s="133" t="s">
        <v>23</v>
      </c>
      <c r="C67" s="94"/>
      <c r="D67" s="94"/>
      <c r="E67" s="94"/>
      <c r="F67" s="94"/>
      <c r="G67" s="94"/>
      <c r="H67" s="94"/>
      <c r="I67" s="94"/>
      <c r="J67" s="736" t="s">
        <v>116</v>
      </c>
      <c r="K67" s="94"/>
      <c r="L67" s="94"/>
      <c r="M67" s="94"/>
      <c r="N67" s="94"/>
      <c r="O67" s="93"/>
    </row>
    <row r="68" spans="1:15" x14ac:dyDescent="0.25">
      <c r="A68" s="729" t="s">
        <v>115</v>
      </c>
      <c r="B68" s="744" t="s">
        <v>1491</v>
      </c>
      <c r="C68" s="94"/>
      <c r="D68" s="94"/>
      <c r="E68" s="94"/>
      <c r="F68" s="94"/>
      <c r="G68" s="94"/>
      <c r="H68" s="94"/>
      <c r="I68" s="94"/>
      <c r="J68" s="94"/>
      <c r="K68" s="94"/>
      <c r="L68" s="94"/>
      <c r="M68" s="94"/>
      <c r="N68" s="94"/>
      <c r="O68" s="93"/>
    </row>
    <row r="69" spans="1:15" x14ac:dyDescent="0.25">
      <c r="A69" s="107"/>
      <c r="B69" s="94"/>
      <c r="C69" s="94"/>
      <c r="D69" s="94"/>
      <c r="E69" s="94"/>
      <c r="F69" s="94"/>
      <c r="G69" s="94"/>
      <c r="H69" s="94"/>
      <c r="I69" s="94"/>
      <c r="J69" s="94"/>
      <c r="K69" s="94"/>
      <c r="L69" s="94"/>
      <c r="M69" s="94"/>
      <c r="N69" s="94"/>
      <c r="O69" s="93"/>
    </row>
    <row r="70" spans="1:15" x14ac:dyDescent="0.25">
      <c r="A70" s="730" t="s">
        <v>67</v>
      </c>
      <c r="B70" s="730" t="s">
        <v>114</v>
      </c>
      <c r="C70" s="730" t="s">
        <v>113</v>
      </c>
      <c r="D70" s="729" t="s">
        <v>40</v>
      </c>
      <c r="E70" s="729" t="s">
        <v>58</v>
      </c>
      <c r="F70" s="94"/>
      <c r="G70" s="94"/>
      <c r="H70" s="94"/>
      <c r="I70" s="94"/>
      <c r="J70" s="94"/>
      <c r="K70" s="94"/>
      <c r="L70" s="94"/>
      <c r="M70" s="94"/>
      <c r="N70" s="94"/>
      <c r="O70" s="93"/>
    </row>
    <row r="71" spans="1:15" x14ac:dyDescent="0.25">
      <c r="A71" s="884">
        <v>10</v>
      </c>
      <c r="B71" s="883" t="str">
        <f>'FR Parts'!B215</f>
        <v>Undertray front</v>
      </c>
      <c r="C71" s="798">
        <f>'FR Parts'!N212</f>
        <v>229.51</v>
      </c>
      <c r="D71" s="747">
        <f>'FR Parts'!N213</f>
        <v>1</v>
      </c>
      <c r="E71" s="100">
        <f>C71*D71</f>
        <v>229.51</v>
      </c>
      <c r="F71" s="94"/>
      <c r="G71" s="94"/>
      <c r="H71" s="94"/>
      <c r="I71" s="94"/>
      <c r="J71" s="94"/>
      <c r="K71" s="94"/>
      <c r="L71" s="94"/>
      <c r="M71" s="94"/>
      <c r="N71" s="94"/>
      <c r="O71" s="93"/>
    </row>
    <row r="72" spans="1:15" x14ac:dyDescent="0.25">
      <c r="A72" s="884">
        <v>20</v>
      </c>
      <c r="B72" s="883" t="str">
        <f>'FR Parts'!B245</f>
        <v>Undertray middle</v>
      </c>
      <c r="C72" s="798">
        <f>'FR Parts'!N242</f>
        <v>427.40600000000006</v>
      </c>
      <c r="D72" s="747">
        <f>'FR Parts'!N243</f>
        <v>1</v>
      </c>
      <c r="E72" s="100">
        <f>C72*D72</f>
        <v>427.40600000000006</v>
      </c>
      <c r="F72" s="94"/>
      <c r="G72" s="94"/>
      <c r="H72" s="94"/>
      <c r="I72" s="94"/>
      <c r="J72" s="94"/>
      <c r="K72" s="94"/>
      <c r="L72" s="94"/>
      <c r="M72" s="94"/>
      <c r="N72" s="94"/>
      <c r="O72" s="93"/>
    </row>
    <row r="73" spans="1:15" x14ac:dyDescent="0.25">
      <c r="A73" s="884">
        <v>30</v>
      </c>
      <c r="B73" s="883" t="str">
        <f>'FR Parts'!B275</f>
        <v>Undertray Mount</v>
      </c>
      <c r="C73" s="798">
        <f>'FR Parts'!N272</f>
        <v>1.6762180824999999</v>
      </c>
      <c r="D73" s="747">
        <f>'FR Parts'!N273</f>
        <v>10</v>
      </c>
      <c r="E73" s="100">
        <f>C73*D73</f>
        <v>16.762180824999998</v>
      </c>
      <c r="F73" s="94"/>
      <c r="G73" s="94"/>
      <c r="H73" s="94"/>
      <c r="I73" s="94"/>
      <c r="J73" s="94"/>
      <c r="K73" s="94"/>
      <c r="L73" s="94"/>
      <c r="M73" s="94"/>
      <c r="N73" s="94"/>
      <c r="O73" s="93"/>
    </row>
    <row r="74" spans="1:15" x14ac:dyDescent="0.25">
      <c r="A74" s="107"/>
      <c r="B74" s="94"/>
      <c r="C74" s="94"/>
      <c r="D74" s="746" t="s">
        <v>58</v>
      </c>
      <c r="E74" s="727">
        <f>SUM(E71:E73)</f>
        <v>673.67818082500003</v>
      </c>
      <c r="F74" s="99"/>
      <c r="G74" s="99"/>
      <c r="H74" s="99"/>
      <c r="I74" s="99"/>
      <c r="J74" s="99"/>
      <c r="K74" s="99"/>
      <c r="L74" s="99"/>
      <c r="M74" s="99"/>
      <c r="N74" s="99"/>
      <c r="O74" s="594"/>
    </row>
    <row r="75" spans="1:15" x14ac:dyDescent="0.25">
      <c r="O75" s="594"/>
    </row>
    <row r="76" spans="1:15" x14ac:dyDescent="0.25">
      <c r="A76" s="875" t="s">
        <v>67</v>
      </c>
      <c r="B76" s="875" t="s">
        <v>112</v>
      </c>
      <c r="C76" s="875" t="s">
        <v>66</v>
      </c>
      <c r="D76" s="875" t="s">
        <v>65</v>
      </c>
      <c r="E76" s="875" t="s">
        <v>81</v>
      </c>
      <c r="F76" s="875" t="s">
        <v>80</v>
      </c>
      <c r="G76" s="875" t="s">
        <v>79</v>
      </c>
      <c r="H76" s="875" t="s">
        <v>78</v>
      </c>
      <c r="I76" s="875" t="s">
        <v>111</v>
      </c>
      <c r="J76" s="875" t="s">
        <v>110</v>
      </c>
      <c r="K76" s="875" t="s">
        <v>109</v>
      </c>
      <c r="L76" s="875" t="s">
        <v>108</v>
      </c>
      <c r="M76" s="875" t="s">
        <v>40</v>
      </c>
      <c r="N76" s="875" t="s">
        <v>58</v>
      </c>
      <c r="O76" s="594"/>
    </row>
    <row r="77" spans="1:15" x14ac:dyDescent="0.25">
      <c r="A77" s="793">
        <v>10</v>
      </c>
      <c r="B77" s="793" t="s">
        <v>250</v>
      </c>
      <c r="C77" s="794" t="s">
        <v>1489</v>
      </c>
      <c r="D77" s="806">
        <v>10</v>
      </c>
      <c r="E77" s="805">
        <f>0.0108*'FR Parts'!N273/12</f>
        <v>9.0000000000000011E-3</v>
      </c>
      <c r="F77" s="805" t="s">
        <v>241</v>
      </c>
      <c r="G77" s="805"/>
      <c r="H77" s="804"/>
      <c r="I77" s="931"/>
      <c r="J77" s="878"/>
      <c r="K77" s="803"/>
      <c r="L77" s="930"/>
      <c r="M77" s="876">
        <v>1</v>
      </c>
      <c r="N77" s="800">
        <v>0.10800000000000001</v>
      </c>
      <c r="O77" s="594"/>
    </row>
    <row r="78" spans="1:15" x14ac:dyDescent="0.25">
      <c r="A78" s="726"/>
      <c r="B78" s="726"/>
      <c r="C78" s="726"/>
      <c r="D78" s="726"/>
      <c r="E78" s="726"/>
      <c r="F78" s="726"/>
      <c r="G78" s="726"/>
      <c r="H78" s="726"/>
      <c r="I78" s="726"/>
      <c r="J78" s="726"/>
      <c r="K78" s="726"/>
      <c r="L78" s="726"/>
      <c r="M78" s="875" t="s">
        <v>58</v>
      </c>
      <c r="N78" s="874">
        <f>N77</f>
        <v>0.10800000000000001</v>
      </c>
      <c r="O78" s="594"/>
    </row>
    <row r="79" spans="1:15" x14ac:dyDescent="0.25">
      <c r="A79" s="107"/>
      <c r="B79" s="94"/>
      <c r="C79" s="94"/>
      <c r="D79" s="94"/>
      <c r="E79" s="94"/>
      <c r="F79" s="94"/>
      <c r="G79" s="94"/>
      <c r="H79" s="94"/>
      <c r="I79" s="94"/>
      <c r="J79" s="94"/>
      <c r="K79" s="94"/>
      <c r="L79" s="94"/>
      <c r="M79" s="94"/>
      <c r="N79" s="94"/>
      <c r="O79" s="594"/>
    </row>
    <row r="80" spans="1:15" x14ac:dyDescent="0.25">
      <c r="A80" s="729" t="s">
        <v>67</v>
      </c>
      <c r="B80" s="729" t="s">
        <v>106</v>
      </c>
      <c r="C80" s="729" t="s">
        <v>66</v>
      </c>
      <c r="D80" s="729" t="s">
        <v>65</v>
      </c>
      <c r="E80" s="729" t="s">
        <v>64</v>
      </c>
      <c r="F80" s="730" t="s">
        <v>40</v>
      </c>
      <c r="G80" s="729" t="s">
        <v>105</v>
      </c>
      <c r="H80" s="729" t="s">
        <v>104</v>
      </c>
      <c r="I80" s="729" t="s">
        <v>58</v>
      </c>
      <c r="J80" s="95"/>
      <c r="K80" s="95"/>
      <c r="L80" s="95"/>
      <c r="M80" s="95"/>
      <c r="N80" s="95"/>
      <c r="O80" s="734"/>
    </row>
    <row r="81" spans="1:15" x14ac:dyDescent="0.25">
      <c r="A81" s="793">
        <v>10</v>
      </c>
      <c r="B81" s="793" t="s">
        <v>103</v>
      </c>
      <c r="C81" s="793" t="s">
        <v>1490</v>
      </c>
      <c r="D81" s="802">
        <v>0.15</v>
      </c>
      <c r="E81" s="793" t="s">
        <v>101</v>
      </c>
      <c r="F81" s="792">
        <f>2*'FR Parts'!N273</f>
        <v>20</v>
      </c>
      <c r="G81" s="796"/>
      <c r="H81" s="796"/>
      <c r="I81" s="739">
        <f t="shared" ref="I81:I87" si="1">IF(H81="",D81*F81,D81*F81*H81)</f>
        <v>3</v>
      </c>
      <c r="J81" s="94"/>
      <c r="K81" s="94"/>
      <c r="L81" s="94"/>
      <c r="M81" s="94"/>
      <c r="N81" s="94"/>
      <c r="O81" s="594"/>
    </row>
    <row r="82" spans="1:15" x14ac:dyDescent="0.25">
      <c r="A82" s="793">
        <v>20</v>
      </c>
      <c r="B82" s="791" t="s">
        <v>535</v>
      </c>
      <c r="C82" s="794" t="s">
        <v>1489</v>
      </c>
      <c r="D82" s="802">
        <v>5.25</v>
      </c>
      <c r="E82" s="791" t="s">
        <v>241</v>
      </c>
      <c r="F82" s="792">
        <f>0.01296*'FR Parts'!N273/12</f>
        <v>1.0799999999999999E-2</v>
      </c>
      <c r="G82" s="793"/>
      <c r="H82" s="793"/>
      <c r="I82" s="739">
        <f t="shared" si="1"/>
        <v>5.6699999999999993E-2</v>
      </c>
      <c r="J82" s="94"/>
      <c r="K82" s="94"/>
      <c r="L82" s="94"/>
      <c r="M82" s="94"/>
      <c r="N82" s="94"/>
      <c r="O82" s="93"/>
    </row>
    <row r="83" spans="1:15" ht="30" x14ac:dyDescent="0.25">
      <c r="A83" s="793">
        <v>30</v>
      </c>
      <c r="B83" s="791" t="s">
        <v>1403</v>
      </c>
      <c r="C83" s="794" t="s">
        <v>1402</v>
      </c>
      <c r="D83" s="802">
        <v>0.25</v>
      </c>
      <c r="E83" s="791" t="s">
        <v>64</v>
      </c>
      <c r="F83" s="792">
        <f>'FR Parts'!N273</f>
        <v>10</v>
      </c>
      <c r="G83" s="793"/>
      <c r="H83" s="793"/>
      <c r="I83" s="739">
        <f t="shared" si="1"/>
        <v>2.5</v>
      </c>
      <c r="J83" s="94"/>
      <c r="K83" s="94"/>
      <c r="L83" s="94"/>
      <c r="M83" s="94"/>
      <c r="N83" s="94"/>
      <c r="O83" s="93"/>
    </row>
    <row r="84" spans="1:15" x14ac:dyDescent="0.25">
      <c r="A84" s="793">
        <v>40</v>
      </c>
      <c r="B84" s="793" t="s">
        <v>87</v>
      </c>
      <c r="C84" s="793" t="s">
        <v>1488</v>
      </c>
      <c r="D84" s="802">
        <v>0.06</v>
      </c>
      <c r="E84" s="793" t="s">
        <v>64</v>
      </c>
      <c r="F84" s="792">
        <v>1</v>
      </c>
      <c r="G84" s="796"/>
      <c r="H84" s="796"/>
      <c r="I84" s="739">
        <f t="shared" si="1"/>
        <v>0.06</v>
      </c>
      <c r="J84" s="94"/>
      <c r="K84" s="94"/>
      <c r="L84" s="94"/>
      <c r="M84" s="94"/>
      <c r="N84" s="94"/>
      <c r="O84" s="93"/>
    </row>
    <row r="85" spans="1:15" x14ac:dyDescent="0.25">
      <c r="A85" s="793">
        <v>50</v>
      </c>
      <c r="B85" s="791" t="s">
        <v>163</v>
      </c>
      <c r="C85" s="793" t="s">
        <v>1486</v>
      </c>
      <c r="D85" s="802">
        <v>0.5</v>
      </c>
      <c r="E85" s="791" t="s">
        <v>64</v>
      </c>
      <c r="F85" s="792">
        <v>6</v>
      </c>
      <c r="G85" s="793"/>
      <c r="H85" s="793"/>
      <c r="I85" s="739">
        <f t="shared" si="1"/>
        <v>3</v>
      </c>
      <c r="J85" s="94"/>
      <c r="K85" s="94"/>
      <c r="L85" s="94"/>
      <c r="M85" s="94"/>
      <c r="N85" s="94"/>
      <c r="O85" s="93"/>
    </row>
    <row r="86" spans="1:15" x14ac:dyDescent="0.25">
      <c r="A86" s="793">
        <v>60</v>
      </c>
      <c r="B86" s="793" t="s">
        <v>87</v>
      </c>
      <c r="C86" s="793" t="s">
        <v>1487</v>
      </c>
      <c r="D86" s="802">
        <v>0.06</v>
      </c>
      <c r="E86" s="793" t="s">
        <v>64</v>
      </c>
      <c r="F86" s="796">
        <v>1</v>
      </c>
      <c r="G86" s="796"/>
      <c r="H86" s="796"/>
      <c r="I86" s="739">
        <f t="shared" si="1"/>
        <v>0.06</v>
      </c>
      <c r="J86" s="94"/>
      <c r="K86" s="94"/>
      <c r="L86" s="94"/>
      <c r="M86" s="94"/>
      <c r="N86" s="94"/>
      <c r="O86" s="93"/>
    </row>
    <row r="87" spans="1:15" x14ac:dyDescent="0.25">
      <c r="A87" s="793">
        <v>70</v>
      </c>
      <c r="B87" s="791" t="s">
        <v>163</v>
      </c>
      <c r="C87" s="793" t="s">
        <v>1486</v>
      </c>
      <c r="D87" s="802">
        <v>0.5</v>
      </c>
      <c r="E87" s="791" t="s">
        <v>64</v>
      </c>
      <c r="F87" s="796">
        <v>4</v>
      </c>
      <c r="G87" s="793"/>
      <c r="H87" s="793"/>
      <c r="I87" s="739">
        <f t="shared" si="1"/>
        <v>2</v>
      </c>
      <c r="J87" s="94"/>
      <c r="K87" s="94"/>
      <c r="L87" s="94"/>
      <c r="M87" s="94"/>
      <c r="N87" s="94"/>
      <c r="O87" s="93"/>
    </row>
    <row r="88" spans="1:15" x14ac:dyDescent="0.25">
      <c r="A88" s="733"/>
      <c r="B88" s="705"/>
      <c r="C88" s="705"/>
      <c r="D88" s="705"/>
      <c r="E88" s="705"/>
      <c r="F88" s="705"/>
      <c r="G88" s="705"/>
      <c r="H88" s="732" t="s">
        <v>58</v>
      </c>
      <c r="I88" s="731">
        <f>SUM(I81:I87)</f>
        <v>10.6767</v>
      </c>
      <c r="J88" s="94"/>
      <c r="K88" s="94"/>
      <c r="L88" s="94"/>
      <c r="M88" s="94"/>
      <c r="N88" s="94"/>
      <c r="O88" s="93"/>
    </row>
    <row r="89" spans="1:15" x14ac:dyDescent="0.25">
      <c r="A89" s="107"/>
      <c r="B89" s="94"/>
      <c r="C89" s="94"/>
      <c r="D89" s="94"/>
      <c r="E89" s="94"/>
      <c r="F89" s="94"/>
      <c r="G89" s="94"/>
      <c r="H89" s="94"/>
      <c r="I89" s="94"/>
      <c r="J89" s="94"/>
      <c r="K89" s="94"/>
      <c r="L89" s="94"/>
      <c r="M89" s="94"/>
      <c r="N89" s="94"/>
      <c r="O89" s="93"/>
    </row>
    <row r="90" spans="1:15" x14ac:dyDescent="0.25">
      <c r="A90" s="729" t="s">
        <v>67</v>
      </c>
      <c r="B90" s="729" t="s">
        <v>82</v>
      </c>
      <c r="C90" s="729" t="s">
        <v>66</v>
      </c>
      <c r="D90" s="729" t="s">
        <v>65</v>
      </c>
      <c r="E90" s="729" t="s">
        <v>81</v>
      </c>
      <c r="F90" s="729" t="s">
        <v>80</v>
      </c>
      <c r="G90" s="729" t="s">
        <v>79</v>
      </c>
      <c r="H90" s="730" t="s">
        <v>78</v>
      </c>
      <c r="I90" s="730" t="s">
        <v>40</v>
      </c>
      <c r="J90" s="729" t="s">
        <v>58</v>
      </c>
      <c r="K90" s="94"/>
      <c r="L90" s="94"/>
      <c r="M90" s="94"/>
      <c r="N90" s="94"/>
      <c r="O90" s="93"/>
    </row>
    <row r="91" spans="1:15" x14ac:dyDescent="0.25">
      <c r="A91" s="793">
        <v>10</v>
      </c>
      <c r="B91" s="793" t="s">
        <v>184</v>
      </c>
      <c r="C91" s="793" t="s">
        <v>1485</v>
      </c>
      <c r="D91" s="929">
        <v>0.04</v>
      </c>
      <c r="E91" s="891">
        <v>6</v>
      </c>
      <c r="F91" s="891" t="s">
        <v>68</v>
      </c>
      <c r="G91" s="891">
        <v>20</v>
      </c>
      <c r="H91" s="891" t="s">
        <v>68</v>
      </c>
      <c r="I91" s="792">
        <f>'FR Parts'!N273*2</f>
        <v>20</v>
      </c>
      <c r="J91" s="182">
        <f>I91*D91</f>
        <v>0.8</v>
      </c>
      <c r="K91" s="94"/>
      <c r="L91" s="94"/>
      <c r="M91" s="94"/>
      <c r="N91" s="94"/>
      <c r="O91" s="93"/>
    </row>
    <row r="92" spans="1:15" x14ac:dyDescent="0.25">
      <c r="A92" s="793">
        <v>20</v>
      </c>
      <c r="B92" s="793" t="s">
        <v>1384</v>
      </c>
      <c r="C92" s="793" t="s">
        <v>1484</v>
      </c>
      <c r="D92" s="929">
        <v>0.224</v>
      </c>
      <c r="E92" s="793">
        <v>6</v>
      </c>
      <c r="F92" s="888" t="s">
        <v>68</v>
      </c>
      <c r="G92" s="793"/>
      <c r="H92" s="795"/>
      <c r="I92" s="792">
        <f>'FR Parts'!N273</f>
        <v>10</v>
      </c>
      <c r="J92" s="182">
        <f>I92*D92</f>
        <v>2.2400000000000002</v>
      </c>
      <c r="K92" s="94"/>
      <c r="L92" s="94"/>
      <c r="M92" s="94"/>
      <c r="N92" s="94"/>
      <c r="O92" s="93"/>
    </row>
    <row r="93" spans="1:15" x14ac:dyDescent="0.25">
      <c r="A93" s="793">
        <v>30</v>
      </c>
      <c r="B93" s="928" t="s">
        <v>74</v>
      </c>
      <c r="C93" s="794" t="s">
        <v>1484</v>
      </c>
      <c r="D93" s="927">
        <v>0.01</v>
      </c>
      <c r="E93" s="794">
        <v>6</v>
      </c>
      <c r="F93" s="926" t="s">
        <v>68</v>
      </c>
      <c r="G93" s="794"/>
      <c r="H93" s="799"/>
      <c r="I93" s="792">
        <f>'FR Parts'!N273*3</f>
        <v>30</v>
      </c>
      <c r="J93" s="182">
        <f>I93*D93</f>
        <v>0.3</v>
      </c>
      <c r="K93" s="94"/>
      <c r="L93" s="94"/>
      <c r="M93" s="94"/>
      <c r="N93" s="94"/>
      <c r="O93" s="93"/>
    </row>
    <row r="94" spans="1:15" x14ac:dyDescent="0.25">
      <c r="A94" s="98"/>
      <c r="B94" s="95"/>
      <c r="C94" s="95"/>
      <c r="D94" s="95"/>
      <c r="E94" s="95"/>
      <c r="F94" s="95"/>
      <c r="G94" s="95"/>
      <c r="H94" s="95"/>
      <c r="I94" s="728" t="s">
        <v>58</v>
      </c>
      <c r="J94" s="727">
        <f>SUM(J91:J93)</f>
        <v>3.34</v>
      </c>
      <c r="K94" s="94"/>
      <c r="L94" s="94"/>
      <c r="M94" s="94"/>
      <c r="N94" s="94"/>
      <c r="O94" s="93"/>
    </row>
    <row r="95" spans="1:15" x14ac:dyDescent="0.25">
      <c r="A95" s="98"/>
      <c r="B95" s="95"/>
      <c r="C95" s="95"/>
      <c r="D95" s="95"/>
      <c r="E95" s="95"/>
      <c r="F95" s="95"/>
      <c r="G95" s="95"/>
      <c r="H95" s="95"/>
      <c r="K95" s="94"/>
      <c r="L95" s="94"/>
      <c r="M95" s="94"/>
      <c r="N95" s="94"/>
      <c r="O95" s="93"/>
    </row>
    <row r="96" spans="1:15" x14ac:dyDescent="0.25">
      <c r="A96" s="875" t="s">
        <v>67</v>
      </c>
      <c r="B96" s="875" t="s">
        <v>13</v>
      </c>
      <c r="C96" s="875" t="s">
        <v>66</v>
      </c>
      <c r="D96" s="875" t="s">
        <v>65</v>
      </c>
      <c r="E96" s="875" t="s">
        <v>64</v>
      </c>
      <c r="F96" s="875" t="s">
        <v>40</v>
      </c>
      <c r="G96" s="875" t="s">
        <v>63</v>
      </c>
      <c r="H96" s="875" t="s">
        <v>62</v>
      </c>
      <c r="I96" s="875" t="s">
        <v>58</v>
      </c>
      <c r="K96" s="94"/>
      <c r="L96" s="94"/>
      <c r="M96" s="94"/>
      <c r="N96" s="94"/>
      <c r="O96" s="93"/>
    </row>
    <row r="97" spans="1:15" x14ac:dyDescent="0.25">
      <c r="A97" s="793">
        <v>10</v>
      </c>
      <c r="B97" s="793" t="s">
        <v>61</v>
      </c>
      <c r="C97" s="793"/>
      <c r="D97" s="790">
        <v>500</v>
      </c>
      <c r="E97" s="793" t="s">
        <v>59</v>
      </c>
      <c r="F97" s="793">
        <f>2*'FR Parts'!N273</f>
        <v>20</v>
      </c>
      <c r="G97" s="793">
        <v>3000</v>
      </c>
      <c r="H97" s="793">
        <v>1</v>
      </c>
      <c r="I97" s="800">
        <f>D97*F97/(G97*H97)</f>
        <v>3.3333333333333335</v>
      </c>
      <c r="K97" s="94"/>
      <c r="L97" s="94"/>
      <c r="M97" s="94"/>
      <c r="N97" s="94"/>
      <c r="O97" s="93"/>
    </row>
    <row r="98" spans="1:15" x14ac:dyDescent="0.25">
      <c r="A98" s="726"/>
      <c r="B98" s="726"/>
      <c r="C98" s="726"/>
      <c r="D98" s="726"/>
      <c r="E98" s="726"/>
      <c r="F98" s="726"/>
      <c r="G98" s="726"/>
      <c r="H98" s="885" t="s">
        <v>58</v>
      </c>
      <c r="I98" s="874">
        <f>I97</f>
        <v>3.3333333333333335</v>
      </c>
      <c r="K98" s="94"/>
      <c r="L98" s="94"/>
      <c r="M98" s="94"/>
      <c r="N98" s="94"/>
      <c r="O98" s="93"/>
    </row>
    <row r="99" spans="1:15" ht="15.75" thickBot="1" x14ac:dyDescent="0.3">
      <c r="A99" s="92"/>
      <c r="B99" s="91"/>
      <c r="C99" s="91"/>
      <c r="D99" s="91"/>
      <c r="E99" s="91"/>
      <c r="F99" s="91"/>
      <c r="G99" s="91"/>
      <c r="H99" s="91"/>
      <c r="I99" s="91"/>
      <c r="J99" s="91"/>
      <c r="K99" s="91"/>
      <c r="L99" s="91"/>
      <c r="M99" s="91"/>
      <c r="N99" s="91"/>
      <c r="O99" s="90"/>
    </row>
    <row r="100" spans="1:15" ht="15.75" thickBot="1" x14ac:dyDescent="0.3"/>
    <row r="101" spans="1:15" x14ac:dyDescent="0.25">
      <c r="A101" s="141"/>
      <c r="B101" s="140"/>
      <c r="C101" s="140"/>
      <c r="D101" s="140"/>
      <c r="E101" s="140"/>
      <c r="F101" s="140"/>
      <c r="G101" s="140"/>
      <c r="H101" s="140"/>
      <c r="I101" s="140"/>
      <c r="J101" s="140"/>
      <c r="K101" s="140"/>
      <c r="L101" s="140"/>
      <c r="M101" s="140"/>
      <c r="N101" s="140"/>
      <c r="O101" s="139"/>
    </row>
    <row r="102" spans="1:15" x14ac:dyDescent="0.25">
      <c r="A102" s="729" t="s">
        <v>57</v>
      </c>
      <c r="B102" s="133" t="s">
        <v>523</v>
      </c>
      <c r="C102" s="94"/>
      <c r="D102" s="94"/>
      <c r="E102" s="94"/>
      <c r="F102" s="94"/>
      <c r="G102" s="94"/>
      <c r="H102" s="94"/>
      <c r="I102" s="94"/>
      <c r="J102" s="729" t="s">
        <v>51</v>
      </c>
      <c r="K102" s="138">
        <v>81</v>
      </c>
      <c r="L102" s="94"/>
      <c r="M102" s="729" t="s">
        <v>126</v>
      </c>
      <c r="N102" s="137">
        <f>E129+FR_A0004_p+FR_A0004_f+FR_A0004_m+FR_A0004_t</f>
        <v>235.1447904612622</v>
      </c>
      <c r="O102" s="93"/>
    </row>
    <row r="103" spans="1:15" x14ac:dyDescent="0.25">
      <c r="A103" s="729" t="s">
        <v>125</v>
      </c>
      <c r="B103" s="133" t="s">
        <v>1412</v>
      </c>
      <c r="C103" s="94"/>
      <c r="D103" s="94"/>
      <c r="E103" s="94"/>
      <c r="F103" s="94"/>
      <c r="G103" s="94"/>
      <c r="H103" s="94"/>
      <c r="I103" s="94"/>
      <c r="J103" s="94"/>
      <c r="K103" s="94"/>
      <c r="L103" s="94"/>
      <c r="M103" s="729" t="s">
        <v>124</v>
      </c>
      <c r="N103" s="136">
        <v>1</v>
      </c>
      <c r="O103" s="93"/>
    </row>
    <row r="104" spans="1:15" x14ac:dyDescent="0.25">
      <c r="A104" s="729" t="s">
        <v>123</v>
      </c>
      <c r="B104" s="745" t="s">
        <v>1483</v>
      </c>
      <c r="C104" s="94"/>
      <c r="D104" s="94"/>
      <c r="E104" s="94"/>
      <c r="F104" s="94"/>
      <c r="G104" s="94"/>
      <c r="H104" s="94"/>
      <c r="I104" s="94"/>
      <c r="J104" s="736" t="s">
        <v>122</v>
      </c>
      <c r="K104" s="94"/>
      <c r="L104" s="94"/>
      <c r="M104" s="94"/>
      <c r="N104" s="94"/>
      <c r="O104" s="93"/>
    </row>
    <row r="105" spans="1:15" x14ac:dyDescent="0.25">
      <c r="A105" s="729" t="s">
        <v>121</v>
      </c>
      <c r="B105" s="135" t="s">
        <v>1482</v>
      </c>
      <c r="C105" s="94"/>
      <c r="D105" s="94"/>
      <c r="E105" s="94"/>
      <c r="F105" s="94"/>
      <c r="G105" s="94"/>
      <c r="H105" s="94"/>
      <c r="I105" s="94"/>
      <c r="J105" s="736" t="s">
        <v>119</v>
      </c>
      <c r="K105" s="94"/>
      <c r="L105" s="94"/>
      <c r="M105" s="729" t="s">
        <v>118</v>
      </c>
      <c r="N105" s="100">
        <f>N102*N103</f>
        <v>235.1447904612622</v>
      </c>
      <c r="O105" s="93"/>
    </row>
    <row r="106" spans="1:15" x14ac:dyDescent="0.25">
      <c r="A106" s="729" t="s">
        <v>117</v>
      </c>
      <c r="B106" s="133" t="s">
        <v>23</v>
      </c>
      <c r="C106" s="94"/>
      <c r="D106" s="94"/>
      <c r="E106" s="94"/>
      <c r="F106" s="94"/>
      <c r="G106" s="94"/>
      <c r="H106" s="94"/>
      <c r="I106" s="94"/>
      <c r="J106" s="736" t="s">
        <v>116</v>
      </c>
      <c r="K106" s="94"/>
      <c r="L106" s="94"/>
      <c r="M106" s="94"/>
      <c r="N106" s="94"/>
      <c r="O106" s="93"/>
    </row>
    <row r="107" spans="1:15" x14ac:dyDescent="0.25">
      <c r="A107" s="729" t="s">
        <v>115</v>
      </c>
      <c r="B107" s="744" t="s">
        <v>1481</v>
      </c>
      <c r="C107" s="94"/>
      <c r="D107" s="94"/>
      <c r="E107" s="94"/>
      <c r="F107" s="94"/>
      <c r="G107" s="94"/>
      <c r="H107" s="94"/>
      <c r="I107" s="94"/>
      <c r="J107" s="94"/>
      <c r="K107" s="94"/>
      <c r="L107" s="94"/>
      <c r="M107" s="94"/>
      <c r="N107" s="94"/>
      <c r="O107" s="93"/>
    </row>
    <row r="108" spans="1:15" x14ac:dyDescent="0.25">
      <c r="A108" s="107"/>
      <c r="B108" s="94"/>
      <c r="C108" s="94"/>
      <c r="D108" s="94"/>
      <c r="E108" s="94"/>
      <c r="F108" s="94"/>
      <c r="G108" s="94"/>
      <c r="H108" s="94"/>
      <c r="I108" s="94"/>
      <c r="J108" s="94"/>
      <c r="K108" s="94"/>
      <c r="L108" s="94"/>
      <c r="M108" s="94"/>
      <c r="N108" s="94"/>
      <c r="O108" s="93"/>
    </row>
    <row r="109" spans="1:15" x14ac:dyDescent="0.25">
      <c r="A109" s="730" t="s">
        <v>67</v>
      </c>
      <c r="B109" s="730" t="s">
        <v>114</v>
      </c>
      <c r="C109" s="730" t="s">
        <v>113</v>
      </c>
      <c r="D109" s="730" t="s">
        <v>40</v>
      </c>
      <c r="E109" s="729" t="s">
        <v>58</v>
      </c>
      <c r="F109" s="94"/>
      <c r="G109" s="94"/>
      <c r="H109" s="94"/>
      <c r="I109" s="94"/>
      <c r="J109" s="94"/>
      <c r="K109" s="94"/>
      <c r="L109" s="94"/>
      <c r="M109" s="94"/>
      <c r="N109" s="94"/>
      <c r="O109" s="93"/>
    </row>
    <row r="110" spans="1:15" x14ac:dyDescent="0.25">
      <c r="A110" s="884">
        <v>10</v>
      </c>
      <c r="B110" s="883" t="str">
        <f>INDEX('FR Parts'!$A$1:$P$707,ROW(FR_04001)-1,COLUMN(FR_04001))</f>
        <v>Front Rails Mounts</v>
      </c>
      <c r="C110" s="882">
        <f>INDEX('FR Parts'!$A$1:$P$707,ROW(FR_04001)-4,COLUMN(FR_04001)+12)</f>
        <v>2.0653385200000001</v>
      </c>
      <c r="D110" s="792">
        <f>INDEX('FR Parts'!$A$1:$P$707,ROW(FR_04001)-3,COLUMN(FR_04001)+12)</f>
        <v>4</v>
      </c>
      <c r="E110" s="182">
        <f t="shared" ref="E110:E128" si="2">C110*D110</f>
        <v>8.2613540800000003</v>
      </c>
      <c r="F110" s="94"/>
      <c r="G110" s="94"/>
      <c r="H110" s="94"/>
      <c r="I110" s="94"/>
      <c r="J110" s="94"/>
      <c r="K110" s="94"/>
      <c r="L110" s="94"/>
      <c r="M110" s="94"/>
      <c r="N110" s="94"/>
      <c r="O110" s="93"/>
    </row>
    <row r="111" spans="1:15" x14ac:dyDescent="0.25">
      <c r="A111" s="884">
        <v>20</v>
      </c>
      <c r="B111" s="883" t="str">
        <f>INDEX('FR Parts'!$A$1:$P$707,ROW(FR_04002)-1,COLUMN(FR_04002))</f>
        <v>Rear Rails Mounts</v>
      </c>
      <c r="C111" s="882">
        <f>INDEX('FR Parts'!$A$1:$P$707,ROW(FR_04002)-4,COLUMN(FR_04002)+12)</f>
        <v>1.9583172250000001</v>
      </c>
      <c r="D111" s="792">
        <f>INDEX('FR Parts'!$A$1:$P$707,ROW(FR_04002)-3,COLUMN(FR_04002)+12)</f>
        <v>4</v>
      </c>
      <c r="E111" s="182">
        <f t="shared" si="2"/>
        <v>7.8332689000000002</v>
      </c>
      <c r="F111" s="94"/>
      <c r="G111" s="94"/>
      <c r="H111" s="94"/>
      <c r="I111" s="94"/>
      <c r="J111" s="94"/>
      <c r="K111" s="94"/>
      <c r="L111" s="94"/>
      <c r="M111" s="94"/>
      <c r="N111" s="94"/>
      <c r="O111" s="93"/>
    </row>
    <row r="112" spans="1:15" x14ac:dyDescent="0.25">
      <c r="A112" s="884">
        <v>30</v>
      </c>
      <c r="B112" s="883" t="str">
        <f>INDEX('FR Parts'!$A$1:$P$707,ROW(FR_04003)-1,COLUMN(FR_04003))</f>
        <v>Pedal Rail</v>
      </c>
      <c r="C112" s="882">
        <f>INDEX('FR Parts'!$A$1:$P$707,ROW(FR_04003)-4,COLUMN(FR_04003)+12)</f>
        <v>15.147995519999998</v>
      </c>
      <c r="D112" s="792">
        <f>INDEX('FR Parts'!$A$1:$P$707,ROW(FR_04003)-3,COLUMN(FR_04003)+12)</f>
        <v>2</v>
      </c>
      <c r="E112" s="182">
        <f t="shared" si="2"/>
        <v>30.295991039999997</v>
      </c>
      <c r="F112" s="94"/>
      <c r="G112" s="94"/>
      <c r="H112" s="94"/>
      <c r="I112" s="94"/>
      <c r="J112" s="94"/>
      <c r="K112" s="94"/>
      <c r="L112" s="94"/>
      <c r="M112" s="94"/>
      <c r="N112" s="94"/>
      <c r="O112" s="93"/>
    </row>
    <row r="113" spans="1:15" x14ac:dyDescent="0.25">
      <c r="A113" s="884">
        <v>40</v>
      </c>
      <c r="B113" s="883" t="str">
        <f>INDEX('FR Parts'!$A$1:$P$707,ROW(FR_04004)-1,COLUMN(FR_04004))</f>
        <v>Throttle Pedal</v>
      </c>
      <c r="C113" s="882">
        <f>INDEX('FR Parts'!$A$1:$P$707,ROW(FR_04004)-4,COLUMN(FR_04004)+12)</f>
        <v>11.961692159999998</v>
      </c>
      <c r="D113" s="792">
        <f>INDEX('FR Parts'!$A$1:$P$707,ROW(FR_04004)-3,COLUMN(FR_04004)+12)</f>
        <v>1</v>
      </c>
      <c r="E113" s="182">
        <f t="shared" si="2"/>
        <v>11.961692159999998</v>
      </c>
      <c r="F113" s="94"/>
      <c r="G113" s="94"/>
      <c r="H113" s="94"/>
      <c r="I113" s="94"/>
      <c r="J113" s="94"/>
      <c r="K113" s="94"/>
      <c r="L113" s="94"/>
      <c r="M113" s="94"/>
      <c r="N113" s="94"/>
      <c r="O113" s="93"/>
    </row>
    <row r="114" spans="1:15" x14ac:dyDescent="0.25">
      <c r="A114" s="884">
        <v>50</v>
      </c>
      <c r="B114" s="883" t="str">
        <f>INDEX('FR Parts'!$A$1:$P$707,ROW(FR_04005)-1,COLUMN(FR_04005))</f>
        <v>Throttle Pedal Bushing</v>
      </c>
      <c r="C114" s="882">
        <f>INDEX('FR Parts'!$A$1:$P$707,ROW(FR_04005)-4,COLUMN(FR_04005)+12)</f>
        <v>1.4159114171956693</v>
      </c>
      <c r="D114" s="792">
        <f>INDEX('FR Parts'!$A$1:$P$707,ROW(FR_04005)-3,COLUMN(FR_04005)+12)</f>
        <v>2</v>
      </c>
      <c r="E114" s="182">
        <f t="shared" si="2"/>
        <v>2.8318228343913385</v>
      </c>
      <c r="F114" s="94"/>
      <c r="G114" s="94"/>
      <c r="H114" s="94"/>
      <c r="I114" s="94"/>
      <c r="J114" s="94"/>
      <c r="K114" s="94"/>
      <c r="L114" s="94"/>
      <c r="M114" s="94"/>
      <c r="N114" s="94"/>
      <c r="O114" s="93"/>
    </row>
    <row r="115" spans="1:15" x14ac:dyDescent="0.25">
      <c r="A115" s="884">
        <v>60</v>
      </c>
      <c r="B115" s="883" t="str">
        <f>INDEX('FR Parts'!$A$1:$P$707,ROW(FR_04006)-1,COLUMN(FR_04006))</f>
        <v>Throttle Pedal Axle</v>
      </c>
      <c r="C115" s="882">
        <f>INDEX('FR Parts'!$A$1:$P$707,ROW(FR_04006)-4,COLUMN(FR_04006)+12)</f>
        <v>1.8584537669601673</v>
      </c>
      <c r="D115" s="792">
        <f>INDEX('FR Parts'!$A$1:$P$707,ROW(FR_04006)-3,COLUMN(FR_04006)+12)</f>
        <v>2</v>
      </c>
      <c r="E115" s="182">
        <f t="shared" si="2"/>
        <v>3.7169075339203346</v>
      </c>
      <c r="F115" s="94"/>
      <c r="G115" s="94"/>
      <c r="H115" s="94"/>
      <c r="I115" s="94"/>
      <c r="J115" s="94"/>
      <c r="K115" s="94"/>
      <c r="L115" s="94"/>
      <c r="M115" s="94"/>
      <c r="N115" s="94"/>
      <c r="O115" s="93"/>
    </row>
    <row r="116" spans="1:15" x14ac:dyDescent="0.25">
      <c r="A116" s="884">
        <v>70</v>
      </c>
      <c r="B116" s="883" t="str">
        <f>INDEX('FR Parts'!$A$1:$P$707,ROW(FR_04007)-1,COLUMN(FR_04007))</f>
        <v>Throttle Pedal Stop</v>
      </c>
      <c r="C116" s="882">
        <f>INDEX('FR Parts'!$A$1:$P$707,ROW(FR_04007)-4,COLUMN(FR_04007)+12)</f>
        <v>4.4701679759999999</v>
      </c>
      <c r="D116" s="792">
        <f>INDEX('FR Parts'!$A$1:$P$707,ROW(FR_04007)-3,COLUMN(FR_04007)+12)</f>
        <v>1</v>
      </c>
      <c r="E116" s="182">
        <f t="shared" si="2"/>
        <v>4.4701679759999999</v>
      </c>
      <c r="F116" s="94"/>
      <c r="G116" s="94"/>
      <c r="H116" s="94"/>
      <c r="I116" s="94"/>
      <c r="J116" s="94"/>
      <c r="K116" s="94"/>
      <c r="L116" s="94"/>
      <c r="M116" s="94"/>
      <c r="N116" s="94"/>
      <c r="O116" s="93"/>
    </row>
    <row r="117" spans="1:15" x14ac:dyDescent="0.25">
      <c r="A117" s="884">
        <v>80</v>
      </c>
      <c r="B117" s="883" t="str">
        <f>INDEX('FR Parts'!$A$1:$P$707,ROW(FR_04008)-1,COLUMN(FR_04008))</f>
        <v>Throttle Pedal Stop Cylinder</v>
      </c>
      <c r="C117" s="882">
        <f>INDEX('FR Parts'!$A$1:$P$707,ROW(FR_04008)-4,COLUMN(FR_04008)+12)</f>
        <v>1.3250303253082114</v>
      </c>
      <c r="D117" s="792">
        <f>INDEX('FR Parts'!$A$1:$P$707,ROW(FR_04008)-3,COLUMN(FR_04008)+12)</f>
        <v>2</v>
      </c>
      <c r="E117" s="182">
        <f t="shared" si="2"/>
        <v>2.6500606506164228</v>
      </c>
      <c r="F117" s="94"/>
      <c r="G117" s="94"/>
      <c r="H117" s="94"/>
      <c r="I117" s="94"/>
      <c r="J117" s="94"/>
      <c r="K117" s="94"/>
      <c r="L117" s="94"/>
      <c r="M117" s="94"/>
      <c r="N117" s="94"/>
      <c r="O117" s="93"/>
    </row>
    <row r="118" spans="1:15" x14ac:dyDescent="0.25">
      <c r="A118" s="884">
        <v>90</v>
      </c>
      <c r="B118" s="883" t="str">
        <f>INDEX('FR Parts'!$A$1:$P$707,ROW(FR_04009)-1,COLUMN(FR_04009))</f>
        <v>Throttle actuation brace</v>
      </c>
      <c r="C118" s="882">
        <f>INDEX('FR Parts'!$A$1:$P$707,ROW(FR_04009)-4,COLUMN(FR_04009)+12)</f>
        <v>1.8344585000000002</v>
      </c>
      <c r="D118" s="792">
        <f>INDEX('FR Parts'!$A$1:$P$707,ROW(FR_04009)-3,COLUMN(FR_04009)+12)</f>
        <v>1</v>
      </c>
      <c r="E118" s="182">
        <f t="shared" si="2"/>
        <v>1.8344585000000002</v>
      </c>
      <c r="F118" s="94"/>
      <c r="G118" s="94"/>
      <c r="H118" s="94"/>
      <c r="I118" s="94"/>
      <c r="J118" s="94"/>
      <c r="K118" s="94"/>
      <c r="L118" s="94"/>
      <c r="M118" s="94"/>
      <c r="N118" s="94"/>
      <c r="O118" s="93"/>
    </row>
    <row r="119" spans="1:15" x14ac:dyDescent="0.25">
      <c r="A119" s="884">
        <v>100</v>
      </c>
      <c r="B119" s="883" t="str">
        <f>INDEX('FR Parts'!$A$1:$P$707,ROW(FR_04010)-1,COLUMN(FR_04010))</f>
        <v xml:space="preserve">Throttle Actuation </v>
      </c>
      <c r="C119" s="882">
        <f>INDEX('FR Parts'!$A$1:$P$707,ROW(FR_04010)-4,COLUMN(FR_04010)+12)</f>
        <v>3.2236863999999996</v>
      </c>
      <c r="D119" s="792">
        <f>INDEX('FR Parts'!$A$1:$P$707,ROW(FR_04010)-3,COLUMN(FR_04010)+12)</f>
        <v>1</v>
      </c>
      <c r="E119" s="182">
        <f t="shared" si="2"/>
        <v>3.2236863999999996</v>
      </c>
      <c r="F119" s="94"/>
      <c r="G119" s="94"/>
      <c r="H119" s="94"/>
      <c r="I119" s="94"/>
      <c r="J119" s="94"/>
      <c r="K119" s="94"/>
      <c r="L119" s="94"/>
      <c r="M119" s="94"/>
      <c r="N119" s="94"/>
      <c r="O119" s="93"/>
    </row>
    <row r="120" spans="1:15" x14ac:dyDescent="0.25">
      <c r="A120" s="884">
        <v>110</v>
      </c>
      <c r="B120" s="883" t="str">
        <f>INDEX('FR Parts'!$A$1:$P$707,ROW(FR_04011)-1,COLUMN(FR_04011))</f>
        <v>Left Side Throttle Pedal Support</v>
      </c>
      <c r="C120" s="882">
        <f>INDEX('FR Parts'!$A$1:$P$707,ROW(FR_04011)-4,COLUMN(FR_04011)+12)</f>
        <v>14.220897533333334</v>
      </c>
      <c r="D120" s="792">
        <f>INDEX('FR Parts'!$A$1:$P$707,ROW(FR_04011)-3,COLUMN(FR_04011)+12)</f>
        <v>1</v>
      </c>
      <c r="E120" s="182">
        <f t="shared" si="2"/>
        <v>14.220897533333334</v>
      </c>
      <c r="F120" s="94"/>
      <c r="G120" s="94"/>
      <c r="H120" s="94"/>
      <c r="I120" s="94"/>
      <c r="J120" s="94"/>
      <c r="K120" s="94"/>
      <c r="L120" s="94"/>
      <c r="M120" s="94"/>
      <c r="N120" s="94"/>
      <c r="O120" s="93"/>
    </row>
    <row r="121" spans="1:15" x14ac:dyDescent="0.25">
      <c r="A121" s="884">
        <v>120</v>
      </c>
      <c r="B121" s="883" t="str">
        <f>INDEX('FR Parts'!$A$1:$P$707,ROW(FR_04012)-1,COLUMN(FR_04012))</f>
        <v>Throttle Rocker</v>
      </c>
      <c r="C121" s="882">
        <f>INDEX('FR Parts'!$A$1:$P$707,ROW(FR_04012)-4,COLUMN(FR_04012)+12)</f>
        <v>8.2143648700000007</v>
      </c>
      <c r="D121" s="792">
        <f>INDEX('FR Parts'!$A$1:$P$707,ROW(FR_04012)-3,COLUMN(FR_04012)+12)</f>
        <v>1</v>
      </c>
      <c r="E121" s="182">
        <f t="shared" si="2"/>
        <v>8.2143648700000007</v>
      </c>
      <c r="F121" s="94"/>
      <c r="G121" s="94"/>
      <c r="H121" s="94"/>
      <c r="I121" s="94"/>
      <c r="J121" s="94"/>
      <c r="K121" s="94"/>
      <c r="L121" s="94"/>
      <c r="M121" s="94"/>
      <c r="N121" s="94"/>
      <c r="O121" s="93"/>
    </row>
    <row r="122" spans="1:15" x14ac:dyDescent="0.25">
      <c r="A122" s="884">
        <v>130</v>
      </c>
      <c r="B122" s="883" t="str">
        <f>INDEX('FR Parts'!$A$1:$P$707,ROW(FR_04013)-1,COLUMN(FR_04013))</f>
        <v>Right Side Throttle Pedal Support</v>
      </c>
      <c r="C122" s="882">
        <f>INDEX('FR Parts'!$A$1:$P$707,ROW(FR_04013)-4,COLUMN(FR_04013)+12)</f>
        <v>3.7171725000000002</v>
      </c>
      <c r="D122" s="792">
        <f>INDEX('FR Parts'!$A$1:$P$707,ROW(FR_04013)-3,COLUMN(FR_04013)+12)</f>
        <v>1</v>
      </c>
      <c r="E122" s="182">
        <f t="shared" si="2"/>
        <v>3.7171725000000002</v>
      </c>
      <c r="F122" s="94"/>
      <c r="G122" s="94"/>
      <c r="H122" s="94"/>
      <c r="I122" s="94"/>
      <c r="J122" s="94"/>
      <c r="K122" s="94"/>
      <c r="L122" s="94"/>
      <c r="M122" s="94"/>
      <c r="N122" s="94"/>
      <c r="O122" s="93"/>
    </row>
    <row r="123" spans="1:15" x14ac:dyDescent="0.25">
      <c r="A123" s="884">
        <v>140</v>
      </c>
      <c r="B123" s="883" t="str">
        <f>INDEX('FR Parts'!$A$1:$P$707,ROW(FR_04014)-1,COLUMN(FR_04014))</f>
        <v>Pedal Foot Support</v>
      </c>
      <c r="C123" s="882">
        <f>INDEX('FR Parts'!$A$1:$P$707,ROW(FR_04014)-4,COLUMN(FR_04014)+12)</f>
        <v>3.0421120000000004</v>
      </c>
      <c r="D123" s="792">
        <f>INDEX('FR Parts'!$A$1:$P$707,ROW(FR_04014)-3,COLUMN(FR_04014)+12)</f>
        <v>2</v>
      </c>
      <c r="E123" s="182">
        <f t="shared" si="2"/>
        <v>6.0842240000000007</v>
      </c>
      <c r="F123" s="94"/>
      <c r="G123" s="94"/>
      <c r="H123" s="94"/>
      <c r="I123" s="94"/>
      <c r="J123" s="94"/>
      <c r="K123" s="94"/>
      <c r="L123" s="94"/>
      <c r="M123" s="94"/>
      <c r="N123" s="94"/>
      <c r="O123" s="93"/>
    </row>
    <row r="124" spans="1:15" x14ac:dyDescent="0.25">
      <c r="A124" s="884">
        <v>150</v>
      </c>
      <c r="B124" s="883" t="str">
        <f>INDEX('FR Parts'!$A$1:$P$707,ROW(FR_04015)-1,COLUMN(FR_04015))</f>
        <v>Brake Pedal</v>
      </c>
      <c r="C124" s="882">
        <f>INDEX('FR Parts'!$A$1:$P$707,ROW(FR_04015)-4,COLUMN(FR_04015)+12)</f>
        <v>76.731391999999985</v>
      </c>
      <c r="D124" s="792">
        <f>INDEX('FR Parts'!$A$1:$P$707,ROW(FR_04015)-3,COLUMN(FR_04015)+12)</f>
        <v>1</v>
      </c>
      <c r="E124" s="182">
        <f t="shared" si="2"/>
        <v>76.731391999999985</v>
      </c>
      <c r="F124" s="94"/>
      <c r="G124" s="94"/>
      <c r="H124" s="94"/>
      <c r="I124" s="94"/>
      <c r="J124" s="94"/>
      <c r="K124" s="94"/>
      <c r="L124" s="94"/>
      <c r="M124" s="94"/>
      <c r="N124" s="94"/>
      <c r="O124" s="93"/>
    </row>
    <row r="125" spans="1:15" x14ac:dyDescent="0.25">
      <c r="A125" s="884">
        <v>160</v>
      </c>
      <c r="B125" s="883" t="str">
        <f>INDEX('FR Parts'!$A$1:$P$707,ROW(FR_04016)-1,COLUMN(FR_04016))</f>
        <v>Brake Pedal Bushing</v>
      </c>
      <c r="C125" s="882">
        <f>INDEX('FR Parts'!$A$1:$P$707,ROW(FR_04016)-4,COLUMN(FR_04016)+12)</f>
        <v>1.4365838331670684</v>
      </c>
      <c r="D125" s="792">
        <f>INDEX('FR Parts'!$A$1:$P$707,ROW(FR_04016)-3,COLUMN(FR_04016)+12)</f>
        <v>2</v>
      </c>
      <c r="E125" s="182">
        <f t="shared" si="2"/>
        <v>2.8731676663341368</v>
      </c>
      <c r="F125" s="94"/>
      <c r="G125" s="94"/>
      <c r="H125" s="94"/>
      <c r="I125" s="94"/>
      <c r="J125" s="94"/>
      <c r="K125" s="94"/>
      <c r="L125" s="94"/>
      <c r="M125" s="94"/>
      <c r="N125" s="94"/>
      <c r="O125" s="93"/>
    </row>
    <row r="126" spans="1:15" x14ac:dyDescent="0.25">
      <c r="A126" s="884">
        <v>170</v>
      </c>
      <c r="B126" s="925" t="str">
        <f>INDEX('FR Parts'!$A$1:$P$707,ROW(FR_04017)-1,COLUMN(FR_04017))</f>
        <v>Ballance Bar Support</v>
      </c>
      <c r="C126" s="882">
        <f>INDEX('FR Parts'!$A$1:$P$707,ROW(FR_04017)-4,COLUMN(FR_04017)+12)</f>
        <v>2.92114954</v>
      </c>
      <c r="D126" s="792">
        <f>INDEX('FR Parts'!$A$1:$P$707,ROW(FR_04017)-3,COLUMN(FR_04017)+12)</f>
        <v>2</v>
      </c>
      <c r="E126" s="182">
        <f t="shared" si="2"/>
        <v>5.8422990800000001</v>
      </c>
      <c r="F126" s="94"/>
      <c r="G126" s="94"/>
      <c r="H126" s="94"/>
      <c r="I126" s="94"/>
      <c r="J126" s="94"/>
      <c r="K126" s="94"/>
      <c r="L126" s="94"/>
      <c r="M126" s="94"/>
      <c r="N126" s="94"/>
      <c r="O126" s="93"/>
    </row>
    <row r="127" spans="1:15" x14ac:dyDescent="0.25">
      <c r="A127" s="884">
        <v>180</v>
      </c>
      <c r="B127" s="883" t="str">
        <f>INDEX('FR Parts'!$A$1:$P$707,ROW(FR_04018)-1,COLUMN(FR_04018))</f>
        <v>Master Cylinder Bar</v>
      </c>
      <c r="C127" s="882">
        <f>INDEX('FR Parts'!$A$1:$P$707,ROW(FR_04018)-4,COLUMN(FR_04018)+12)</f>
        <v>2.9858500700000001</v>
      </c>
      <c r="D127" s="792">
        <f>INDEX('FR Parts'!$A$1:$P$707,ROW(FR_04018)-3,COLUMN(FR_04018)+12)</f>
        <v>1</v>
      </c>
      <c r="E127" s="182">
        <f t="shared" si="2"/>
        <v>2.9858500700000001</v>
      </c>
      <c r="F127" s="94"/>
      <c r="G127" s="94"/>
      <c r="H127" s="94"/>
      <c r="I127" s="94"/>
      <c r="J127" s="94"/>
      <c r="K127" s="94"/>
      <c r="L127" s="94"/>
      <c r="M127" s="94"/>
      <c r="N127" s="94"/>
      <c r="O127" s="594"/>
    </row>
    <row r="128" spans="1:15" x14ac:dyDescent="0.25">
      <c r="A128" s="884">
        <v>190</v>
      </c>
      <c r="B128" s="883" t="str">
        <f>INDEX('FR Parts'!$A$1:$P$707,ROW(FR_04019)-1,COLUMN(FR_04019))</f>
        <v>Overtravel Swich Mount</v>
      </c>
      <c r="C128" s="882">
        <f>INDEX('FR Parts'!$A$1:$P$707,ROW(FR_04019)-4,COLUMN(FR_04019)+12)</f>
        <v>7.3771360000000001</v>
      </c>
      <c r="D128" s="792">
        <f>INDEX('FR Parts'!$A$1:$P$707,ROW(FR_04019)-3,COLUMN(FR_04019)+12)</f>
        <v>1</v>
      </c>
      <c r="E128" s="182">
        <f t="shared" si="2"/>
        <v>7.3771360000000001</v>
      </c>
      <c r="F128" s="94"/>
      <c r="G128" s="94"/>
      <c r="H128" s="94"/>
      <c r="I128" s="94"/>
      <c r="J128" s="94"/>
      <c r="K128" s="94"/>
      <c r="L128" s="94"/>
      <c r="M128" s="94"/>
      <c r="N128" s="94"/>
      <c r="O128" s="594"/>
    </row>
    <row r="129" spans="1:15" x14ac:dyDescent="0.25">
      <c r="A129" s="107"/>
      <c r="B129" s="94"/>
      <c r="C129" s="94"/>
      <c r="D129" s="728" t="s">
        <v>58</v>
      </c>
      <c r="E129" s="727">
        <f>SUM(E110:E128)</f>
        <v>205.12591379459556</v>
      </c>
      <c r="F129" s="99"/>
      <c r="G129" s="99"/>
      <c r="H129" s="99"/>
      <c r="I129" s="99"/>
      <c r="J129" s="99"/>
      <c r="K129" s="99"/>
      <c r="L129" s="99"/>
      <c r="M129" s="99"/>
      <c r="N129" s="99"/>
      <c r="O129" s="594"/>
    </row>
    <row r="130" spans="1:15" x14ac:dyDescent="0.25">
      <c r="O130" s="594"/>
    </row>
    <row r="131" spans="1:15" x14ac:dyDescent="0.25">
      <c r="A131" s="875" t="s">
        <v>67</v>
      </c>
      <c r="B131" s="875" t="s">
        <v>112</v>
      </c>
      <c r="C131" s="875" t="s">
        <v>66</v>
      </c>
      <c r="D131" s="875" t="s">
        <v>65</v>
      </c>
      <c r="E131" s="875" t="s">
        <v>81</v>
      </c>
      <c r="F131" s="875" t="s">
        <v>80</v>
      </c>
      <c r="G131" s="875" t="s">
        <v>79</v>
      </c>
      <c r="H131" s="875" t="s">
        <v>78</v>
      </c>
      <c r="I131" s="875" t="s">
        <v>111</v>
      </c>
      <c r="J131" s="875" t="s">
        <v>110</v>
      </c>
      <c r="K131" s="875" t="s">
        <v>109</v>
      </c>
      <c r="L131" s="875" t="s">
        <v>108</v>
      </c>
      <c r="M131" s="875" t="s">
        <v>40</v>
      </c>
      <c r="N131" s="875" t="s">
        <v>58</v>
      </c>
      <c r="O131" s="594"/>
    </row>
    <row r="132" spans="1:15" x14ac:dyDescent="0.25">
      <c r="A132" s="913">
        <v>10</v>
      </c>
      <c r="B132" s="913" t="s">
        <v>250</v>
      </c>
      <c r="C132" s="912" t="s">
        <v>1476</v>
      </c>
      <c r="D132" s="911">
        <v>10</v>
      </c>
      <c r="E132" s="910">
        <v>2.2439999999999998E-2</v>
      </c>
      <c r="F132" s="910" t="s">
        <v>241</v>
      </c>
      <c r="G132" s="910"/>
      <c r="H132" s="907"/>
      <c r="I132" s="924"/>
      <c r="J132" s="923"/>
      <c r="K132" s="907"/>
      <c r="L132" s="907"/>
      <c r="M132" s="905">
        <v>1</v>
      </c>
      <c r="N132" s="914">
        <f>D132*E132</f>
        <v>0.22439999999999999</v>
      </c>
      <c r="O132" s="594"/>
    </row>
    <row r="133" spans="1:15" ht="30" x14ac:dyDescent="0.25">
      <c r="A133" s="913">
        <v>20</v>
      </c>
      <c r="B133" s="913" t="s">
        <v>347</v>
      </c>
      <c r="C133" s="912" t="s">
        <v>1480</v>
      </c>
      <c r="D133" s="922">
        <v>15</v>
      </c>
      <c r="E133" s="921">
        <v>70</v>
      </c>
      <c r="F133" s="921" t="s">
        <v>68</v>
      </c>
      <c r="G133" s="921"/>
      <c r="H133" s="920"/>
      <c r="I133" s="919"/>
      <c r="J133" s="918"/>
      <c r="K133" s="917"/>
      <c r="L133" s="916"/>
      <c r="M133" s="915">
        <v>1</v>
      </c>
      <c r="N133" s="914">
        <f>D133*E133/1000</f>
        <v>1.05</v>
      </c>
      <c r="O133" s="594"/>
    </row>
    <row r="134" spans="1:15" x14ac:dyDescent="0.25">
      <c r="A134" s="913">
        <v>30</v>
      </c>
      <c r="B134" s="913" t="s">
        <v>1479</v>
      </c>
      <c r="C134" s="912" t="s">
        <v>1478</v>
      </c>
      <c r="D134" s="911"/>
      <c r="E134" s="910"/>
      <c r="F134" s="910"/>
      <c r="G134" s="910"/>
      <c r="H134" s="907"/>
      <c r="I134" s="909"/>
      <c r="J134" s="908"/>
      <c r="K134" s="907"/>
      <c r="L134" s="906"/>
      <c r="M134" s="905"/>
      <c r="N134" s="904"/>
      <c r="O134" s="594"/>
    </row>
    <row r="135" spans="1:15" x14ac:dyDescent="0.25">
      <c r="A135" s="726"/>
      <c r="B135" s="726"/>
      <c r="C135" s="726"/>
      <c r="D135" s="726"/>
      <c r="E135" s="726"/>
      <c r="F135" s="726"/>
      <c r="G135" s="726"/>
      <c r="H135" s="726"/>
      <c r="I135" s="726"/>
      <c r="J135" s="726"/>
      <c r="K135" s="726"/>
      <c r="L135" s="726"/>
      <c r="M135" s="875" t="s">
        <v>58</v>
      </c>
      <c r="N135" s="874">
        <f>SUM(N132:N134)</f>
        <v>1.2744</v>
      </c>
      <c r="O135" s="594"/>
    </row>
    <row r="136" spans="1:15" x14ac:dyDescent="0.25">
      <c r="A136" s="107"/>
      <c r="B136" s="94"/>
      <c r="C136" s="94"/>
      <c r="D136" s="94"/>
      <c r="E136" s="94"/>
      <c r="F136" s="94"/>
      <c r="G136" s="94"/>
      <c r="H136" s="94"/>
      <c r="I136" s="94"/>
      <c r="J136" s="94"/>
      <c r="K136" s="94"/>
      <c r="L136" s="94"/>
      <c r="M136" s="94"/>
      <c r="N136" s="94"/>
      <c r="O136" s="594"/>
    </row>
    <row r="137" spans="1:15" x14ac:dyDescent="0.25">
      <c r="A137" s="729" t="s">
        <v>67</v>
      </c>
      <c r="B137" s="729" t="s">
        <v>106</v>
      </c>
      <c r="C137" s="729" t="s">
        <v>66</v>
      </c>
      <c r="D137" s="729" t="s">
        <v>65</v>
      </c>
      <c r="E137" s="729" t="s">
        <v>64</v>
      </c>
      <c r="F137" s="730" t="s">
        <v>40</v>
      </c>
      <c r="G137" s="729" t="s">
        <v>105</v>
      </c>
      <c r="H137" s="729" t="s">
        <v>104</v>
      </c>
      <c r="I137" s="729" t="s">
        <v>58</v>
      </c>
      <c r="J137" s="95"/>
      <c r="K137" s="95"/>
      <c r="L137" s="95"/>
      <c r="M137" s="95"/>
      <c r="N137" s="95"/>
      <c r="O137" s="734"/>
    </row>
    <row r="138" spans="1:15" x14ac:dyDescent="0.25">
      <c r="A138" s="887">
        <v>10</v>
      </c>
      <c r="B138" s="887" t="s">
        <v>103</v>
      </c>
      <c r="C138" s="890" t="s">
        <v>1477</v>
      </c>
      <c r="D138" s="802">
        <v>0.15</v>
      </c>
      <c r="E138" s="887" t="s">
        <v>101</v>
      </c>
      <c r="F138" s="902">
        <v>24.8</v>
      </c>
      <c r="G138" s="902"/>
      <c r="H138" s="902"/>
      <c r="I138" s="739">
        <f t="shared" ref="I138:I169" si="3">IF(H138="",D138*F138,D138*F138*H138)</f>
        <v>3.7199999999999998</v>
      </c>
      <c r="J138" s="94"/>
      <c r="K138" s="94"/>
      <c r="L138" s="94"/>
      <c r="M138" s="94"/>
      <c r="N138" s="94"/>
      <c r="O138" s="594"/>
    </row>
    <row r="139" spans="1:15" x14ac:dyDescent="0.25">
      <c r="A139" s="887">
        <v>20</v>
      </c>
      <c r="B139" s="791" t="s">
        <v>535</v>
      </c>
      <c r="C139" s="903" t="s">
        <v>1476</v>
      </c>
      <c r="D139" s="802">
        <v>5.25</v>
      </c>
      <c r="E139" s="791" t="s">
        <v>241</v>
      </c>
      <c r="F139" s="902">
        <v>2.2439999999999998E-2</v>
      </c>
      <c r="G139" s="887"/>
      <c r="H139" s="887"/>
      <c r="I139" s="739">
        <f t="shared" si="3"/>
        <v>0.11780999999999998</v>
      </c>
      <c r="J139" s="94"/>
      <c r="K139" s="94"/>
      <c r="L139" s="94"/>
      <c r="M139" s="94"/>
      <c r="N139" s="94"/>
      <c r="O139" s="594"/>
    </row>
    <row r="140" spans="1:15" ht="30" x14ac:dyDescent="0.25">
      <c r="A140" s="887">
        <v>30</v>
      </c>
      <c r="B140" s="791" t="s">
        <v>285</v>
      </c>
      <c r="C140" s="890" t="s">
        <v>1475</v>
      </c>
      <c r="D140" s="802">
        <v>0.19</v>
      </c>
      <c r="E140" s="887" t="s">
        <v>64</v>
      </c>
      <c r="F140" s="902">
        <v>2</v>
      </c>
      <c r="G140" s="887"/>
      <c r="H140" s="887"/>
      <c r="I140" s="739">
        <f t="shared" si="3"/>
        <v>0.38</v>
      </c>
      <c r="J140" s="94"/>
      <c r="K140" s="94"/>
      <c r="L140" s="94"/>
      <c r="M140" s="94"/>
      <c r="N140" s="94"/>
      <c r="O140" s="594"/>
    </row>
    <row r="141" spans="1:15" x14ac:dyDescent="0.25">
      <c r="A141" s="887">
        <v>40</v>
      </c>
      <c r="B141" s="791" t="s">
        <v>285</v>
      </c>
      <c r="C141" s="890" t="s">
        <v>1474</v>
      </c>
      <c r="D141" s="802">
        <v>0.19</v>
      </c>
      <c r="E141" s="887" t="s">
        <v>64</v>
      </c>
      <c r="F141" s="902">
        <v>1</v>
      </c>
      <c r="G141" s="887"/>
      <c r="H141" s="887"/>
      <c r="I141" s="739">
        <f t="shared" si="3"/>
        <v>0.19</v>
      </c>
      <c r="J141" s="94"/>
      <c r="K141" s="94"/>
      <c r="L141" s="94"/>
      <c r="M141" s="94"/>
      <c r="N141" s="94"/>
      <c r="O141" s="594"/>
    </row>
    <row r="142" spans="1:15" x14ac:dyDescent="0.25">
      <c r="A142" s="887">
        <v>50</v>
      </c>
      <c r="B142" s="887" t="s">
        <v>165</v>
      </c>
      <c r="C142" s="890" t="s">
        <v>1473</v>
      </c>
      <c r="D142" s="802">
        <v>0.06</v>
      </c>
      <c r="E142" s="887" t="s">
        <v>64</v>
      </c>
      <c r="F142" s="902">
        <v>1</v>
      </c>
      <c r="G142" s="902"/>
      <c r="H142" s="902"/>
      <c r="I142" s="739">
        <f t="shared" si="3"/>
        <v>0.06</v>
      </c>
      <c r="J142" s="94"/>
      <c r="K142" s="94"/>
      <c r="L142" s="94"/>
      <c r="M142" s="94"/>
      <c r="N142" s="94"/>
      <c r="O142" s="594"/>
    </row>
    <row r="143" spans="1:15" x14ac:dyDescent="0.25">
      <c r="A143" s="887">
        <v>60</v>
      </c>
      <c r="B143" s="887" t="s">
        <v>328</v>
      </c>
      <c r="C143" s="890" t="s">
        <v>1472</v>
      </c>
      <c r="D143" s="802">
        <v>0.5</v>
      </c>
      <c r="E143" s="887" t="s">
        <v>64</v>
      </c>
      <c r="F143" s="902">
        <v>2</v>
      </c>
      <c r="G143" s="902"/>
      <c r="H143" s="902"/>
      <c r="I143" s="739">
        <f t="shared" si="3"/>
        <v>1</v>
      </c>
      <c r="J143" s="94"/>
      <c r="K143" s="94"/>
      <c r="L143" s="94"/>
      <c r="M143" s="94"/>
      <c r="N143" s="94"/>
      <c r="O143" s="594"/>
    </row>
    <row r="144" spans="1:15" x14ac:dyDescent="0.25">
      <c r="A144" s="887">
        <v>70</v>
      </c>
      <c r="B144" s="791" t="s">
        <v>1392</v>
      </c>
      <c r="C144" s="903" t="s">
        <v>1440</v>
      </c>
      <c r="D144" s="802">
        <v>0.25</v>
      </c>
      <c r="E144" s="791" t="s">
        <v>64</v>
      </c>
      <c r="F144" s="902">
        <v>2</v>
      </c>
      <c r="G144" s="887"/>
      <c r="H144" s="887"/>
      <c r="I144" s="739">
        <f t="shared" si="3"/>
        <v>0.5</v>
      </c>
      <c r="J144" s="94"/>
      <c r="K144" s="94"/>
      <c r="L144" s="94"/>
      <c r="M144" s="94"/>
      <c r="N144" s="94"/>
      <c r="O144" s="594"/>
    </row>
    <row r="145" spans="1:15" x14ac:dyDescent="0.25">
      <c r="A145" s="887">
        <v>80</v>
      </c>
      <c r="B145" s="791" t="s">
        <v>165</v>
      </c>
      <c r="C145" s="890" t="s">
        <v>1435</v>
      </c>
      <c r="D145" s="802">
        <v>0.06</v>
      </c>
      <c r="E145" s="887" t="s">
        <v>64</v>
      </c>
      <c r="F145" s="902">
        <v>1</v>
      </c>
      <c r="G145" s="887"/>
      <c r="H145" s="887"/>
      <c r="I145" s="739">
        <f t="shared" si="3"/>
        <v>0.06</v>
      </c>
      <c r="J145" s="94"/>
      <c r="K145" s="94"/>
      <c r="L145" s="94"/>
      <c r="M145" s="94"/>
      <c r="N145" s="94"/>
      <c r="O145" s="594"/>
    </row>
    <row r="146" spans="1:15" x14ac:dyDescent="0.25">
      <c r="A146" s="887">
        <v>90</v>
      </c>
      <c r="B146" s="791" t="s">
        <v>328</v>
      </c>
      <c r="C146" s="890" t="s">
        <v>1471</v>
      </c>
      <c r="D146" s="802">
        <v>0.5</v>
      </c>
      <c r="E146" s="887" t="s">
        <v>64</v>
      </c>
      <c r="F146" s="902">
        <v>1</v>
      </c>
      <c r="G146" s="887"/>
      <c r="H146" s="887"/>
      <c r="I146" s="739">
        <f t="shared" si="3"/>
        <v>0.5</v>
      </c>
      <c r="J146" s="94"/>
      <c r="K146" s="94"/>
      <c r="L146" s="94"/>
      <c r="M146" s="94"/>
      <c r="N146" s="94"/>
      <c r="O146" s="594"/>
    </row>
    <row r="147" spans="1:15" x14ac:dyDescent="0.25">
      <c r="A147" s="887">
        <v>100</v>
      </c>
      <c r="B147" s="791" t="s">
        <v>1392</v>
      </c>
      <c r="C147" s="903" t="s">
        <v>1466</v>
      </c>
      <c r="D147" s="802">
        <v>0.25</v>
      </c>
      <c r="E147" s="791" t="s">
        <v>64</v>
      </c>
      <c r="F147" s="902">
        <v>1</v>
      </c>
      <c r="G147" s="902"/>
      <c r="H147" s="902"/>
      <c r="I147" s="739">
        <f t="shared" si="3"/>
        <v>0.25</v>
      </c>
      <c r="J147" s="94"/>
      <c r="K147" s="94"/>
      <c r="L147" s="94"/>
      <c r="M147" s="94"/>
      <c r="N147" s="94"/>
      <c r="O147" s="594"/>
    </row>
    <row r="148" spans="1:15" x14ac:dyDescent="0.25">
      <c r="A148" s="887">
        <v>110</v>
      </c>
      <c r="B148" s="791" t="s">
        <v>165</v>
      </c>
      <c r="C148" s="890" t="s">
        <v>1470</v>
      </c>
      <c r="D148" s="802">
        <v>0.06</v>
      </c>
      <c r="E148" s="887" t="s">
        <v>64</v>
      </c>
      <c r="F148" s="902">
        <v>1</v>
      </c>
      <c r="G148" s="887"/>
      <c r="H148" s="887"/>
      <c r="I148" s="739">
        <f t="shared" si="3"/>
        <v>0.06</v>
      </c>
      <c r="J148" s="94"/>
      <c r="K148" s="94"/>
      <c r="L148" s="94"/>
      <c r="M148" s="94"/>
      <c r="N148" s="94"/>
      <c r="O148" s="594"/>
    </row>
    <row r="149" spans="1:15" ht="30" x14ac:dyDescent="0.25">
      <c r="A149" s="887">
        <v>120</v>
      </c>
      <c r="B149" s="791" t="s">
        <v>165</v>
      </c>
      <c r="C149" s="890" t="s">
        <v>1469</v>
      </c>
      <c r="D149" s="802">
        <v>0.06</v>
      </c>
      <c r="E149" s="887" t="s">
        <v>64</v>
      </c>
      <c r="F149" s="902">
        <v>1</v>
      </c>
      <c r="G149" s="887"/>
      <c r="H149" s="887"/>
      <c r="I149" s="739">
        <f t="shared" si="3"/>
        <v>0.06</v>
      </c>
      <c r="J149" s="94"/>
      <c r="K149" s="94"/>
      <c r="L149" s="94"/>
      <c r="M149" s="94"/>
      <c r="N149" s="94"/>
      <c r="O149" s="594"/>
    </row>
    <row r="150" spans="1:15" x14ac:dyDescent="0.25">
      <c r="A150" s="887">
        <v>130</v>
      </c>
      <c r="B150" s="791" t="s">
        <v>328</v>
      </c>
      <c r="C150" s="890" t="s">
        <v>1468</v>
      </c>
      <c r="D150" s="802">
        <v>0.5</v>
      </c>
      <c r="E150" s="887" t="s">
        <v>64</v>
      </c>
      <c r="F150" s="902">
        <v>2</v>
      </c>
      <c r="G150" s="887"/>
      <c r="H150" s="887"/>
      <c r="I150" s="739">
        <f t="shared" si="3"/>
        <v>1</v>
      </c>
      <c r="J150" s="94"/>
      <c r="K150" s="94"/>
      <c r="L150" s="94"/>
      <c r="M150" s="94"/>
      <c r="N150" s="94"/>
      <c r="O150" s="594"/>
    </row>
    <row r="151" spans="1:15" x14ac:dyDescent="0.25">
      <c r="A151" s="887">
        <v>140</v>
      </c>
      <c r="B151" s="791" t="s">
        <v>1392</v>
      </c>
      <c r="C151" s="903" t="s">
        <v>1440</v>
      </c>
      <c r="D151" s="802">
        <v>0.25</v>
      </c>
      <c r="E151" s="791" t="s">
        <v>64</v>
      </c>
      <c r="F151" s="902">
        <v>2</v>
      </c>
      <c r="G151" s="902"/>
      <c r="H151" s="902"/>
      <c r="I151" s="739">
        <f t="shared" si="3"/>
        <v>0.5</v>
      </c>
      <c r="J151" s="94"/>
      <c r="K151" s="94"/>
      <c r="L151" s="94"/>
      <c r="M151" s="94"/>
      <c r="N151" s="94"/>
      <c r="O151" s="594"/>
    </row>
    <row r="152" spans="1:15" ht="30" x14ac:dyDescent="0.25">
      <c r="A152" s="887">
        <v>150</v>
      </c>
      <c r="B152" s="791" t="s">
        <v>165</v>
      </c>
      <c r="C152" s="890" t="s">
        <v>1433</v>
      </c>
      <c r="D152" s="802">
        <v>0.06</v>
      </c>
      <c r="E152" s="887" t="s">
        <v>64</v>
      </c>
      <c r="F152" s="902">
        <v>1</v>
      </c>
      <c r="G152" s="887"/>
      <c r="H152" s="887"/>
      <c r="I152" s="739">
        <f t="shared" si="3"/>
        <v>0.06</v>
      </c>
      <c r="J152" s="94"/>
      <c r="K152" s="94"/>
      <c r="L152" s="94"/>
      <c r="M152" s="94"/>
      <c r="N152" s="94"/>
      <c r="O152" s="594"/>
    </row>
    <row r="153" spans="1:15" x14ac:dyDescent="0.25">
      <c r="A153" s="887">
        <v>160</v>
      </c>
      <c r="B153" s="791" t="s">
        <v>328</v>
      </c>
      <c r="C153" s="890" t="s">
        <v>1467</v>
      </c>
      <c r="D153" s="802">
        <v>0.5</v>
      </c>
      <c r="E153" s="887" t="s">
        <v>64</v>
      </c>
      <c r="F153" s="902">
        <v>2</v>
      </c>
      <c r="G153" s="887"/>
      <c r="H153" s="887"/>
      <c r="I153" s="739">
        <f t="shared" si="3"/>
        <v>1</v>
      </c>
      <c r="J153" s="94"/>
      <c r="K153" s="94"/>
      <c r="L153" s="94"/>
      <c r="M153" s="94"/>
      <c r="N153" s="94"/>
      <c r="O153" s="594"/>
    </row>
    <row r="154" spans="1:15" x14ac:dyDescent="0.25">
      <c r="A154" s="887">
        <v>170</v>
      </c>
      <c r="B154" s="791" t="s">
        <v>1392</v>
      </c>
      <c r="C154" s="903" t="s">
        <v>1466</v>
      </c>
      <c r="D154" s="802">
        <v>0.25</v>
      </c>
      <c r="E154" s="791" t="s">
        <v>64</v>
      </c>
      <c r="F154" s="902">
        <v>2</v>
      </c>
      <c r="G154" s="902"/>
      <c r="H154" s="902"/>
      <c r="I154" s="739">
        <f t="shared" si="3"/>
        <v>0.5</v>
      </c>
      <c r="J154" s="94"/>
      <c r="K154" s="94"/>
      <c r="L154" s="94"/>
      <c r="M154" s="94"/>
      <c r="N154" s="94"/>
      <c r="O154" s="594"/>
    </row>
    <row r="155" spans="1:15" x14ac:dyDescent="0.25">
      <c r="A155" s="887">
        <v>180</v>
      </c>
      <c r="B155" s="791" t="s">
        <v>1399</v>
      </c>
      <c r="C155" s="890" t="s">
        <v>1465</v>
      </c>
      <c r="D155" s="802">
        <v>0.13</v>
      </c>
      <c r="E155" s="887" t="s">
        <v>64</v>
      </c>
      <c r="F155" s="902">
        <v>1</v>
      </c>
      <c r="G155" s="887"/>
      <c r="H155" s="887"/>
      <c r="I155" s="739">
        <f t="shared" si="3"/>
        <v>0.13</v>
      </c>
      <c r="J155" s="94"/>
      <c r="K155" s="94"/>
      <c r="L155" s="94"/>
      <c r="M155" s="94"/>
      <c r="N155" s="94"/>
      <c r="O155" s="594"/>
    </row>
    <row r="156" spans="1:15" x14ac:dyDescent="0.25">
      <c r="A156" s="887">
        <v>190</v>
      </c>
      <c r="B156" s="791" t="s">
        <v>1438</v>
      </c>
      <c r="C156" s="890" t="s">
        <v>1465</v>
      </c>
      <c r="D156" s="802">
        <v>0.5</v>
      </c>
      <c r="E156" s="887" t="s">
        <v>64</v>
      </c>
      <c r="F156" s="902">
        <v>1</v>
      </c>
      <c r="G156" s="887"/>
      <c r="H156" s="887"/>
      <c r="I156" s="739">
        <f t="shared" si="3"/>
        <v>0.5</v>
      </c>
      <c r="J156" s="94"/>
      <c r="K156" s="94"/>
      <c r="L156" s="94"/>
      <c r="M156" s="94"/>
      <c r="N156" s="94"/>
      <c r="O156" s="594"/>
    </row>
    <row r="157" spans="1:15" ht="30" x14ac:dyDescent="0.25">
      <c r="A157" s="887">
        <v>200</v>
      </c>
      <c r="B157" s="791" t="s">
        <v>1399</v>
      </c>
      <c r="C157" s="890" t="s">
        <v>1464</v>
      </c>
      <c r="D157" s="802">
        <v>0.13</v>
      </c>
      <c r="E157" s="887" t="s">
        <v>64</v>
      </c>
      <c r="F157" s="902">
        <v>1</v>
      </c>
      <c r="G157" s="887"/>
      <c r="H157" s="887"/>
      <c r="I157" s="739">
        <f t="shared" si="3"/>
        <v>0.13</v>
      </c>
      <c r="J157" s="94"/>
      <c r="K157" s="94"/>
      <c r="L157" s="94"/>
      <c r="M157" s="94"/>
      <c r="N157" s="94"/>
      <c r="O157" s="594"/>
    </row>
    <row r="158" spans="1:15" ht="30" x14ac:dyDescent="0.25">
      <c r="A158" s="887">
        <v>210</v>
      </c>
      <c r="B158" s="791" t="s">
        <v>1399</v>
      </c>
      <c r="C158" s="890" t="s">
        <v>1463</v>
      </c>
      <c r="D158" s="802">
        <v>0.13</v>
      </c>
      <c r="E158" s="887" t="s">
        <v>64</v>
      </c>
      <c r="F158" s="902">
        <v>1</v>
      </c>
      <c r="G158" s="887"/>
      <c r="H158" s="887"/>
      <c r="I158" s="739">
        <f t="shared" si="3"/>
        <v>0.13</v>
      </c>
      <c r="J158" s="94"/>
      <c r="K158" s="94"/>
      <c r="L158" s="94"/>
      <c r="M158" s="94"/>
      <c r="N158" s="94"/>
      <c r="O158" s="594"/>
    </row>
    <row r="159" spans="1:15" x14ac:dyDescent="0.25">
      <c r="A159" s="887">
        <v>220</v>
      </c>
      <c r="B159" s="791" t="s">
        <v>328</v>
      </c>
      <c r="C159" s="890" t="s">
        <v>1455</v>
      </c>
      <c r="D159" s="802">
        <v>0.5</v>
      </c>
      <c r="E159" s="887" t="s">
        <v>64</v>
      </c>
      <c r="F159" s="902">
        <v>1</v>
      </c>
      <c r="G159" s="887"/>
      <c r="H159" s="887"/>
      <c r="I159" s="739">
        <f t="shared" si="3"/>
        <v>0.5</v>
      </c>
      <c r="J159" s="94"/>
      <c r="K159" s="94"/>
      <c r="L159" s="94"/>
      <c r="M159" s="94"/>
      <c r="N159" s="94"/>
      <c r="O159" s="594"/>
    </row>
    <row r="160" spans="1:15" x14ac:dyDescent="0.25">
      <c r="A160" s="887">
        <v>230</v>
      </c>
      <c r="B160" s="791" t="s">
        <v>1392</v>
      </c>
      <c r="C160" s="903" t="s">
        <v>1440</v>
      </c>
      <c r="D160" s="802">
        <v>0.25</v>
      </c>
      <c r="E160" s="791" t="s">
        <v>64</v>
      </c>
      <c r="F160" s="902">
        <v>1</v>
      </c>
      <c r="G160" s="902"/>
      <c r="H160" s="902"/>
      <c r="I160" s="739">
        <f t="shared" si="3"/>
        <v>0.25</v>
      </c>
      <c r="J160" s="94"/>
      <c r="K160" s="94"/>
      <c r="L160" s="94"/>
      <c r="M160" s="94"/>
      <c r="N160" s="94"/>
      <c r="O160" s="594"/>
    </row>
    <row r="161" spans="1:15" x14ac:dyDescent="0.25">
      <c r="A161" s="887">
        <v>240</v>
      </c>
      <c r="B161" s="791" t="s">
        <v>1399</v>
      </c>
      <c r="C161" s="890" t="s">
        <v>1462</v>
      </c>
      <c r="D161" s="802">
        <v>0.13</v>
      </c>
      <c r="E161" s="887" t="s">
        <v>64</v>
      </c>
      <c r="F161" s="902">
        <v>1</v>
      </c>
      <c r="G161" s="887"/>
      <c r="H161" s="887"/>
      <c r="I161" s="739">
        <f t="shared" si="3"/>
        <v>0.13</v>
      </c>
      <c r="J161" s="94"/>
      <c r="K161" s="94"/>
      <c r="L161" s="94"/>
      <c r="M161" s="94"/>
      <c r="N161" s="94"/>
      <c r="O161" s="594"/>
    </row>
    <row r="162" spans="1:15" x14ac:dyDescent="0.25">
      <c r="A162" s="887">
        <v>250</v>
      </c>
      <c r="B162" s="791" t="s">
        <v>1451</v>
      </c>
      <c r="C162" s="890" t="s">
        <v>1461</v>
      </c>
      <c r="D162" s="802">
        <v>0.75</v>
      </c>
      <c r="E162" s="887" t="s">
        <v>64</v>
      </c>
      <c r="F162" s="902">
        <v>2</v>
      </c>
      <c r="G162" s="887"/>
      <c r="H162" s="887"/>
      <c r="I162" s="739">
        <f t="shared" si="3"/>
        <v>1.5</v>
      </c>
      <c r="J162" s="94"/>
      <c r="K162" s="94"/>
      <c r="L162" s="94"/>
      <c r="M162" s="94"/>
      <c r="N162" s="94"/>
      <c r="O162" s="594"/>
    </row>
    <row r="163" spans="1:15" x14ac:dyDescent="0.25">
      <c r="A163" s="887">
        <v>260</v>
      </c>
      <c r="B163" s="791" t="s">
        <v>1449</v>
      </c>
      <c r="C163" s="903" t="s">
        <v>1460</v>
      </c>
      <c r="D163" s="802">
        <v>0.25</v>
      </c>
      <c r="E163" s="791" t="s">
        <v>64</v>
      </c>
      <c r="F163" s="902">
        <v>2</v>
      </c>
      <c r="G163" s="902"/>
      <c r="H163" s="902"/>
      <c r="I163" s="739">
        <f t="shared" si="3"/>
        <v>0.5</v>
      </c>
      <c r="J163" s="94"/>
      <c r="K163" s="94"/>
      <c r="L163" s="94"/>
      <c r="M163" s="94"/>
      <c r="N163" s="94"/>
      <c r="O163" s="594"/>
    </row>
    <row r="164" spans="1:15" x14ac:dyDescent="0.25">
      <c r="A164" s="887">
        <v>270</v>
      </c>
      <c r="B164" s="887" t="s">
        <v>165</v>
      </c>
      <c r="C164" s="890" t="s">
        <v>1430</v>
      </c>
      <c r="D164" s="802">
        <v>0.06</v>
      </c>
      <c r="E164" s="887" t="s">
        <v>64</v>
      </c>
      <c r="F164" s="902">
        <v>1</v>
      </c>
      <c r="G164" s="902"/>
      <c r="H164" s="902"/>
      <c r="I164" s="739">
        <f t="shared" si="3"/>
        <v>0.06</v>
      </c>
      <c r="J164" s="94"/>
      <c r="K164" s="94"/>
      <c r="L164" s="94"/>
      <c r="M164" s="94"/>
      <c r="N164" s="94"/>
      <c r="O164" s="594"/>
    </row>
    <row r="165" spans="1:15" x14ac:dyDescent="0.25">
      <c r="A165" s="887">
        <v>280</v>
      </c>
      <c r="B165" s="887" t="s">
        <v>328</v>
      </c>
      <c r="C165" s="890" t="s">
        <v>1459</v>
      </c>
      <c r="D165" s="802">
        <v>0.5</v>
      </c>
      <c r="E165" s="887" t="s">
        <v>64</v>
      </c>
      <c r="F165" s="902">
        <v>2</v>
      </c>
      <c r="G165" s="902"/>
      <c r="H165" s="902"/>
      <c r="I165" s="739">
        <f t="shared" si="3"/>
        <v>1</v>
      </c>
      <c r="J165" s="94"/>
      <c r="K165" s="94"/>
      <c r="L165" s="94"/>
      <c r="M165" s="94"/>
      <c r="N165" s="94"/>
      <c r="O165" s="594"/>
    </row>
    <row r="166" spans="1:15" x14ac:dyDescent="0.25">
      <c r="A166" s="887">
        <v>290</v>
      </c>
      <c r="B166" s="791" t="s">
        <v>1392</v>
      </c>
      <c r="C166" s="903" t="s">
        <v>1440</v>
      </c>
      <c r="D166" s="802">
        <v>0.25</v>
      </c>
      <c r="E166" s="791" t="s">
        <v>64</v>
      </c>
      <c r="F166" s="902">
        <v>2</v>
      </c>
      <c r="G166" s="887"/>
      <c r="H166" s="887"/>
      <c r="I166" s="739">
        <f t="shared" si="3"/>
        <v>0.5</v>
      </c>
      <c r="J166" s="94"/>
      <c r="K166" s="94"/>
      <c r="L166" s="94"/>
      <c r="M166" s="94"/>
      <c r="N166" s="94"/>
      <c r="O166" s="594"/>
    </row>
    <row r="167" spans="1:15" ht="30" x14ac:dyDescent="0.25">
      <c r="A167" s="887">
        <v>300</v>
      </c>
      <c r="B167" s="791" t="s">
        <v>285</v>
      </c>
      <c r="C167" s="890" t="s">
        <v>1458</v>
      </c>
      <c r="D167" s="802">
        <v>0.19</v>
      </c>
      <c r="E167" s="887" t="s">
        <v>64</v>
      </c>
      <c r="F167" s="902">
        <v>2</v>
      </c>
      <c r="G167" s="887"/>
      <c r="H167" s="887"/>
      <c r="I167" s="739">
        <f t="shared" si="3"/>
        <v>0.38</v>
      </c>
      <c r="J167" s="94"/>
      <c r="K167" s="94"/>
      <c r="L167" s="94"/>
      <c r="M167" s="94"/>
      <c r="N167" s="94"/>
      <c r="O167" s="594"/>
    </row>
    <row r="168" spans="1:15" x14ac:dyDescent="0.25">
      <c r="A168" s="887">
        <v>310</v>
      </c>
      <c r="B168" s="791" t="s">
        <v>1399</v>
      </c>
      <c r="C168" s="890" t="s">
        <v>1457</v>
      </c>
      <c r="D168" s="802">
        <v>0.13</v>
      </c>
      <c r="E168" s="887" t="s">
        <v>64</v>
      </c>
      <c r="F168" s="902">
        <v>1</v>
      </c>
      <c r="G168" s="887"/>
      <c r="H168" s="887"/>
      <c r="I168" s="739">
        <f t="shared" si="3"/>
        <v>0.13</v>
      </c>
      <c r="J168" s="94"/>
      <c r="K168" s="94"/>
      <c r="L168" s="94"/>
      <c r="M168" s="94"/>
      <c r="N168" s="94"/>
      <c r="O168" s="594"/>
    </row>
    <row r="169" spans="1:15" ht="30" x14ac:dyDescent="0.25">
      <c r="A169" s="887">
        <v>320</v>
      </c>
      <c r="B169" s="887" t="s">
        <v>285</v>
      </c>
      <c r="C169" s="890" t="s">
        <v>1456</v>
      </c>
      <c r="D169" s="802">
        <v>0.19</v>
      </c>
      <c r="E169" s="887" t="s">
        <v>64</v>
      </c>
      <c r="F169" s="902">
        <v>1</v>
      </c>
      <c r="G169" s="902"/>
      <c r="H169" s="902"/>
      <c r="I169" s="739">
        <f t="shared" si="3"/>
        <v>0.19</v>
      </c>
      <c r="J169" s="94"/>
      <c r="K169" s="94"/>
      <c r="L169" s="94"/>
      <c r="M169" s="94"/>
      <c r="N169" s="94"/>
      <c r="O169" s="594"/>
    </row>
    <row r="170" spans="1:15" x14ac:dyDescent="0.25">
      <c r="A170" s="887">
        <v>330</v>
      </c>
      <c r="B170" s="791" t="s">
        <v>328</v>
      </c>
      <c r="C170" s="890" t="s">
        <v>1455</v>
      </c>
      <c r="D170" s="802">
        <v>0.5</v>
      </c>
      <c r="E170" s="887" t="s">
        <v>64</v>
      </c>
      <c r="F170" s="902">
        <v>1</v>
      </c>
      <c r="G170" s="887"/>
      <c r="H170" s="887"/>
      <c r="I170" s="739">
        <f t="shared" ref="I170:I187" si="4">IF(H170="",D170*F170,D170*F170*H170)</f>
        <v>0.5</v>
      </c>
      <c r="J170" s="94"/>
      <c r="K170" s="94"/>
      <c r="L170" s="94"/>
      <c r="M170" s="94"/>
      <c r="N170" s="94"/>
      <c r="O170" s="594"/>
    </row>
    <row r="171" spans="1:15" x14ac:dyDescent="0.25">
      <c r="A171" s="887">
        <v>340</v>
      </c>
      <c r="B171" s="791" t="s">
        <v>1392</v>
      </c>
      <c r="C171" s="903" t="s">
        <v>1440</v>
      </c>
      <c r="D171" s="802">
        <v>0.25</v>
      </c>
      <c r="E171" s="791" t="s">
        <v>64</v>
      </c>
      <c r="F171" s="902">
        <v>1</v>
      </c>
      <c r="G171" s="902"/>
      <c r="H171" s="902"/>
      <c r="I171" s="739">
        <f t="shared" si="4"/>
        <v>0.25</v>
      </c>
      <c r="J171" s="94"/>
      <c r="K171" s="94"/>
      <c r="L171" s="94"/>
      <c r="M171" s="94"/>
      <c r="N171" s="94"/>
      <c r="O171" s="594"/>
    </row>
    <row r="172" spans="1:15" x14ac:dyDescent="0.25">
      <c r="A172" s="887">
        <v>350</v>
      </c>
      <c r="B172" s="791" t="s">
        <v>1399</v>
      </c>
      <c r="C172" s="890" t="s">
        <v>1454</v>
      </c>
      <c r="D172" s="802">
        <v>0.13</v>
      </c>
      <c r="E172" s="887" t="s">
        <v>64</v>
      </c>
      <c r="F172" s="902">
        <v>1</v>
      </c>
      <c r="G172" s="887"/>
      <c r="H172" s="887"/>
      <c r="I172" s="739">
        <f t="shared" si="4"/>
        <v>0.13</v>
      </c>
      <c r="J172" s="94"/>
      <c r="K172" s="94"/>
      <c r="L172" s="94"/>
      <c r="M172" s="94"/>
      <c r="N172" s="94"/>
      <c r="O172" s="594"/>
    </row>
    <row r="173" spans="1:15" x14ac:dyDescent="0.25">
      <c r="A173" s="887">
        <v>360</v>
      </c>
      <c r="B173" s="791" t="s">
        <v>491</v>
      </c>
      <c r="C173" s="890" t="s">
        <v>1453</v>
      </c>
      <c r="D173" s="802">
        <v>0.02</v>
      </c>
      <c r="E173" s="887" t="s">
        <v>101</v>
      </c>
      <c r="F173" s="902">
        <v>10</v>
      </c>
      <c r="G173" s="887" t="s">
        <v>1182</v>
      </c>
      <c r="H173" s="887">
        <v>2</v>
      </c>
      <c r="I173" s="739">
        <f t="shared" si="4"/>
        <v>0.4</v>
      </c>
      <c r="J173" s="94"/>
      <c r="K173" s="94"/>
      <c r="L173" s="94"/>
      <c r="M173" s="94"/>
      <c r="N173" s="94"/>
      <c r="O173" s="594"/>
    </row>
    <row r="174" spans="1:15" x14ac:dyDescent="0.25">
      <c r="A174" s="887">
        <v>370</v>
      </c>
      <c r="B174" s="791" t="s">
        <v>1399</v>
      </c>
      <c r="C174" s="890" t="s">
        <v>1452</v>
      </c>
      <c r="D174" s="802">
        <v>0.13</v>
      </c>
      <c r="E174" s="887" t="s">
        <v>64</v>
      </c>
      <c r="F174" s="902">
        <v>1</v>
      </c>
      <c r="G174" s="887"/>
      <c r="H174" s="887"/>
      <c r="I174" s="739">
        <f t="shared" si="4"/>
        <v>0.13</v>
      </c>
      <c r="J174" s="94"/>
      <c r="K174" s="94"/>
      <c r="L174" s="94"/>
      <c r="M174" s="94"/>
      <c r="N174" s="94"/>
      <c r="O174" s="594"/>
    </row>
    <row r="175" spans="1:15" x14ac:dyDescent="0.25">
      <c r="A175" s="887">
        <v>380</v>
      </c>
      <c r="B175" s="791" t="s">
        <v>1451</v>
      </c>
      <c r="C175" s="890" t="s">
        <v>1450</v>
      </c>
      <c r="D175" s="802">
        <v>0.75</v>
      </c>
      <c r="E175" s="887" t="s">
        <v>64</v>
      </c>
      <c r="F175" s="902">
        <v>2</v>
      </c>
      <c r="G175" s="887"/>
      <c r="H175" s="887"/>
      <c r="I175" s="739">
        <f t="shared" si="4"/>
        <v>1.5</v>
      </c>
      <c r="J175" s="94"/>
      <c r="K175" s="94"/>
      <c r="L175" s="94"/>
      <c r="M175" s="94"/>
      <c r="N175" s="94"/>
      <c r="O175" s="594"/>
    </row>
    <row r="176" spans="1:15" x14ac:dyDescent="0.25">
      <c r="A176" s="887">
        <v>390</v>
      </c>
      <c r="B176" s="791" t="s">
        <v>1449</v>
      </c>
      <c r="C176" s="903" t="s">
        <v>1448</v>
      </c>
      <c r="D176" s="802">
        <v>0.25</v>
      </c>
      <c r="E176" s="791" t="s">
        <v>64</v>
      </c>
      <c r="F176" s="902">
        <v>2</v>
      </c>
      <c r="G176" s="902"/>
      <c r="H176" s="902"/>
      <c r="I176" s="739">
        <f t="shared" si="4"/>
        <v>0.5</v>
      </c>
      <c r="J176" s="94"/>
      <c r="K176" s="94"/>
      <c r="L176" s="94"/>
      <c r="M176" s="94"/>
      <c r="N176" s="94"/>
      <c r="O176" s="594"/>
    </row>
    <row r="177" spans="1:15" x14ac:dyDescent="0.25">
      <c r="A177" s="887">
        <v>400</v>
      </c>
      <c r="B177" s="791" t="s">
        <v>1399</v>
      </c>
      <c r="C177" s="890" t="s">
        <v>1447</v>
      </c>
      <c r="D177" s="802">
        <v>0.13</v>
      </c>
      <c r="E177" s="887" t="s">
        <v>64</v>
      </c>
      <c r="F177" s="902">
        <v>1</v>
      </c>
      <c r="G177" s="887"/>
      <c r="H177" s="887"/>
      <c r="I177" s="739">
        <f t="shared" si="4"/>
        <v>0.13</v>
      </c>
      <c r="J177" s="94"/>
      <c r="K177" s="94"/>
      <c r="L177" s="94"/>
      <c r="M177" s="94"/>
      <c r="N177" s="94"/>
      <c r="O177" s="594"/>
    </row>
    <row r="178" spans="1:15" x14ac:dyDescent="0.25">
      <c r="A178" s="887">
        <v>410</v>
      </c>
      <c r="B178" s="791" t="s">
        <v>1399</v>
      </c>
      <c r="C178" s="890" t="s">
        <v>1446</v>
      </c>
      <c r="D178" s="802">
        <v>0.13</v>
      </c>
      <c r="E178" s="887" t="s">
        <v>64</v>
      </c>
      <c r="F178" s="902">
        <v>2</v>
      </c>
      <c r="G178" s="887"/>
      <c r="H178" s="887"/>
      <c r="I178" s="739">
        <f t="shared" si="4"/>
        <v>0.26</v>
      </c>
      <c r="J178" s="94"/>
      <c r="K178" s="94"/>
      <c r="L178" s="94"/>
      <c r="M178" s="94"/>
      <c r="N178" s="94"/>
      <c r="O178" s="594"/>
    </row>
    <row r="179" spans="1:15" x14ac:dyDescent="0.25">
      <c r="A179" s="887">
        <v>420</v>
      </c>
      <c r="B179" s="791" t="s">
        <v>328</v>
      </c>
      <c r="C179" s="890" t="s">
        <v>1445</v>
      </c>
      <c r="D179" s="802">
        <v>0.5</v>
      </c>
      <c r="E179" s="887" t="s">
        <v>64</v>
      </c>
      <c r="F179" s="902">
        <v>2</v>
      </c>
      <c r="G179" s="887"/>
      <c r="H179" s="887"/>
      <c r="I179" s="739">
        <f t="shared" si="4"/>
        <v>1</v>
      </c>
      <c r="J179" s="94"/>
      <c r="K179" s="94"/>
      <c r="L179" s="94"/>
      <c r="M179" s="94"/>
      <c r="N179" s="94"/>
      <c r="O179" s="594"/>
    </row>
    <row r="180" spans="1:15" x14ac:dyDescent="0.25">
      <c r="A180" s="887">
        <v>430</v>
      </c>
      <c r="B180" s="791" t="s">
        <v>1392</v>
      </c>
      <c r="C180" s="903" t="s">
        <v>1440</v>
      </c>
      <c r="D180" s="802">
        <v>0.25</v>
      </c>
      <c r="E180" s="791" t="s">
        <v>64</v>
      </c>
      <c r="F180" s="902">
        <v>2</v>
      </c>
      <c r="G180" s="902"/>
      <c r="H180" s="902"/>
      <c r="I180" s="739">
        <f t="shared" si="4"/>
        <v>0.5</v>
      </c>
      <c r="J180" s="94"/>
      <c r="K180" s="94"/>
      <c r="L180" s="94"/>
      <c r="M180" s="94"/>
      <c r="N180" s="94"/>
      <c r="O180" s="594"/>
    </row>
    <row r="181" spans="1:15" x14ac:dyDescent="0.25">
      <c r="A181" s="887">
        <v>440</v>
      </c>
      <c r="B181" s="791" t="s">
        <v>1399</v>
      </c>
      <c r="C181" s="890" t="s">
        <v>1444</v>
      </c>
      <c r="D181" s="802">
        <v>0.13</v>
      </c>
      <c r="E181" s="887" t="s">
        <v>64</v>
      </c>
      <c r="F181" s="902">
        <v>2</v>
      </c>
      <c r="G181" s="887"/>
      <c r="H181" s="887"/>
      <c r="I181" s="739">
        <f t="shared" si="4"/>
        <v>0.26</v>
      </c>
      <c r="J181" s="94"/>
      <c r="K181" s="94"/>
      <c r="L181" s="94"/>
      <c r="M181" s="94"/>
      <c r="N181" s="94"/>
      <c r="O181" s="594"/>
    </row>
    <row r="182" spans="1:15" x14ac:dyDescent="0.25">
      <c r="A182" s="887">
        <v>450</v>
      </c>
      <c r="B182" s="791" t="s">
        <v>1392</v>
      </c>
      <c r="C182" s="903" t="s">
        <v>1443</v>
      </c>
      <c r="D182" s="802">
        <v>0.25</v>
      </c>
      <c r="E182" s="791" t="s">
        <v>64</v>
      </c>
      <c r="F182" s="902">
        <v>2</v>
      </c>
      <c r="G182" s="902"/>
      <c r="H182" s="902"/>
      <c r="I182" s="739">
        <f t="shared" si="4"/>
        <v>0.5</v>
      </c>
      <c r="J182" s="94"/>
      <c r="K182" s="743"/>
      <c r="L182" s="742"/>
      <c r="M182" s="741"/>
      <c r="N182" s="94"/>
      <c r="O182" s="594"/>
    </row>
    <row r="183" spans="1:15" x14ac:dyDescent="0.25">
      <c r="A183" s="887">
        <v>460</v>
      </c>
      <c r="B183" s="791" t="s">
        <v>1399</v>
      </c>
      <c r="C183" s="890" t="s">
        <v>1442</v>
      </c>
      <c r="D183" s="802">
        <v>0.13</v>
      </c>
      <c r="E183" s="887" t="s">
        <v>64</v>
      </c>
      <c r="F183" s="902">
        <v>1</v>
      </c>
      <c r="G183" s="887"/>
      <c r="H183" s="887"/>
      <c r="I183" s="739">
        <f t="shared" si="4"/>
        <v>0.13</v>
      </c>
      <c r="J183" s="94"/>
      <c r="K183" s="94"/>
      <c r="L183" s="94"/>
      <c r="M183" s="94"/>
      <c r="N183" s="94"/>
      <c r="O183" s="594"/>
    </row>
    <row r="184" spans="1:15" x14ac:dyDescent="0.25">
      <c r="A184" s="887">
        <v>470</v>
      </c>
      <c r="B184" s="791" t="s">
        <v>328</v>
      </c>
      <c r="C184" s="890" t="s">
        <v>1441</v>
      </c>
      <c r="D184" s="802">
        <v>0.5</v>
      </c>
      <c r="E184" s="887" t="s">
        <v>64</v>
      </c>
      <c r="F184" s="902">
        <v>1</v>
      </c>
      <c r="G184" s="887"/>
      <c r="H184" s="887"/>
      <c r="I184" s="739">
        <f t="shared" si="4"/>
        <v>0.5</v>
      </c>
      <c r="J184" s="94"/>
      <c r="K184" s="94"/>
      <c r="L184" s="94"/>
      <c r="M184" s="94"/>
      <c r="N184" s="94"/>
      <c r="O184" s="594"/>
    </row>
    <row r="185" spans="1:15" x14ac:dyDescent="0.25">
      <c r="A185" s="887">
        <v>480</v>
      </c>
      <c r="B185" s="791" t="s">
        <v>1392</v>
      </c>
      <c r="C185" s="903" t="s">
        <v>1440</v>
      </c>
      <c r="D185" s="802">
        <v>0.25</v>
      </c>
      <c r="E185" s="791" t="s">
        <v>64</v>
      </c>
      <c r="F185" s="902">
        <v>1</v>
      </c>
      <c r="G185" s="902"/>
      <c r="H185" s="902"/>
      <c r="I185" s="739">
        <f t="shared" si="4"/>
        <v>0.25</v>
      </c>
      <c r="J185" s="94"/>
      <c r="K185" s="94"/>
      <c r="L185" s="94"/>
      <c r="M185" s="94"/>
      <c r="N185" s="94"/>
      <c r="O185" s="594"/>
    </row>
    <row r="186" spans="1:15" x14ac:dyDescent="0.25">
      <c r="A186" s="887">
        <v>490</v>
      </c>
      <c r="B186" s="791" t="s">
        <v>1399</v>
      </c>
      <c r="C186" s="890" t="s">
        <v>1439</v>
      </c>
      <c r="D186" s="802">
        <v>0.13</v>
      </c>
      <c r="E186" s="887" t="s">
        <v>64</v>
      </c>
      <c r="F186" s="902">
        <v>1</v>
      </c>
      <c r="G186" s="887"/>
      <c r="H186" s="887"/>
      <c r="I186" s="739">
        <f t="shared" si="4"/>
        <v>0.13</v>
      </c>
      <c r="J186" s="94"/>
      <c r="K186" s="94"/>
      <c r="L186" s="94"/>
      <c r="M186" s="94"/>
      <c r="N186" s="94"/>
      <c r="O186" s="594"/>
    </row>
    <row r="187" spans="1:15" x14ac:dyDescent="0.25">
      <c r="A187" s="887">
        <v>500</v>
      </c>
      <c r="B187" s="791" t="s">
        <v>1438</v>
      </c>
      <c r="C187" s="903" t="s">
        <v>1437</v>
      </c>
      <c r="D187" s="802">
        <v>0.5</v>
      </c>
      <c r="E187" s="791" t="s">
        <v>64</v>
      </c>
      <c r="F187" s="902">
        <v>1</v>
      </c>
      <c r="G187" s="902"/>
      <c r="H187" s="902"/>
      <c r="I187" s="739">
        <f t="shared" si="4"/>
        <v>0.5</v>
      </c>
      <c r="J187" s="94"/>
      <c r="K187" s="94"/>
      <c r="L187" s="94"/>
      <c r="M187" s="94"/>
      <c r="N187" s="94"/>
      <c r="O187" s="594"/>
    </row>
    <row r="188" spans="1:15" x14ac:dyDescent="0.25">
      <c r="A188" s="733"/>
      <c r="B188" s="705"/>
      <c r="C188" s="705"/>
      <c r="D188" s="705"/>
      <c r="E188" s="705"/>
      <c r="F188" s="705"/>
      <c r="G188" s="705"/>
      <c r="H188" s="732" t="s">
        <v>58</v>
      </c>
      <c r="I188" s="731">
        <f>SUM(I138:I187)</f>
        <v>23.55781</v>
      </c>
      <c r="J188" s="94"/>
      <c r="K188" s="94"/>
      <c r="L188" s="94"/>
      <c r="M188" s="94"/>
      <c r="N188" s="94"/>
      <c r="O188" s="93"/>
    </row>
    <row r="189" spans="1:15" x14ac:dyDescent="0.25">
      <c r="A189" s="107"/>
      <c r="B189" s="94"/>
      <c r="C189" s="94"/>
      <c r="D189" s="94"/>
      <c r="E189" s="94"/>
      <c r="F189" s="94"/>
      <c r="G189" s="94"/>
      <c r="H189" s="94"/>
      <c r="I189" s="94"/>
      <c r="J189" s="94"/>
      <c r="K189" s="94"/>
      <c r="L189" s="94"/>
      <c r="M189" s="94"/>
      <c r="N189" s="94"/>
      <c r="O189" s="93"/>
    </row>
    <row r="190" spans="1:15" x14ac:dyDescent="0.25">
      <c r="A190" s="729" t="s">
        <v>67</v>
      </c>
      <c r="B190" s="729" t="s">
        <v>82</v>
      </c>
      <c r="C190" s="729" t="s">
        <v>66</v>
      </c>
      <c r="D190" s="729" t="s">
        <v>65</v>
      </c>
      <c r="E190" s="729" t="s">
        <v>81</v>
      </c>
      <c r="F190" s="729" t="s">
        <v>80</v>
      </c>
      <c r="G190" s="729" t="s">
        <v>79</v>
      </c>
      <c r="H190" s="730" t="s">
        <v>78</v>
      </c>
      <c r="I190" s="730" t="s">
        <v>40</v>
      </c>
      <c r="J190" s="729" t="s">
        <v>58</v>
      </c>
      <c r="K190" s="94"/>
      <c r="L190" s="94"/>
      <c r="M190" s="94"/>
      <c r="N190" s="94"/>
      <c r="O190" s="93"/>
    </row>
    <row r="191" spans="1:15" x14ac:dyDescent="0.25">
      <c r="A191" s="887">
        <v>10</v>
      </c>
      <c r="B191" s="887" t="s">
        <v>184</v>
      </c>
      <c r="C191" s="890" t="s">
        <v>1436</v>
      </c>
      <c r="D191" s="889">
        <v>0.04</v>
      </c>
      <c r="E191" s="891">
        <v>6</v>
      </c>
      <c r="F191" s="891" t="s">
        <v>68</v>
      </c>
      <c r="G191" s="891">
        <v>20</v>
      </c>
      <c r="H191" s="891" t="s">
        <v>68</v>
      </c>
      <c r="I191" s="900">
        <v>2</v>
      </c>
      <c r="J191" s="182">
        <f t="shared" ref="J191:J220" si="5">I191*D191</f>
        <v>0.08</v>
      </c>
      <c r="K191" s="94"/>
      <c r="L191" s="94"/>
      <c r="M191" s="94"/>
      <c r="N191" s="94"/>
      <c r="O191" s="93"/>
    </row>
    <row r="192" spans="1:15" x14ac:dyDescent="0.25">
      <c r="A192" s="887">
        <v>20</v>
      </c>
      <c r="B192" s="887" t="s">
        <v>75</v>
      </c>
      <c r="C192" s="890" t="s">
        <v>1436</v>
      </c>
      <c r="D192" s="889">
        <v>0.03</v>
      </c>
      <c r="E192" s="887">
        <v>6</v>
      </c>
      <c r="F192" s="888" t="s">
        <v>68</v>
      </c>
      <c r="G192" s="887"/>
      <c r="H192" s="886"/>
      <c r="I192" s="900">
        <v>2</v>
      </c>
      <c r="J192" s="182">
        <f t="shared" si="5"/>
        <v>0.06</v>
      </c>
      <c r="K192" s="94"/>
      <c r="L192" s="94"/>
      <c r="M192" s="94"/>
      <c r="N192" s="94"/>
      <c r="O192" s="93"/>
    </row>
    <row r="193" spans="1:15" x14ac:dyDescent="0.25">
      <c r="A193" s="887">
        <v>30</v>
      </c>
      <c r="B193" s="738" t="s">
        <v>1386</v>
      </c>
      <c r="C193" s="890" t="s">
        <v>1436</v>
      </c>
      <c r="D193" s="889">
        <v>0.01</v>
      </c>
      <c r="E193" s="887">
        <v>6</v>
      </c>
      <c r="F193" s="888" t="s">
        <v>68</v>
      </c>
      <c r="G193" s="887"/>
      <c r="H193" s="886"/>
      <c r="I193" s="900">
        <v>4</v>
      </c>
      <c r="J193" s="182">
        <f t="shared" si="5"/>
        <v>0.04</v>
      </c>
      <c r="K193" s="94"/>
      <c r="L193" s="94"/>
      <c r="M193" s="94"/>
      <c r="N193" s="94"/>
      <c r="O193" s="93"/>
    </row>
    <row r="194" spans="1:15" x14ac:dyDescent="0.25">
      <c r="A194" s="887">
        <v>40</v>
      </c>
      <c r="B194" s="887" t="s">
        <v>184</v>
      </c>
      <c r="C194" s="890" t="s">
        <v>1435</v>
      </c>
      <c r="D194" s="889">
        <v>0.03</v>
      </c>
      <c r="E194" s="891">
        <v>4</v>
      </c>
      <c r="F194" s="891" t="s">
        <v>68</v>
      </c>
      <c r="G194" s="891">
        <v>30</v>
      </c>
      <c r="H194" s="891" t="s">
        <v>68</v>
      </c>
      <c r="I194" s="900">
        <v>1</v>
      </c>
      <c r="J194" s="182">
        <f t="shared" si="5"/>
        <v>0.03</v>
      </c>
      <c r="K194" s="94"/>
      <c r="L194" s="94"/>
      <c r="M194" s="94"/>
      <c r="N194" s="94"/>
      <c r="O194" s="93"/>
    </row>
    <row r="195" spans="1:15" x14ac:dyDescent="0.25">
      <c r="A195" s="887">
        <v>50</v>
      </c>
      <c r="B195" s="887" t="s">
        <v>75</v>
      </c>
      <c r="C195" s="890" t="s">
        <v>1435</v>
      </c>
      <c r="D195" s="889">
        <v>0.02</v>
      </c>
      <c r="E195" s="887">
        <v>4</v>
      </c>
      <c r="F195" s="888" t="s">
        <v>68</v>
      </c>
      <c r="G195" s="887"/>
      <c r="H195" s="886"/>
      <c r="I195" s="900">
        <v>1</v>
      </c>
      <c r="J195" s="182">
        <f t="shared" si="5"/>
        <v>0.02</v>
      </c>
      <c r="K195" s="94"/>
      <c r="L195" s="94"/>
      <c r="M195" s="94"/>
      <c r="N195" s="94"/>
      <c r="O195" s="93"/>
    </row>
    <row r="196" spans="1:15" x14ac:dyDescent="0.25">
      <c r="A196" s="887">
        <v>60</v>
      </c>
      <c r="B196" s="738" t="s">
        <v>1386</v>
      </c>
      <c r="C196" s="890" t="s">
        <v>1435</v>
      </c>
      <c r="D196" s="889">
        <v>0.01</v>
      </c>
      <c r="E196" s="887">
        <v>4</v>
      </c>
      <c r="F196" s="888" t="s">
        <v>68</v>
      </c>
      <c r="G196" s="887"/>
      <c r="H196" s="886"/>
      <c r="I196" s="900">
        <v>2</v>
      </c>
      <c r="J196" s="182">
        <f t="shared" si="5"/>
        <v>0.02</v>
      </c>
      <c r="K196" s="94"/>
      <c r="L196" s="94"/>
      <c r="M196" s="94"/>
      <c r="N196" s="94"/>
      <c r="O196" s="93"/>
    </row>
    <row r="197" spans="1:15" x14ac:dyDescent="0.25">
      <c r="A197" s="887">
        <v>70</v>
      </c>
      <c r="B197" s="887" t="s">
        <v>184</v>
      </c>
      <c r="C197" s="890" t="s">
        <v>1434</v>
      </c>
      <c r="D197" s="889">
        <v>0.04</v>
      </c>
      <c r="E197" s="891">
        <v>6</v>
      </c>
      <c r="F197" s="891" t="s">
        <v>68</v>
      </c>
      <c r="G197" s="891">
        <v>15</v>
      </c>
      <c r="H197" s="891" t="s">
        <v>68</v>
      </c>
      <c r="I197" s="900">
        <v>2</v>
      </c>
      <c r="J197" s="182">
        <f t="shared" si="5"/>
        <v>0.08</v>
      </c>
      <c r="K197" s="94"/>
      <c r="L197" s="94"/>
      <c r="M197" s="94"/>
      <c r="N197" s="94"/>
      <c r="O197" s="93"/>
    </row>
    <row r="198" spans="1:15" x14ac:dyDescent="0.25">
      <c r="A198" s="887">
        <v>80</v>
      </c>
      <c r="B198" s="887" t="s">
        <v>75</v>
      </c>
      <c r="C198" s="890" t="s">
        <v>1434</v>
      </c>
      <c r="D198" s="889">
        <v>0.03</v>
      </c>
      <c r="E198" s="887">
        <v>6</v>
      </c>
      <c r="F198" s="888" t="s">
        <v>68</v>
      </c>
      <c r="G198" s="887"/>
      <c r="H198" s="886"/>
      <c r="I198" s="900">
        <v>2</v>
      </c>
      <c r="J198" s="182">
        <f t="shared" si="5"/>
        <v>0.06</v>
      </c>
      <c r="K198" s="94"/>
      <c r="L198" s="94"/>
      <c r="M198" s="94"/>
      <c r="N198" s="94"/>
      <c r="O198" s="93"/>
    </row>
    <row r="199" spans="1:15" x14ac:dyDescent="0.25">
      <c r="A199" s="887">
        <v>90</v>
      </c>
      <c r="B199" s="738" t="s">
        <v>1386</v>
      </c>
      <c r="C199" s="890" t="s">
        <v>1434</v>
      </c>
      <c r="D199" s="889">
        <v>0.01</v>
      </c>
      <c r="E199" s="887">
        <v>6</v>
      </c>
      <c r="F199" s="888" t="s">
        <v>68</v>
      </c>
      <c r="G199" s="887"/>
      <c r="H199" s="886"/>
      <c r="I199" s="900">
        <v>4</v>
      </c>
      <c r="J199" s="182">
        <f t="shared" si="5"/>
        <v>0.04</v>
      </c>
      <c r="K199" s="94"/>
      <c r="L199" s="94"/>
      <c r="M199" s="94"/>
      <c r="N199" s="94"/>
      <c r="O199" s="93"/>
    </row>
    <row r="200" spans="1:15" ht="30" x14ac:dyDescent="0.25">
      <c r="A200" s="887">
        <v>100</v>
      </c>
      <c r="B200" s="887" t="s">
        <v>184</v>
      </c>
      <c r="C200" s="890" t="s">
        <v>1433</v>
      </c>
      <c r="D200" s="889">
        <v>0.03</v>
      </c>
      <c r="E200" s="891">
        <v>4</v>
      </c>
      <c r="F200" s="891" t="s">
        <v>68</v>
      </c>
      <c r="G200" s="891">
        <v>30</v>
      </c>
      <c r="H200" s="891" t="s">
        <v>68</v>
      </c>
      <c r="I200" s="900">
        <v>1</v>
      </c>
      <c r="J200" s="182">
        <f t="shared" si="5"/>
        <v>0.03</v>
      </c>
      <c r="K200" s="94"/>
      <c r="L200" s="94"/>
      <c r="M200" s="94"/>
      <c r="N200" s="94"/>
      <c r="O200" s="93"/>
    </row>
    <row r="201" spans="1:15" ht="30" x14ac:dyDescent="0.25">
      <c r="A201" s="887">
        <v>110</v>
      </c>
      <c r="B201" s="887" t="s">
        <v>75</v>
      </c>
      <c r="C201" s="890" t="s">
        <v>1433</v>
      </c>
      <c r="D201" s="889">
        <v>0.02</v>
      </c>
      <c r="E201" s="887">
        <v>4</v>
      </c>
      <c r="F201" s="888" t="s">
        <v>68</v>
      </c>
      <c r="G201" s="887"/>
      <c r="H201" s="886"/>
      <c r="I201" s="900">
        <v>1</v>
      </c>
      <c r="J201" s="182">
        <f t="shared" si="5"/>
        <v>0.02</v>
      </c>
      <c r="K201" s="94"/>
      <c r="L201" s="94"/>
      <c r="M201" s="94"/>
      <c r="N201" s="94"/>
      <c r="O201" s="93"/>
    </row>
    <row r="202" spans="1:15" ht="30" x14ac:dyDescent="0.25">
      <c r="A202" s="887">
        <v>120</v>
      </c>
      <c r="B202" s="738" t="s">
        <v>1386</v>
      </c>
      <c r="C202" s="890" t="s">
        <v>1433</v>
      </c>
      <c r="D202" s="889">
        <v>0.01</v>
      </c>
      <c r="E202" s="887">
        <v>4</v>
      </c>
      <c r="F202" s="888" t="s">
        <v>68</v>
      </c>
      <c r="G202" s="887"/>
      <c r="H202" s="886"/>
      <c r="I202" s="900">
        <v>2</v>
      </c>
      <c r="J202" s="182">
        <f t="shared" si="5"/>
        <v>0.02</v>
      </c>
      <c r="K202" s="94"/>
      <c r="L202" s="94"/>
      <c r="M202" s="94"/>
      <c r="N202" s="94"/>
      <c r="O202" s="93"/>
    </row>
    <row r="203" spans="1:15" ht="30" x14ac:dyDescent="0.25">
      <c r="A203" s="887">
        <v>130</v>
      </c>
      <c r="B203" s="887" t="s">
        <v>184</v>
      </c>
      <c r="C203" s="890" t="s">
        <v>1432</v>
      </c>
      <c r="D203" s="889">
        <v>0.08</v>
      </c>
      <c r="E203" s="891">
        <v>6</v>
      </c>
      <c r="F203" s="891" t="s">
        <v>68</v>
      </c>
      <c r="G203" s="891">
        <v>35</v>
      </c>
      <c r="H203" s="891" t="s">
        <v>68</v>
      </c>
      <c r="I203" s="900">
        <v>1</v>
      </c>
      <c r="J203" s="182">
        <f t="shared" si="5"/>
        <v>0.08</v>
      </c>
      <c r="K203" s="94"/>
      <c r="L203" s="94"/>
      <c r="M203" s="94"/>
      <c r="N203" s="94"/>
      <c r="O203" s="93"/>
    </row>
    <row r="204" spans="1:15" ht="30" x14ac:dyDescent="0.25">
      <c r="A204" s="887">
        <v>140</v>
      </c>
      <c r="B204" s="887" t="s">
        <v>75</v>
      </c>
      <c r="C204" s="890" t="s">
        <v>1432</v>
      </c>
      <c r="D204" s="889">
        <v>0.03</v>
      </c>
      <c r="E204" s="887">
        <v>6</v>
      </c>
      <c r="F204" s="888" t="s">
        <v>68</v>
      </c>
      <c r="G204" s="887"/>
      <c r="H204" s="886"/>
      <c r="I204" s="900">
        <v>1</v>
      </c>
      <c r="J204" s="182">
        <f t="shared" si="5"/>
        <v>0.03</v>
      </c>
      <c r="K204" s="94"/>
      <c r="L204" s="94"/>
      <c r="M204" s="94"/>
      <c r="N204" s="94"/>
      <c r="O204" s="93"/>
    </row>
    <row r="205" spans="1:15" ht="30" x14ac:dyDescent="0.25">
      <c r="A205" s="887">
        <v>150</v>
      </c>
      <c r="B205" s="738" t="s">
        <v>1386</v>
      </c>
      <c r="C205" s="890" t="s">
        <v>1432</v>
      </c>
      <c r="D205" s="889">
        <v>0.01</v>
      </c>
      <c r="E205" s="887">
        <v>6</v>
      </c>
      <c r="F205" s="888" t="s">
        <v>68</v>
      </c>
      <c r="G205" s="887"/>
      <c r="H205" s="886"/>
      <c r="I205" s="900">
        <v>2</v>
      </c>
      <c r="J205" s="182">
        <f t="shared" si="5"/>
        <v>0.02</v>
      </c>
      <c r="K205" s="94"/>
      <c r="L205" s="94"/>
      <c r="M205" s="94"/>
      <c r="N205" s="94"/>
      <c r="O205" s="93"/>
    </row>
    <row r="206" spans="1:15" x14ac:dyDescent="0.25">
      <c r="A206" s="887">
        <v>160</v>
      </c>
      <c r="B206" s="887" t="s">
        <v>184</v>
      </c>
      <c r="C206" s="890" t="s">
        <v>1431</v>
      </c>
      <c r="D206" s="889">
        <v>0.14000000000000001</v>
      </c>
      <c r="E206" s="891">
        <v>8</v>
      </c>
      <c r="F206" s="891" t="s">
        <v>68</v>
      </c>
      <c r="G206" s="891">
        <v>35</v>
      </c>
      <c r="H206" s="891" t="s">
        <v>68</v>
      </c>
      <c r="I206" s="900">
        <v>2</v>
      </c>
      <c r="J206" s="182">
        <f t="shared" si="5"/>
        <v>0.28000000000000003</v>
      </c>
      <c r="K206" s="94"/>
      <c r="L206" s="94"/>
      <c r="M206" s="94"/>
      <c r="N206" s="94"/>
      <c r="O206" s="93"/>
    </row>
    <row r="207" spans="1:15" x14ac:dyDescent="0.25">
      <c r="A207" s="887">
        <v>170</v>
      </c>
      <c r="B207" s="887" t="s">
        <v>75</v>
      </c>
      <c r="C207" s="890" t="s">
        <v>1431</v>
      </c>
      <c r="D207" s="889">
        <v>0.04</v>
      </c>
      <c r="E207" s="887">
        <v>8</v>
      </c>
      <c r="F207" s="888" t="s">
        <v>68</v>
      </c>
      <c r="G207" s="887"/>
      <c r="H207" s="886"/>
      <c r="I207" s="900">
        <v>2</v>
      </c>
      <c r="J207" s="182">
        <f t="shared" si="5"/>
        <v>0.08</v>
      </c>
      <c r="K207" s="94"/>
      <c r="L207" s="94"/>
      <c r="M207" s="94"/>
      <c r="N207" s="94"/>
      <c r="O207" s="93"/>
    </row>
    <row r="208" spans="1:15" x14ac:dyDescent="0.25">
      <c r="A208" s="887">
        <v>180</v>
      </c>
      <c r="B208" s="738" t="s">
        <v>1386</v>
      </c>
      <c r="C208" s="890" t="s">
        <v>1431</v>
      </c>
      <c r="D208" s="889">
        <v>0.01</v>
      </c>
      <c r="E208" s="887">
        <v>8</v>
      </c>
      <c r="F208" s="888" t="s">
        <v>68</v>
      </c>
      <c r="G208" s="887"/>
      <c r="H208" s="886"/>
      <c r="I208" s="900">
        <v>4</v>
      </c>
      <c r="J208" s="182">
        <f t="shared" si="5"/>
        <v>0.04</v>
      </c>
      <c r="K208" s="94"/>
      <c r="L208" s="94"/>
      <c r="M208" s="94"/>
      <c r="N208" s="94"/>
      <c r="O208" s="93"/>
    </row>
    <row r="209" spans="1:15" x14ac:dyDescent="0.25">
      <c r="A209" s="887">
        <v>190</v>
      </c>
      <c r="B209" s="887" t="s">
        <v>184</v>
      </c>
      <c r="C209" s="890" t="s">
        <v>1430</v>
      </c>
      <c r="D209" s="889">
        <v>0.08</v>
      </c>
      <c r="E209" s="891">
        <v>6</v>
      </c>
      <c r="F209" s="891" t="s">
        <v>68</v>
      </c>
      <c r="G209" s="891">
        <v>35</v>
      </c>
      <c r="H209" s="891" t="s">
        <v>68</v>
      </c>
      <c r="I209" s="900">
        <v>2</v>
      </c>
      <c r="J209" s="182">
        <f t="shared" si="5"/>
        <v>0.16</v>
      </c>
      <c r="K209" s="94"/>
      <c r="L209" s="94"/>
      <c r="M209" s="94"/>
      <c r="N209" s="94"/>
      <c r="O209" s="93"/>
    </row>
    <row r="210" spans="1:15" x14ac:dyDescent="0.25">
      <c r="A210" s="887">
        <v>200</v>
      </c>
      <c r="B210" s="887" t="s">
        <v>75</v>
      </c>
      <c r="C210" s="890" t="s">
        <v>1430</v>
      </c>
      <c r="D210" s="889">
        <v>0.03</v>
      </c>
      <c r="E210" s="887">
        <v>6</v>
      </c>
      <c r="F210" s="888" t="s">
        <v>68</v>
      </c>
      <c r="G210" s="887"/>
      <c r="H210" s="886"/>
      <c r="I210" s="900">
        <v>2</v>
      </c>
      <c r="J210" s="182">
        <f t="shared" si="5"/>
        <v>0.06</v>
      </c>
      <c r="K210" s="94"/>
      <c r="L210" s="94"/>
      <c r="M210" s="94"/>
      <c r="N210" s="94"/>
      <c r="O210" s="93"/>
    </row>
    <row r="211" spans="1:15" x14ac:dyDescent="0.25">
      <c r="A211" s="887">
        <v>210</v>
      </c>
      <c r="B211" s="738" t="s">
        <v>1386</v>
      </c>
      <c r="C211" s="890" t="s">
        <v>1430</v>
      </c>
      <c r="D211" s="889">
        <v>0.01</v>
      </c>
      <c r="E211" s="887">
        <v>6</v>
      </c>
      <c r="F211" s="888" t="s">
        <v>68</v>
      </c>
      <c r="G211" s="887"/>
      <c r="H211" s="886"/>
      <c r="I211" s="900">
        <v>4</v>
      </c>
      <c r="J211" s="182">
        <f t="shared" si="5"/>
        <v>0.04</v>
      </c>
      <c r="K211" s="94"/>
      <c r="L211" s="94"/>
      <c r="M211" s="94"/>
      <c r="N211" s="94"/>
      <c r="O211" s="93"/>
    </row>
    <row r="212" spans="1:15" x14ac:dyDescent="0.25">
      <c r="A212" s="887">
        <v>220</v>
      </c>
      <c r="B212" s="887" t="s">
        <v>184</v>
      </c>
      <c r="C212" s="890" t="s">
        <v>1430</v>
      </c>
      <c r="D212" s="889">
        <v>0.18</v>
      </c>
      <c r="E212" s="891">
        <v>6</v>
      </c>
      <c r="F212" s="891" t="s">
        <v>68</v>
      </c>
      <c r="G212" s="891">
        <v>70</v>
      </c>
      <c r="H212" s="891" t="s">
        <v>68</v>
      </c>
      <c r="I212" s="900">
        <v>1</v>
      </c>
      <c r="J212" s="182">
        <f t="shared" si="5"/>
        <v>0.18</v>
      </c>
      <c r="K212" s="94"/>
      <c r="L212" s="94"/>
      <c r="M212" s="94"/>
      <c r="N212" s="94"/>
      <c r="O212" s="93"/>
    </row>
    <row r="213" spans="1:15" x14ac:dyDescent="0.25">
      <c r="A213" s="887">
        <v>230</v>
      </c>
      <c r="B213" s="887" t="s">
        <v>75</v>
      </c>
      <c r="C213" s="890" t="s">
        <v>1430</v>
      </c>
      <c r="D213" s="889">
        <v>0.03</v>
      </c>
      <c r="E213" s="887">
        <v>6</v>
      </c>
      <c r="F213" s="888" t="s">
        <v>68</v>
      </c>
      <c r="G213" s="887"/>
      <c r="H213" s="886"/>
      <c r="I213" s="900">
        <v>1</v>
      </c>
      <c r="J213" s="182">
        <f t="shared" si="5"/>
        <v>0.03</v>
      </c>
      <c r="K213" s="94"/>
      <c r="L213" s="94"/>
      <c r="M213" s="94"/>
      <c r="N213" s="94"/>
      <c r="O213" s="93"/>
    </row>
    <row r="214" spans="1:15" x14ac:dyDescent="0.25">
      <c r="A214" s="887">
        <v>240</v>
      </c>
      <c r="B214" s="738" t="s">
        <v>1386</v>
      </c>
      <c r="C214" s="890" t="s">
        <v>1430</v>
      </c>
      <c r="D214" s="889">
        <v>0.01</v>
      </c>
      <c r="E214" s="887">
        <v>6</v>
      </c>
      <c r="F214" s="888" t="s">
        <v>68</v>
      </c>
      <c r="G214" s="887"/>
      <c r="H214" s="886"/>
      <c r="I214" s="900">
        <v>2</v>
      </c>
      <c r="J214" s="182">
        <f t="shared" si="5"/>
        <v>0.02</v>
      </c>
      <c r="K214" s="94"/>
      <c r="L214" s="94"/>
      <c r="M214" s="94"/>
      <c r="N214" s="94"/>
      <c r="O214" s="93"/>
    </row>
    <row r="215" spans="1:15" x14ac:dyDescent="0.25">
      <c r="A215" s="887">
        <v>250</v>
      </c>
      <c r="B215" s="887" t="s">
        <v>184</v>
      </c>
      <c r="C215" s="890" t="s">
        <v>1430</v>
      </c>
      <c r="D215" s="889">
        <v>0.27</v>
      </c>
      <c r="E215" s="891">
        <v>10</v>
      </c>
      <c r="F215" s="891" t="s">
        <v>68</v>
      </c>
      <c r="G215" s="891">
        <v>40</v>
      </c>
      <c r="H215" s="891" t="s">
        <v>68</v>
      </c>
      <c r="I215" s="900">
        <v>2</v>
      </c>
      <c r="J215" s="182">
        <f t="shared" si="5"/>
        <v>0.54</v>
      </c>
      <c r="K215" s="94"/>
      <c r="L215" s="94"/>
      <c r="M215" s="94"/>
      <c r="N215" s="94"/>
      <c r="O215" s="93"/>
    </row>
    <row r="216" spans="1:15" x14ac:dyDescent="0.25">
      <c r="A216" s="887">
        <v>260</v>
      </c>
      <c r="B216" s="887" t="s">
        <v>75</v>
      </c>
      <c r="C216" s="890" t="s">
        <v>1430</v>
      </c>
      <c r="D216" s="889">
        <v>7.0000000000000007E-2</v>
      </c>
      <c r="E216" s="887">
        <v>10</v>
      </c>
      <c r="F216" s="888" t="s">
        <v>68</v>
      </c>
      <c r="G216" s="887"/>
      <c r="H216" s="886"/>
      <c r="I216" s="900">
        <v>2</v>
      </c>
      <c r="J216" s="182">
        <f t="shared" si="5"/>
        <v>0.14000000000000001</v>
      </c>
      <c r="K216" s="94"/>
      <c r="L216" s="94"/>
      <c r="M216" s="94"/>
      <c r="N216" s="94"/>
      <c r="O216" s="93"/>
    </row>
    <row r="217" spans="1:15" x14ac:dyDescent="0.25">
      <c r="A217" s="887">
        <v>270</v>
      </c>
      <c r="B217" s="901" t="s">
        <v>1386</v>
      </c>
      <c r="C217" s="890" t="s">
        <v>1430</v>
      </c>
      <c r="D217" s="889">
        <v>0.01</v>
      </c>
      <c r="E217" s="887">
        <v>10</v>
      </c>
      <c r="F217" s="888" t="s">
        <v>68</v>
      </c>
      <c r="G217" s="887"/>
      <c r="H217" s="886"/>
      <c r="I217" s="900">
        <v>4</v>
      </c>
      <c r="J217" s="182">
        <f t="shared" si="5"/>
        <v>0.04</v>
      </c>
      <c r="K217" s="94"/>
      <c r="L217" s="94"/>
      <c r="M217" s="94"/>
      <c r="N217" s="94"/>
      <c r="O217" s="93"/>
    </row>
    <row r="218" spans="1:15" x14ac:dyDescent="0.25">
      <c r="A218" s="887">
        <v>280</v>
      </c>
      <c r="B218" s="887" t="s">
        <v>184</v>
      </c>
      <c r="C218" s="890" t="s">
        <v>1429</v>
      </c>
      <c r="D218" s="889">
        <v>0.08</v>
      </c>
      <c r="E218" s="891">
        <v>6</v>
      </c>
      <c r="F218" s="891" t="s">
        <v>68</v>
      </c>
      <c r="G218" s="891">
        <v>35</v>
      </c>
      <c r="H218" s="891" t="s">
        <v>68</v>
      </c>
      <c r="I218" s="900">
        <v>2</v>
      </c>
      <c r="J218" s="182">
        <f t="shared" si="5"/>
        <v>0.16</v>
      </c>
      <c r="K218" s="94"/>
      <c r="L218" s="94"/>
      <c r="M218" s="94"/>
      <c r="N218" s="94"/>
      <c r="O218" s="93"/>
    </row>
    <row r="219" spans="1:15" x14ac:dyDescent="0.25">
      <c r="A219" s="887">
        <v>290</v>
      </c>
      <c r="B219" s="887" t="s">
        <v>75</v>
      </c>
      <c r="C219" s="890" t="s">
        <v>1429</v>
      </c>
      <c r="D219" s="889">
        <v>0.04</v>
      </c>
      <c r="E219" s="887">
        <v>10</v>
      </c>
      <c r="F219" s="888" t="s">
        <v>68</v>
      </c>
      <c r="G219" s="887"/>
      <c r="H219" s="886"/>
      <c r="I219" s="900">
        <v>2</v>
      </c>
      <c r="J219" s="182">
        <f t="shared" si="5"/>
        <v>0.08</v>
      </c>
      <c r="K219" s="94"/>
      <c r="L219" s="94"/>
      <c r="M219" s="94"/>
      <c r="N219" s="94"/>
      <c r="O219" s="93"/>
    </row>
    <row r="220" spans="1:15" x14ac:dyDescent="0.25">
      <c r="A220" s="887">
        <v>300</v>
      </c>
      <c r="B220" s="901" t="s">
        <v>1386</v>
      </c>
      <c r="C220" s="890" t="s">
        <v>1429</v>
      </c>
      <c r="D220" s="889">
        <v>0.01</v>
      </c>
      <c r="E220" s="887">
        <v>10</v>
      </c>
      <c r="F220" s="888" t="s">
        <v>68</v>
      </c>
      <c r="G220" s="887"/>
      <c r="H220" s="886"/>
      <c r="I220" s="900">
        <v>4</v>
      </c>
      <c r="J220" s="182">
        <f t="shared" si="5"/>
        <v>0.04</v>
      </c>
      <c r="K220" s="94"/>
      <c r="L220" s="94"/>
      <c r="M220" s="94"/>
      <c r="N220" s="94"/>
      <c r="O220" s="93"/>
    </row>
    <row r="221" spans="1:15" x14ac:dyDescent="0.25">
      <c r="A221" s="98"/>
      <c r="B221" s="95"/>
      <c r="C221" s="95"/>
      <c r="D221" s="95"/>
      <c r="E221" s="95"/>
      <c r="F221" s="95"/>
      <c r="G221" s="95"/>
      <c r="H221" s="95"/>
      <c r="I221" s="728" t="s">
        <v>58</v>
      </c>
      <c r="J221" s="727">
        <f>SUM(J191:J220)</f>
        <v>2.5200000000000005</v>
      </c>
      <c r="K221" s="94"/>
      <c r="L221" s="94"/>
      <c r="M221" s="94"/>
      <c r="N221" s="94"/>
      <c r="O221" s="93"/>
    </row>
    <row r="222" spans="1:15" x14ac:dyDescent="0.25">
      <c r="A222" s="98"/>
      <c r="B222" s="95"/>
      <c r="C222" s="95"/>
      <c r="D222" s="95"/>
      <c r="E222" s="95"/>
      <c r="F222" s="95"/>
      <c r="G222" s="95"/>
      <c r="H222" s="95"/>
      <c r="K222" s="94"/>
      <c r="L222" s="94"/>
      <c r="M222" s="94"/>
      <c r="N222" s="94"/>
      <c r="O222" s="93"/>
    </row>
    <row r="223" spans="1:15" x14ac:dyDescent="0.25">
      <c r="A223" s="875" t="s">
        <v>67</v>
      </c>
      <c r="B223" s="875" t="s">
        <v>13</v>
      </c>
      <c r="C223" s="875" t="s">
        <v>66</v>
      </c>
      <c r="D223" s="875" t="s">
        <v>65</v>
      </c>
      <c r="E223" s="875" t="s">
        <v>64</v>
      </c>
      <c r="F223" s="875" t="s">
        <v>40</v>
      </c>
      <c r="G223" s="875" t="s">
        <v>63</v>
      </c>
      <c r="H223" s="875" t="s">
        <v>62</v>
      </c>
      <c r="I223" s="875" t="s">
        <v>58</v>
      </c>
      <c r="K223" s="94"/>
      <c r="L223" s="94"/>
      <c r="M223" s="94"/>
      <c r="N223" s="94"/>
      <c r="O223" s="93"/>
    </row>
    <row r="224" spans="1:15" x14ac:dyDescent="0.25">
      <c r="A224" s="887">
        <v>10</v>
      </c>
      <c r="B224" s="887" t="s">
        <v>61</v>
      </c>
      <c r="C224" s="890" t="s">
        <v>1428</v>
      </c>
      <c r="D224" s="790">
        <v>500</v>
      </c>
      <c r="E224" s="887" t="s">
        <v>59</v>
      </c>
      <c r="F224" s="887">
        <v>16</v>
      </c>
      <c r="G224" s="887">
        <v>3000</v>
      </c>
      <c r="H224" s="887">
        <v>1</v>
      </c>
      <c r="I224" s="800">
        <f>D224*F224/(G224*H224)</f>
        <v>2.6666666666666665</v>
      </c>
      <c r="K224" s="94"/>
      <c r="L224" s="94"/>
      <c r="M224" s="94"/>
      <c r="N224" s="94"/>
      <c r="O224" s="93"/>
    </row>
    <row r="225" spans="1:15" x14ac:dyDescent="0.25">
      <c r="A225" s="726"/>
      <c r="B225" s="726"/>
      <c r="C225" s="726"/>
      <c r="D225" s="726"/>
      <c r="E225" s="726"/>
      <c r="F225" s="726"/>
      <c r="G225" s="726"/>
      <c r="H225" s="885" t="s">
        <v>58</v>
      </c>
      <c r="I225" s="874">
        <f>I224</f>
        <v>2.6666666666666665</v>
      </c>
      <c r="K225" s="94"/>
      <c r="L225" s="94"/>
      <c r="M225" s="94"/>
      <c r="N225" s="94"/>
      <c r="O225" s="93"/>
    </row>
    <row r="226" spans="1:15" x14ac:dyDescent="0.25">
      <c r="A226" s="726"/>
      <c r="B226" s="726"/>
      <c r="C226" s="726"/>
      <c r="D226" s="726"/>
      <c r="E226" s="726"/>
      <c r="F226" s="726"/>
      <c r="G226" s="726"/>
      <c r="K226" s="94"/>
      <c r="L226" s="94"/>
      <c r="M226" s="94"/>
      <c r="N226" s="94"/>
      <c r="O226" s="93"/>
    </row>
    <row r="227" spans="1:15" ht="15.75" thickBot="1" x14ac:dyDescent="0.3">
      <c r="A227" s="92"/>
      <c r="B227" s="91"/>
      <c r="C227" s="91"/>
      <c r="D227" s="91"/>
      <c r="E227" s="91"/>
      <c r="F227" s="91"/>
      <c r="G227" s="91"/>
      <c r="H227" s="91"/>
      <c r="I227" s="91"/>
      <c r="J227" s="91"/>
      <c r="K227" s="91"/>
      <c r="L227" s="91"/>
      <c r="M227" s="91"/>
      <c r="N227" s="91"/>
      <c r="O227" s="90"/>
    </row>
    <row r="228" spans="1:15" ht="15.75" thickBot="1" x14ac:dyDescent="0.3"/>
    <row r="229" spans="1:15" x14ac:dyDescent="0.25">
      <c r="A229" s="141"/>
      <c r="B229" s="140"/>
      <c r="C229" s="140"/>
      <c r="D229" s="140"/>
      <c r="E229" s="140"/>
      <c r="F229" s="140"/>
      <c r="G229" s="140"/>
      <c r="H229" s="140"/>
      <c r="I229" s="140"/>
      <c r="J229" s="140"/>
      <c r="K229" s="140"/>
      <c r="L229" s="140"/>
      <c r="M229" s="140"/>
      <c r="N229" s="140"/>
      <c r="O229" s="139"/>
    </row>
    <row r="230" spans="1:15" x14ac:dyDescent="0.25">
      <c r="A230" s="729" t="s">
        <v>57</v>
      </c>
      <c r="B230" s="133" t="s">
        <v>523</v>
      </c>
      <c r="C230" s="94"/>
      <c r="D230" s="94"/>
      <c r="E230" s="94"/>
      <c r="F230" s="94"/>
      <c r="G230" s="94"/>
      <c r="H230" s="94"/>
      <c r="I230" s="94"/>
      <c r="J230" s="729" t="s">
        <v>51</v>
      </c>
      <c r="K230" s="138">
        <v>81</v>
      </c>
      <c r="L230" s="94"/>
      <c r="M230" s="729" t="s">
        <v>126</v>
      </c>
      <c r="N230" s="137">
        <f>E243+FR_A0005_p+FR_A0005_f+FR_A0005_m+FR_A0005_t</f>
        <v>60.263297201793129</v>
      </c>
      <c r="O230" s="93"/>
    </row>
    <row r="231" spans="1:15" x14ac:dyDescent="0.25">
      <c r="A231" s="729" t="s">
        <v>125</v>
      </c>
      <c r="B231" s="133" t="s">
        <v>1412</v>
      </c>
      <c r="C231" s="94"/>
      <c r="D231" s="94"/>
      <c r="E231" s="94"/>
      <c r="F231" s="94"/>
      <c r="G231" s="94"/>
      <c r="H231" s="94"/>
      <c r="I231" s="94"/>
      <c r="J231" s="94"/>
      <c r="K231" s="94"/>
      <c r="L231" s="94"/>
      <c r="M231" s="729" t="s">
        <v>124</v>
      </c>
      <c r="N231" s="136">
        <v>1</v>
      </c>
      <c r="O231" s="93"/>
    </row>
    <row r="232" spans="1:15" x14ac:dyDescent="0.25">
      <c r="A232" s="729" t="s">
        <v>123</v>
      </c>
      <c r="B232" s="740" t="s">
        <v>1426</v>
      </c>
      <c r="C232" s="94"/>
      <c r="D232" s="94"/>
      <c r="E232" s="94"/>
      <c r="F232" s="94"/>
      <c r="G232" s="94"/>
      <c r="H232" s="94"/>
      <c r="I232" s="94"/>
      <c r="J232" s="736" t="s">
        <v>122</v>
      </c>
      <c r="K232" s="94"/>
      <c r="L232" s="94"/>
      <c r="M232" s="94"/>
      <c r="N232" s="94"/>
      <c r="O232" s="93"/>
    </row>
    <row r="233" spans="1:15" x14ac:dyDescent="0.25">
      <c r="A233" s="729" t="s">
        <v>121</v>
      </c>
      <c r="B233" s="135" t="s">
        <v>1427</v>
      </c>
      <c r="C233" s="94"/>
      <c r="D233" s="94"/>
      <c r="E233" s="94"/>
      <c r="F233" s="94"/>
      <c r="G233" s="94"/>
      <c r="H233" s="94"/>
      <c r="I233" s="94"/>
      <c r="J233" s="736" t="s">
        <v>119</v>
      </c>
      <c r="K233" s="94"/>
      <c r="L233" s="94"/>
      <c r="M233" s="729" t="s">
        <v>118</v>
      </c>
      <c r="N233" s="100">
        <f>N230*N231</f>
        <v>60.263297201793129</v>
      </c>
      <c r="O233" s="93"/>
    </row>
    <row r="234" spans="1:15" x14ac:dyDescent="0.25">
      <c r="A234" s="729" t="s">
        <v>117</v>
      </c>
      <c r="B234" s="133" t="s">
        <v>23</v>
      </c>
      <c r="C234" s="94"/>
      <c r="D234" s="94"/>
      <c r="E234" s="94"/>
      <c r="F234" s="94"/>
      <c r="G234" s="94"/>
      <c r="H234" s="94"/>
      <c r="I234" s="94"/>
      <c r="J234" s="736" t="s">
        <v>116</v>
      </c>
      <c r="K234" s="94"/>
      <c r="L234" s="94"/>
      <c r="M234" s="94"/>
      <c r="N234" s="94"/>
      <c r="O234" s="93"/>
    </row>
    <row r="235" spans="1:15" x14ac:dyDescent="0.25">
      <c r="A235" s="729" t="s">
        <v>115</v>
      </c>
      <c r="B235" s="740" t="s">
        <v>1426</v>
      </c>
      <c r="C235" s="94"/>
      <c r="D235" s="94"/>
      <c r="E235" s="94"/>
      <c r="F235" s="94"/>
      <c r="G235" s="94"/>
      <c r="H235" s="94"/>
      <c r="I235" s="94"/>
      <c r="J235" s="94"/>
      <c r="K235" s="94"/>
      <c r="L235" s="94"/>
      <c r="M235" s="94"/>
      <c r="N235" s="94"/>
      <c r="O235" s="93"/>
    </row>
    <row r="236" spans="1:15" x14ac:dyDescent="0.25">
      <c r="A236" s="107"/>
      <c r="B236" s="94"/>
      <c r="C236" s="94"/>
      <c r="D236" s="94"/>
      <c r="E236" s="94"/>
      <c r="F236" s="94"/>
      <c r="G236" s="94"/>
      <c r="H236" s="94"/>
      <c r="I236" s="94"/>
      <c r="J236" s="94"/>
      <c r="K236" s="94"/>
      <c r="L236" s="94"/>
      <c r="M236" s="94"/>
      <c r="N236" s="94"/>
      <c r="O236" s="93"/>
    </row>
    <row r="237" spans="1:15" x14ac:dyDescent="0.25">
      <c r="A237" s="730" t="s">
        <v>67</v>
      </c>
      <c r="B237" s="730" t="s">
        <v>114</v>
      </c>
      <c r="C237" s="730" t="s">
        <v>113</v>
      </c>
      <c r="D237" s="730" t="s">
        <v>40</v>
      </c>
      <c r="E237" s="729" t="s">
        <v>58</v>
      </c>
      <c r="F237" s="94"/>
      <c r="G237" s="94"/>
      <c r="H237" s="94"/>
      <c r="I237" s="94"/>
      <c r="J237" s="94"/>
      <c r="K237" s="94"/>
      <c r="L237" s="94"/>
      <c r="M237" s="94"/>
      <c r="N237" s="94"/>
      <c r="O237" s="93"/>
    </row>
    <row r="238" spans="1:15" x14ac:dyDescent="0.25">
      <c r="A238" s="884">
        <v>10</v>
      </c>
      <c r="B238" s="883" t="str">
        <f>INDEX('FR Parts'!$A$1:$P$1007,ROW(FR_05001)-1,COLUMN(FR_05001))</f>
        <v>Lever handle</v>
      </c>
      <c r="C238" s="882">
        <f>INDEX('FR Parts'!$A$1:$P$1007,ROW(FR_05001)-4,COLUMN(FR_05001)+12)</f>
        <v>4.6504063821164863</v>
      </c>
      <c r="D238" s="792">
        <f>INDEX('FR Parts'!$A$1:$P$1007,ROW(FR_05001)-3,COLUMN(FR_05001)+12)</f>
        <v>1</v>
      </c>
      <c r="E238" s="182">
        <f>C238*D238</f>
        <v>4.6504063821164863</v>
      </c>
      <c r="F238" s="94"/>
      <c r="G238" s="94"/>
      <c r="H238" s="94"/>
      <c r="I238" s="94"/>
      <c r="J238" s="94"/>
      <c r="K238" s="94"/>
      <c r="L238" s="94"/>
      <c r="M238" s="94"/>
      <c r="N238" s="94"/>
      <c r="O238" s="93"/>
    </row>
    <row r="239" spans="1:15" x14ac:dyDescent="0.25">
      <c r="A239" s="884">
        <v>20</v>
      </c>
      <c r="B239" s="883" t="str">
        <f>INDEX('FR Parts'!$A$1:$P$1007,ROW(FR_05002)-1,COLUMN(FR_05002))</f>
        <v>Lever Joint</v>
      </c>
      <c r="C239" s="882">
        <f>INDEX('FR Parts'!$A$1:$P$1007,ROW(FR_05002)-4,COLUMN(FR_05002)+12)</f>
        <v>11.771166666666666</v>
      </c>
      <c r="D239" s="792">
        <f>INDEX('FR Parts'!$A$1:$P$1007,ROW(FR_05002)-3,COLUMN(FR_05002)+12)</f>
        <v>1</v>
      </c>
      <c r="E239" s="182">
        <f>C239*D239</f>
        <v>11.771166666666666</v>
      </c>
      <c r="F239" s="94"/>
      <c r="G239" s="94"/>
      <c r="H239" s="94"/>
      <c r="I239" s="94"/>
      <c r="J239" s="94"/>
      <c r="K239" s="94"/>
      <c r="L239" s="94"/>
      <c r="M239" s="94"/>
      <c r="N239" s="94"/>
      <c r="O239" s="93"/>
    </row>
    <row r="240" spans="1:15" x14ac:dyDescent="0.25">
      <c r="A240" s="884">
        <v>30</v>
      </c>
      <c r="B240" s="883" t="str">
        <f>INDEX('FR Parts'!$A$1:$P$1007,ROW(FR_05003)-1,COLUMN(FR_05003))</f>
        <v>Actuation Lever</v>
      </c>
      <c r="C240" s="882">
        <f>INDEX('FR Parts'!$A$1:$P$1007,ROW(FR_05003)-4,COLUMN(FR_05003)+12)</f>
        <v>9.7986666666666675</v>
      </c>
      <c r="D240" s="792">
        <f>INDEX('FR Parts'!$A$1:$P$1007,ROW(FR_05003)-3,COLUMN(FR_05003)+12)</f>
        <v>1</v>
      </c>
      <c r="E240" s="182">
        <f>C240*D240</f>
        <v>9.7986666666666675</v>
      </c>
      <c r="F240" s="94"/>
      <c r="G240" s="94"/>
      <c r="H240" s="94"/>
      <c r="I240" s="94"/>
      <c r="J240" s="94"/>
      <c r="K240" s="94"/>
      <c r="L240" s="94"/>
      <c r="M240" s="94"/>
      <c r="N240" s="94"/>
      <c r="O240" s="93"/>
    </row>
    <row r="241" spans="1:15" x14ac:dyDescent="0.25">
      <c r="A241" s="884">
        <v>40</v>
      </c>
      <c r="B241" s="883" t="str">
        <f>INDEX('FR Parts'!$A$1:$P$1007,ROW(FR_05004)-1,COLUMN(FR_05004))</f>
        <v>Handle padding</v>
      </c>
      <c r="C241" s="882">
        <f>INDEX('FR Parts'!$A$1:$P$1007,ROW(FR_05004)-4,COLUMN(FR_05004)+12)</f>
        <v>7.3966666666666665</v>
      </c>
      <c r="D241" s="792">
        <f>INDEX('FR Parts'!$A$1:$P$1007,ROW(FR_05004)-3,COLUMN(FR_05004)+12)</f>
        <v>1</v>
      </c>
      <c r="E241" s="182">
        <f>C241*D241</f>
        <v>7.3966666666666665</v>
      </c>
      <c r="F241" s="94"/>
      <c r="G241" s="94"/>
      <c r="H241" s="94"/>
      <c r="I241" s="94"/>
      <c r="J241" s="94"/>
      <c r="K241" s="94"/>
      <c r="L241" s="94"/>
      <c r="M241" s="94"/>
      <c r="N241" s="94"/>
      <c r="O241" s="93"/>
    </row>
    <row r="242" spans="1:15" x14ac:dyDescent="0.25">
      <c r="A242" s="884">
        <v>50</v>
      </c>
      <c r="B242" s="883" t="str">
        <f>INDEX('FR Parts'!$A$1:$P$1007,ROW(FR_05005)-1,COLUMN(FR_05005))</f>
        <v>Steel tube</v>
      </c>
      <c r="C242" s="882">
        <f>INDEX('FR Parts'!$A$1:$P$1007,ROW(FR_05005)-4,COLUMN(FR_05005)+12)</f>
        <v>1.6905574863433046</v>
      </c>
      <c r="D242" s="792">
        <f>INDEX('FR Parts'!$A$1:$P$1007,ROW(FR_05005)-3,COLUMN(FR_05005)+12)</f>
        <v>1</v>
      </c>
      <c r="E242" s="182">
        <f>C242*D242</f>
        <v>1.6905574863433046</v>
      </c>
      <c r="F242" s="94"/>
      <c r="G242" s="94"/>
      <c r="H242" s="94"/>
      <c r="I242" s="94"/>
      <c r="J242" s="94"/>
      <c r="K242" s="94"/>
      <c r="L242" s="94"/>
      <c r="M242" s="94"/>
      <c r="N242" s="94"/>
      <c r="O242" s="93"/>
    </row>
    <row r="243" spans="1:15" x14ac:dyDescent="0.25">
      <c r="A243" s="107"/>
      <c r="B243" s="94"/>
      <c r="C243" s="94"/>
      <c r="D243" s="728" t="s">
        <v>58</v>
      </c>
      <c r="E243" s="727">
        <f>SUM(E238:E242)</f>
        <v>35.307463868459791</v>
      </c>
      <c r="F243" s="99"/>
      <c r="G243" s="99"/>
      <c r="H243" s="99"/>
      <c r="I243" s="99"/>
      <c r="J243" s="99"/>
      <c r="K243" s="99"/>
      <c r="L243" s="99"/>
      <c r="M243" s="99"/>
      <c r="N243" s="99"/>
      <c r="O243" s="594"/>
    </row>
    <row r="244" spans="1:15" x14ac:dyDescent="0.25">
      <c r="O244" s="594"/>
    </row>
    <row r="245" spans="1:15" x14ac:dyDescent="0.25">
      <c r="A245" s="875" t="s">
        <v>67</v>
      </c>
      <c r="B245" s="875" t="s">
        <v>112</v>
      </c>
      <c r="C245" s="875" t="s">
        <v>66</v>
      </c>
      <c r="D245" s="875" t="s">
        <v>65</v>
      </c>
      <c r="E245" s="875" t="s">
        <v>81</v>
      </c>
      <c r="F245" s="875" t="s">
        <v>80</v>
      </c>
      <c r="G245" s="875" t="s">
        <v>79</v>
      </c>
      <c r="H245" s="875" t="s">
        <v>78</v>
      </c>
      <c r="I245" s="875" t="s">
        <v>111</v>
      </c>
      <c r="J245" s="875" t="s">
        <v>110</v>
      </c>
      <c r="K245" s="875" t="s">
        <v>109</v>
      </c>
      <c r="L245" s="875" t="s">
        <v>108</v>
      </c>
      <c r="M245" s="875" t="s">
        <v>40</v>
      </c>
      <c r="N245" s="875" t="s">
        <v>58</v>
      </c>
      <c r="O245" s="594"/>
    </row>
    <row r="246" spans="1:15" x14ac:dyDescent="0.25">
      <c r="A246" s="789">
        <v>10</v>
      </c>
      <c r="B246" s="789" t="s">
        <v>347</v>
      </c>
      <c r="C246" s="789" t="s">
        <v>1425</v>
      </c>
      <c r="D246" s="790">
        <v>15</v>
      </c>
      <c r="E246" s="789" t="s">
        <v>345</v>
      </c>
      <c r="F246" s="789"/>
      <c r="G246" s="789"/>
      <c r="H246" s="897"/>
      <c r="I246" s="899"/>
      <c r="J246" s="898"/>
      <c r="K246" s="897">
        <v>1.3</v>
      </c>
      <c r="L246" s="897"/>
      <c r="M246" s="896">
        <v>1</v>
      </c>
      <c r="N246" s="800">
        <f>K246*D246</f>
        <v>19.5</v>
      </c>
      <c r="O246" s="594"/>
    </row>
    <row r="247" spans="1:15" x14ac:dyDescent="0.25">
      <c r="A247" s="789">
        <v>20</v>
      </c>
      <c r="B247" s="789" t="s">
        <v>1424</v>
      </c>
      <c r="C247" s="873" t="s">
        <v>1423</v>
      </c>
      <c r="D247" s="806">
        <v>1</v>
      </c>
      <c r="E247" s="895" t="s">
        <v>64</v>
      </c>
      <c r="F247" s="880"/>
      <c r="G247" s="880"/>
      <c r="H247" s="804"/>
      <c r="I247" s="879"/>
      <c r="J247" s="878"/>
      <c r="K247" s="803"/>
      <c r="L247" s="877"/>
      <c r="M247" s="876">
        <v>2</v>
      </c>
      <c r="N247" s="800">
        <f>M247*D247</f>
        <v>2</v>
      </c>
      <c r="O247" s="594"/>
    </row>
    <row r="248" spans="1:15" x14ac:dyDescent="0.25">
      <c r="A248" s="726"/>
      <c r="B248" s="726"/>
      <c r="C248" s="726"/>
      <c r="D248" s="726"/>
      <c r="E248" s="726"/>
      <c r="F248" s="726"/>
      <c r="G248" s="726"/>
      <c r="H248" s="726"/>
      <c r="I248" s="726"/>
      <c r="J248" s="726"/>
      <c r="K248" s="726"/>
      <c r="L248" s="726"/>
      <c r="M248" s="875" t="s">
        <v>58</v>
      </c>
      <c r="N248" s="874">
        <f>N247+N246</f>
        <v>21.5</v>
      </c>
      <c r="O248" s="594"/>
    </row>
    <row r="249" spans="1:15" x14ac:dyDescent="0.25">
      <c r="A249" s="107"/>
      <c r="B249" s="94"/>
      <c r="C249" s="94"/>
      <c r="D249" s="94"/>
      <c r="E249" s="94"/>
      <c r="F249" s="94"/>
      <c r="G249" s="94"/>
      <c r="H249" s="94"/>
      <c r="I249" s="94"/>
      <c r="J249" s="94"/>
      <c r="K249" s="94"/>
      <c r="L249" s="94"/>
      <c r="M249" s="94"/>
      <c r="N249" s="94"/>
      <c r="O249" s="594"/>
    </row>
    <row r="250" spans="1:15" x14ac:dyDescent="0.25">
      <c r="A250" s="729" t="s">
        <v>67</v>
      </c>
      <c r="B250" s="730" t="s">
        <v>106</v>
      </c>
      <c r="C250" s="730" t="s">
        <v>66</v>
      </c>
      <c r="D250" s="730" t="s">
        <v>65</v>
      </c>
      <c r="E250" s="730" t="s">
        <v>64</v>
      </c>
      <c r="F250" s="730" t="s">
        <v>40</v>
      </c>
      <c r="G250" s="729" t="s">
        <v>105</v>
      </c>
      <c r="H250" s="729" t="s">
        <v>104</v>
      </c>
      <c r="I250" s="729" t="s">
        <v>58</v>
      </c>
      <c r="J250" s="95"/>
      <c r="K250" s="95"/>
      <c r="L250" s="95"/>
      <c r="M250" s="95"/>
      <c r="N250" s="95"/>
      <c r="O250" s="734"/>
    </row>
    <row r="251" spans="1:15" x14ac:dyDescent="0.25">
      <c r="A251" s="793">
        <v>10</v>
      </c>
      <c r="B251" s="793" t="s">
        <v>103</v>
      </c>
      <c r="C251" s="793" t="s">
        <v>1413</v>
      </c>
      <c r="D251" s="892">
        <v>0.15</v>
      </c>
      <c r="E251" s="791" t="s">
        <v>101</v>
      </c>
      <c r="F251" s="792">
        <v>3.8</v>
      </c>
      <c r="G251" s="796"/>
      <c r="H251" s="796"/>
      <c r="I251" s="739">
        <f t="shared" ref="I251:I261" si="6">IF(H251="",D251*F251,D251*F251*H251)</f>
        <v>0.56999999999999995</v>
      </c>
      <c r="J251" s="94"/>
      <c r="K251" s="94"/>
      <c r="L251" s="94"/>
      <c r="M251" s="94"/>
      <c r="N251" s="94"/>
      <c r="O251" s="594"/>
    </row>
    <row r="252" spans="1:15" x14ac:dyDescent="0.25">
      <c r="A252" s="793">
        <v>20</v>
      </c>
      <c r="B252" s="791" t="s">
        <v>87</v>
      </c>
      <c r="C252" s="893" t="s">
        <v>1422</v>
      </c>
      <c r="D252" s="892">
        <v>6.25E-2</v>
      </c>
      <c r="E252" s="791" t="s">
        <v>64</v>
      </c>
      <c r="F252" s="792">
        <v>1</v>
      </c>
      <c r="G252" s="793"/>
      <c r="H252" s="793"/>
      <c r="I252" s="739">
        <f t="shared" si="6"/>
        <v>6.25E-2</v>
      </c>
      <c r="J252" s="94"/>
      <c r="K252" s="94"/>
      <c r="L252" s="94"/>
      <c r="M252" s="94"/>
      <c r="N252" s="94"/>
      <c r="O252" s="93"/>
    </row>
    <row r="253" spans="1:15" x14ac:dyDescent="0.25">
      <c r="A253" s="793">
        <v>30</v>
      </c>
      <c r="B253" s="791" t="s">
        <v>163</v>
      </c>
      <c r="C253" s="893" t="s">
        <v>1421</v>
      </c>
      <c r="D253" s="892">
        <v>0.5</v>
      </c>
      <c r="E253" s="791" t="s">
        <v>64</v>
      </c>
      <c r="F253" s="792">
        <v>1</v>
      </c>
      <c r="G253" s="793"/>
      <c r="H253" s="793"/>
      <c r="I253" s="739">
        <f t="shared" si="6"/>
        <v>0.5</v>
      </c>
      <c r="J253" s="94"/>
      <c r="K253" s="94"/>
      <c r="L253" s="94"/>
      <c r="M253" s="94"/>
      <c r="N253" s="94"/>
      <c r="O253" s="93"/>
    </row>
    <row r="254" spans="1:15" x14ac:dyDescent="0.25">
      <c r="A254" s="793">
        <v>40</v>
      </c>
      <c r="B254" s="791" t="s">
        <v>162</v>
      </c>
      <c r="C254" s="893" t="s">
        <v>1418</v>
      </c>
      <c r="D254" s="892">
        <v>0.25</v>
      </c>
      <c r="E254" s="791" t="s">
        <v>64</v>
      </c>
      <c r="F254" s="792">
        <v>1</v>
      </c>
      <c r="G254" s="796"/>
      <c r="H254" s="796"/>
      <c r="I254" s="739">
        <f t="shared" si="6"/>
        <v>0.25</v>
      </c>
      <c r="J254" s="94"/>
      <c r="K254" s="94"/>
      <c r="L254" s="94"/>
      <c r="M254" s="94"/>
      <c r="N254" s="94"/>
      <c r="O254" s="93"/>
    </row>
    <row r="255" spans="1:15" x14ac:dyDescent="0.25">
      <c r="A255" s="793">
        <v>50</v>
      </c>
      <c r="B255" s="791" t="s">
        <v>87</v>
      </c>
      <c r="C255" s="893" t="s">
        <v>1420</v>
      </c>
      <c r="D255" s="892">
        <v>6.25E-2</v>
      </c>
      <c r="E255" s="791" t="s">
        <v>64</v>
      </c>
      <c r="F255" s="792">
        <v>1</v>
      </c>
      <c r="G255" s="793"/>
      <c r="H255" s="793"/>
      <c r="I255" s="739">
        <f t="shared" si="6"/>
        <v>6.25E-2</v>
      </c>
      <c r="J255" s="94"/>
      <c r="K255" s="94"/>
      <c r="L255" s="94"/>
      <c r="M255" s="94"/>
      <c r="N255" s="94"/>
      <c r="O255" s="93"/>
    </row>
    <row r="256" spans="1:15" x14ac:dyDescent="0.25">
      <c r="A256" s="793">
        <v>60</v>
      </c>
      <c r="B256" s="791" t="s">
        <v>163</v>
      </c>
      <c r="C256" s="893" t="s">
        <v>1419</v>
      </c>
      <c r="D256" s="892">
        <v>0.5</v>
      </c>
      <c r="E256" s="791" t="s">
        <v>64</v>
      </c>
      <c r="F256" s="792">
        <v>1</v>
      </c>
      <c r="G256" s="796"/>
      <c r="H256" s="796"/>
      <c r="I256" s="739">
        <f t="shared" si="6"/>
        <v>0.5</v>
      </c>
      <c r="J256" s="94"/>
      <c r="K256" s="94"/>
      <c r="L256" s="94"/>
      <c r="M256" s="94"/>
      <c r="N256" s="94"/>
      <c r="O256" s="93"/>
    </row>
    <row r="257" spans="1:15" x14ac:dyDescent="0.25">
      <c r="A257" s="793">
        <v>70</v>
      </c>
      <c r="B257" s="791" t="s">
        <v>162</v>
      </c>
      <c r="C257" s="893" t="s">
        <v>1418</v>
      </c>
      <c r="D257" s="892">
        <v>0.25</v>
      </c>
      <c r="E257" s="791" t="s">
        <v>64</v>
      </c>
      <c r="F257" s="792">
        <v>1</v>
      </c>
      <c r="G257" s="796"/>
      <c r="H257" s="796"/>
      <c r="I257" s="739">
        <f t="shared" si="6"/>
        <v>0.25</v>
      </c>
      <c r="J257" s="94"/>
      <c r="K257" s="94"/>
      <c r="L257" s="94"/>
      <c r="M257" s="94"/>
      <c r="N257" s="94"/>
      <c r="O257" s="93"/>
    </row>
    <row r="258" spans="1:15" x14ac:dyDescent="0.25">
      <c r="A258" s="793">
        <v>80</v>
      </c>
      <c r="B258" s="791" t="s">
        <v>95</v>
      </c>
      <c r="C258" s="893" t="s">
        <v>1417</v>
      </c>
      <c r="D258" s="892">
        <v>0.1875</v>
      </c>
      <c r="E258" s="791" t="s">
        <v>64</v>
      </c>
      <c r="F258" s="792">
        <v>1</v>
      </c>
      <c r="G258" s="796"/>
      <c r="H258" s="796"/>
      <c r="I258" s="739">
        <f t="shared" si="6"/>
        <v>0.1875</v>
      </c>
      <c r="J258" s="94"/>
      <c r="K258" s="94"/>
      <c r="L258" s="94"/>
      <c r="M258" s="94"/>
      <c r="N258" s="94"/>
      <c r="O258" s="93"/>
    </row>
    <row r="259" spans="1:15" x14ac:dyDescent="0.25">
      <c r="A259" s="793">
        <v>90</v>
      </c>
      <c r="B259" s="807" t="s">
        <v>145</v>
      </c>
      <c r="C259" s="893" t="s">
        <v>1416</v>
      </c>
      <c r="D259" s="894">
        <v>0.125</v>
      </c>
      <c r="E259" s="791" t="s">
        <v>64</v>
      </c>
      <c r="F259" s="792">
        <v>1</v>
      </c>
      <c r="G259" s="796"/>
      <c r="H259" s="796"/>
      <c r="I259" s="739">
        <f t="shared" si="6"/>
        <v>0.125</v>
      </c>
      <c r="J259" s="94"/>
      <c r="K259" s="94"/>
      <c r="L259" s="94"/>
      <c r="M259" s="94"/>
      <c r="N259" s="94"/>
      <c r="O259" s="93"/>
    </row>
    <row r="260" spans="1:15" x14ac:dyDescent="0.25">
      <c r="A260" s="793">
        <v>100</v>
      </c>
      <c r="B260" s="791" t="s">
        <v>95</v>
      </c>
      <c r="C260" s="893" t="s">
        <v>1415</v>
      </c>
      <c r="D260" s="892">
        <v>0.1875</v>
      </c>
      <c r="E260" s="791" t="s">
        <v>64</v>
      </c>
      <c r="F260" s="792">
        <v>1</v>
      </c>
      <c r="G260" s="796"/>
      <c r="H260" s="796"/>
      <c r="I260" s="739">
        <f t="shared" si="6"/>
        <v>0.1875</v>
      </c>
      <c r="J260" s="94"/>
      <c r="K260" s="94"/>
      <c r="L260" s="94"/>
      <c r="M260" s="94"/>
      <c r="N260" s="94"/>
      <c r="O260" s="93"/>
    </row>
    <row r="261" spans="1:15" x14ac:dyDescent="0.25">
      <c r="A261" s="793">
        <v>110</v>
      </c>
      <c r="B261" s="791" t="s">
        <v>95</v>
      </c>
      <c r="C261" s="893" t="s">
        <v>1414</v>
      </c>
      <c r="D261" s="892">
        <v>0.1875</v>
      </c>
      <c r="E261" s="791" t="s">
        <v>64</v>
      </c>
      <c r="F261" s="792">
        <v>1</v>
      </c>
      <c r="G261" s="793"/>
      <c r="H261" s="793"/>
      <c r="I261" s="739">
        <f t="shared" si="6"/>
        <v>0.1875</v>
      </c>
      <c r="J261" s="94"/>
      <c r="K261" s="94"/>
      <c r="L261" s="94"/>
      <c r="M261" s="94"/>
      <c r="N261" s="94"/>
      <c r="O261" s="93"/>
    </row>
    <row r="262" spans="1:15" x14ac:dyDescent="0.25">
      <c r="A262" s="733"/>
      <c r="B262" s="705"/>
      <c r="C262" s="705"/>
      <c r="D262" s="705"/>
      <c r="E262" s="705"/>
      <c r="F262" s="705"/>
      <c r="G262" s="705"/>
      <c r="H262" s="732" t="s">
        <v>58</v>
      </c>
      <c r="I262" s="731">
        <f>SUM(I251:I261)</f>
        <v>2.8824999999999998</v>
      </c>
      <c r="J262" s="94"/>
      <c r="K262" s="94"/>
      <c r="L262" s="94"/>
      <c r="M262" s="94"/>
      <c r="N262" s="94"/>
      <c r="O262" s="93"/>
    </row>
    <row r="263" spans="1:15" x14ac:dyDescent="0.25">
      <c r="A263" s="107"/>
      <c r="B263" s="94"/>
      <c r="C263" s="94"/>
      <c r="D263" s="94"/>
      <c r="E263" s="94"/>
      <c r="F263" s="94"/>
      <c r="G263" s="94"/>
      <c r="H263" s="94"/>
      <c r="I263" s="94"/>
      <c r="J263" s="94"/>
      <c r="K263" s="94"/>
      <c r="L263" s="94"/>
      <c r="M263" s="94"/>
      <c r="N263" s="94"/>
      <c r="O263" s="93"/>
    </row>
    <row r="264" spans="1:15" x14ac:dyDescent="0.25">
      <c r="A264" s="729" t="s">
        <v>67</v>
      </c>
      <c r="B264" s="729" t="s">
        <v>82</v>
      </c>
      <c r="C264" s="729" t="s">
        <v>66</v>
      </c>
      <c r="D264" s="729" t="s">
        <v>65</v>
      </c>
      <c r="E264" s="729" t="s">
        <v>81</v>
      </c>
      <c r="F264" s="729" t="s">
        <v>80</v>
      </c>
      <c r="G264" s="729" t="s">
        <v>79</v>
      </c>
      <c r="H264" s="730" t="s">
        <v>78</v>
      </c>
      <c r="I264" s="730" t="s">
        <v>40</v>
      </c>
      <c r="J264" s="729" t="s">
        <v>58</v>
      </c>
      <c r="K264" s="94"/>
      <c r="L264" s="94"/>
      <c r="M264" s="94"/>
      <c r="N264" s="94"/>
      <c r="O264" s="93"/>
    </row>
    <row r="265" spans="1:15" x14ac:dyDescent="0.25">
      <c r="A265" s="793">
        <v>10</v>
      </c>
      <c r="B265" s="887" t="s">
        <v>184</v>
      </c>
      <c r="C265" s="890"/>
      <c r="D265" s="889">
        <v>0.08</v>
      </c>
      <c r="E265" s="891">
        <v>6</v>
      </c>
      <c r="F265" s="891" t="s">
        <v>68</v>
      </c>
      <c r="G265" s="891">
        <v>35</v>
      </c>
      <c r="H265" s="891" t="s">
        <v>68</v>
      </c>
      <c r="I265" s="792">
        <v>2</v>
      </c>
      <c r="J265" s="182">
        <f>I265*D265</f>
        <v>0.16</v>
      </c>
      <c r="K265" s="94"/>
      <c r="L265" s="94"/>
      <c r="M265" s="94"/>
      <c r="N265" s="94"/>
      <c r="O265" s="93"/>
    </row>
    <row r="266" spans="1:15" x14ac:dyDescent="0.25">
      <c r="A266" s="793">
        <v>20</v>
      </c>
      <c r="B266" s="738" t="s">
        <v>1386</v>
      </c>
      <c r="C266" s="890"/>
      <c r="D266" s="889">
        <v>0.01</v>
      </c>
      <c r="E266" s="887">
        <v>6</v>
      </c>
      <c r="F266" s="888" t="s">
        <v>68</v>
      </c>
      <c r="G266" s="887"/>
      <c r="H266" s="886"/>
      <c r="I266" s="792">
        <v>2</v>
      </c>
      <c r="J266" s="182">
        <f>I266*D266</f>
        <v>0.02</v>
      </c>
      <c r="K266" s="94"/>
      <c r="L266" s="94"/>
      <c r="M266" s="94"/>
      <c r="N266" s="94"/>
      <c r="O266" s="93"/>
    </row>
    <row r="267" spans="1:15" x14ac:dyDescent="0.25">
      <c r="A267" s="793">
        <v>30</v>
      </c>
      <c r="B267" s="887" t="s">
        <v>75</v>
      </c>
      <c r="C267" s="890"/>
      <c r="D267" s="889">
        <v>0.03</v>
      </c>
      <c r="E267" s="887">
        <v>6</v>
      </c>
      <c r="F267" s="888" t="s">
        <v>68</v>
      </c>
      <c r="G267" s="887"/>
      <c r="H267" s="886"/>
      <c r="I267" s="792">
        <v>2</v>
      </c>
      <c r="J267" s="182">
        <f>I267*D267</f>
        <v>0.06</v>
      </c>
      <c r="K267" s="94"/>
      <c r="L267" s="94"/>
      <c r="M267" s="94"/>
      <c r="N267" s="94"/>
      <c r="O267" s="93"/>
    </row>
    <row r="268" spans="1:15" x14ac:dyDescent="0.25">
      <c r="A268" s="98"/>
      <c r="B268" s="95"/>
      <c r="C268" s="95"/>
      <c r="D268" s="95"/>
      <c r="E268" s="95"/>
      <c r="F268" s="95"/>
      <c r="G268" s="95"/>
      <c r="H268" s="95"/>
      <c r="I268" s="728" t="s">
        <v>58</v>
      </c>
      <c r="J268" s="727">
        <f>SUM(J265:J267)</f>
        <v>0.24</v>
      </c>
      <c r="K268" s="94"/>
      <c r="L268" s="94"/>
      <c r="M268" s="94"/>
      <c r="N268" s="94"/>
      <c r="O268" s="93"/>
    </row>
    <row r="269" spans="1:15" x14ac:dyDescent="0.25">
      <c r="A269" s="98"/>
      <c r="B269" s="95"/>
      <c r="C269" s="95"/>
      <c r="D269" s="95"/>
      <c r="E269" s="95"/>
      <c r="F269" s="95"/>
      <c r="G269" s="95"/>
      <c r="H269" s="95"/>
      <c r="K269" s="94"/>
      <c r="L269" s="94"/>
      <c r="M269" s="94"/>
      <c r="N269" s="94"/>
      <c r="O269" s="93"/>
    </row>
    <row r="270" spans="1:15" x14ac:dyDescent="0.25">
      <c r="A270" s="875" t="s">
        <v>67</v>
      </c>
      <c r="B270" s="875" t="s">
        <v>13</v>
      </c>
      <c r="C270" s="875" t="s">
        <v>66</v>
      </c>
      <c r="D270" s="875" t="s">
        <v>65</v>
      </c>
      <c r="E270" s="875" t="s">
        <v>64</v>
      </c>
      <c r="F270" s="875" t="s">
        <v>40</v>
      </c>
      <c r="G270" s="875" t="s">
        <v>63</v>
      </c>
      <c r="H270" s="875" t="s">
        <v>62</v>
      </c>
      <c r="I270" s="875" t="s">
        <v>58</v>
      </c>
      <c r="K270" s="94"/>
      <c r="L270" s="94"/>
      <c r="M270" s="94"/>
      <c r="N270" s="94"/>
      <c r="O270" s="93"/>
    </row>
    <row r="271" spans="1:15" x14ac:dyDescent="0.25">
      <c r="A271" s="793">
        <v>10</v>
      </c>
      <c r="B271" s="793" t="s">
        <v>61</v>
      </c>
      <c r="C271" s="793" t="s">
        <v>1413</v>
      </c>
      <c r="D271" s="790">
        <v>500</v>
      </c>
      <c r="E271" s="793" t="s">
        <v>59</v>
      </c>
      <c r="F271" s="793">
        <v>2</v>
      </c>
      <c r="G271" s="793">
        <v>3000</v>
      </c>
      <c r="H271" s="793">
        <v>1</v>
      </c>
      <c r="I271" s="800">
        <f>D271*F271/(G271*H271)</f>
        <v>0.33333333333333331</v>
      </c>
      <c r="K271" s="94"/>
      <c r="L271" s="94"/>
      <c r="M271" s="94"/>
      <c r="N271" s="94"/>
      <c r="O271" s="93"/>
    </row>
    <row r="272" spans="1:15" x14ac:dyDescent="0.25">
      <c r="A272" s="726"/>
      <c r="B272" s="726"/>
      <c r="C272" s="726"/>
      <c r="D272" s="726"/>
      <c r="E272" s="726"/>
      <c r="F272" s="726"/>
      <c r="G272" s="726"/>
      <c r="H272" s="885" t="s">
        <v>58</v>
      </c>
      <c r="I272" s="874">
        <f>I271</f>
        <v>0.33333333333333331</v>
      </c>
      <c r="K272" s="94"/>
      <c r="L272" s="94"/>
      <c r="M272" s="94"/>
      <c r="N272" s="94"/>
      <c r="O272" s="93"/>
    </row>
    <row r="273" spans="1:15" ht="15.75" thickBot="1" x14ac:dyDescent="0.3">
      <c r="A273" s="92"/>
      <c r="B273" s="91"/>
      <c r="C273" s="91"/>
      <c r="D273" s="91"/>
      <c r="E273" s="91"/>
      <c r="F273" s="91"/>
      <c r="G273" s="91"/>
      <c r="H273" s="91"/>
      <c r="I273" s="91"/>
      <c r="J273" s="91"/>
      <c r="K273" s="91"/>
      <c r="L273" s="91"/>
      <c r="M273" s="91"/>
      <c r="N273" s="91"/>
      <c r="O273" s="90"/>
    </row>
    <row r="274" spans="1:15" ht="15.75" thickBot="1" x14ac:dyDescent="0.3"/>
    <row r="275" spans="1:15" x14ac:dyDescent="0.25">
      <c r="A275" s="141"/>
      <c r="B275" s="140"/>
      <c r="C275" s="140"/>
      <c r="D275" s="140"/>
      <c r="E275" s="140"/>
      <c r="F275" s="140"/>
      <c r="G275" s="140"/>
      <c r="H275" s="140"/>
      <c r="I275" s="140"/>
      <c r="J275" s="140"/>
      <c r="K275" s="140"/>
      <c r="L275" s="140"/>
      <c r="M275" s="140"/>
      <c r="N275" s="140"/>
      <c r="O275" s="139"/>
    </row>
    <row r="276" spans="1:15" x14ac:dyDescent="0.25">
      <c r="A276" s="729" t="s">
        <v>57</v>
      </c>
      <c r="B276" s="133" t="s">
        <v>523</v>
      </c>
      <c r="C276" s="94"/>
      <c r="D276" s="94"/>
      <c r="E276" s="94"/>
      <c r="F276" s="94"/>
      <c r="G276" s="94"/>
      <c r="H276" s="94"/>
      <c r="I276" s="94"/>
      <c r="J276" s="729" t="s">
        <v>51</v>
      </c>
      <c r="K276" s="138">
        <v>81</v>
      </c>
      <c r="L276" s="94"/>
      <c r="M276" s="729" t="s">
        <v>126</v>
      </c>
      <c r="N276" s="137">
        <f>E289+FR_A0006_p+FR_A0006_f+FR_A0006_m+FR_A0006_t</f>
        <v>1923.6631901733831</v>
      </c>
      <c r="O276" s="93"/>
    </row>
    <row r="277" spans="1:15" x14ac:dyDescent="0.25">
      <c r="A277" s="729" t="s">
        <v>125</v>
      </c>
      <c r="B277" s="133" t="s">
        <v>1412</v>
      </c>
      <c r="C277" s="94"/>
      <c r="D277" s="94"/>
      <c r="E277" s="94"/>
      <c r="F277" s="94"/>
      <c r="G277" s="94"/>
      <c r="H277" s="94"/>
      <c r="I277" s="94"/>
      <c r="J277" s="94"/>
      <c r="K277" s="94"/>
      <c r="L277" s="94"/>
      <c r="M277" s="729" t="s">
        <v>124</v>
      </c>
      <c r="N277" s="136">
        <v>1</v>
      </c>
      <c r="O277" s="93"/>
    </row>
    <row r="278" spans="1:15" x14ac:dyDescent="0.25">
      <c r="A278" s="729" t="s">
        <v>123</v>
      </c>
      <c r="B278" s="737" t="s">
        <v>1411</v>
      </c>
      <c r="C278" s="94"/>
      <c r="D278" s="94"/>
      <c r="E278" s="94"/>
      <c r="F278" s="94"/>
      <c r="G278" s="94"/>
      <c r="H278" s="94"/>
      <c r="I278" s="94"/>
      <c r="J278" s="736" t="s">
        <v>122</v>
      </c>
      <c r="K278" s="94"/>
      <c r="L278" s="94"/>
      <c r="M278" s="94"/>
      <c r="N278" s="94"/>
      <c r="O278" s="93"/>
    </row>
    <row r="279" spans="1:15" x14ac:dyDescent="0.25">
      <c r="A279" s="729" t="s">
        <v>121</v>
      </c>
      <c r="B279" s="135" t="s">
        <v>1410</v>
      </c>
      <c r="C279" s="94"/>
      <c r="D279" s="94"/>
      <c r="E279" s="94"/>
      <c r="F279" s="94"/>
      <c r="G279" s="94"/>
      <c r="H279" s="94"/>
      <c r="I279" s="94"/>
      <c r="J279" s="736" t="s">
        <v>119</v>
      </c>
      <c r="K279" s="94"/>
      <c r="L279" s="94"/>
      <c r="M279" s="729" t="s">
        <v>118</v>
      </c>
      <c r="N279" s="100">
        <f>N276*N277</f>
        <v>1923.6631901733831</v>
      </c>
      <c r="O279" s="93"/>
    </row>
    <row r="280" spans="1:15" x14ac:dyDescent="0.25">
      <c r="A280" s="729" t="s">
        <v>117</v>
      </c>
      <c r="B280" s="133" t="s">
        <v>23</v>
      </c>
      <c r="C280" s="94"/>
      <c r="D280" s="94"/>
      <c r="E280" s="94"/>
      <c r="F280" s="94"/>
      <c r="G280" s="94"/>
      <c r="H280" s="94"/>
      <c r="I280" s="94"/>
      <c r="J280" s="736" t="s">
        <v>116</v>
      </c>
      <c r="K280" s="94"/>
      <c r="L280" s="94"/>
      <c r="M280" s="94"/>
      <c r="N280" s="94"/>
      <c r="O280" s="93"/>
    </row>
    <row r="281" spans="1:15" x14ac:dyDescent="0.25">
      <c r="A281" s="729" t="s">
        <v>115</v>
      </c>
      <c r="B281" s="735" t="s">
        <v>1409</v>
      </c>
      <c r="C281" s="94"/>
      <c r="D281" s="94"/>
      <c r="E281" s="94"/>
      <c r="F281" s="94"/>
      <c r="G281" s="94"/>
      <c r="H281" s="94"/>
      <c r="I281" s="94"/>
      <c r="J281" s="94"/>
      <c r="K281" s="94"/>
      <c r="L281" s="94"/>
      <c r="M281" s="94"/>
      <c r="N281" s="94"/>
      <c r="O281" s="93"/>
    </row>
    <row r="282" spans="1:15" x14ac:dyDescent="0.25">
      <c r="A282" s="107"/>
      <c r="B282" s="94"/>
      <c r="C282" s="94"/>
      <c r="D282" s="94"/>
      <c r="E282" s="94"/>
      <c r="F282" s="94"/>
      <c r="G282" s="94"/>
      <c r="H282" s="94"/>
      <c r="I282" s="94"/>
      <c r="J282" s="94"/>
      <c r="K282" s="94"/>
      <c r="L282" s="94"/>
      <c r="M282" s="94"/>
      <c r="N282" s="94"/>
      <c r="O282" s="93"/>
    </row>
    <row r="283" spans="1:15" x14ac:dyDescent="0.25">
      <c r="A283" s="730" t="s">
        <v>67</v>
      </c>
      <c r="B283" s="730" t="s">
        <v>114</v>
      </c>
      <c r="C283" s="730" t="s">
        <v>113</v>
      </c>
      <c r="D283" s="730" t="s">
        <v>40</v>
      </c>
      <c r="E283" s="729" t="s">
        <v>58</v>
      </c>
      <c r="F283" s="94"/>
      <c r="G283" s="94"/>
      <c r="H283" s="94"/>
      <c r="I283" s="94"/>
      <c r="J283" s="94"/>
      <c r="K283" s="94"/>
      <c r="L283" s="94"/>
      <c r="M283" s="94"/>
      <c r="N283" s="94"/>
      <c r="O283" s="93"/>
    </row>
    <row r="284" spans="1:15" x14ac:dyDescent="0.25">
      <c r="A284" s="884">
        <v>10</v>
      </c>
      <c r="B284" s="883" t="str">
        <f>INDEX('FR Parts'!$A$1:$P$1007,ROW(FR_06001)-1,COLUMN(FR_06001))</f>
        <v>Front body</v>
      </c>
      <c r="C284" s="882">
        <f>INDEX('FR Parts'!$A$1:$P$1007,ROW(FR_06001)-4,COLUMN(FR_06001)+12)</f>
        <v>634.80433333333337</v>
      </c>
      <c r="D284" s="882">
        <f>INDEX('FR Parts'!$A$1:$P$1007,ROW(FR_06001)-3,COLUMN(FR_06001)+12)</f>
        <v>1</v>
      </c>
      <c r="E284" s="182">
        <f>C284*D284</f>
        <v>634.80433333333337</v>
      </c>
      <c r="F284" s="94"/>
      <c r="G284" s="94"/>
      <c r="H284" s="94"/>
      <c r="I284" s="94"/>
      <c r="J284" s="94"/>
      <c r="K284" s="94"/>
      <c r="L284" s="94"/>
      <c r="M284" s="94"/>
      <c r="N284" s="94"/>
      <c r="O284" s="93"/>
    </row>
    <row r="285" spans="1:15" x14ac:dyDescent="0.25">
      <c r="A285" s="884">
        <v>20</v>
      </c>
      <c r="B285" s="883" t="str">
        <f>INDEX('FR Parts'!$A$1:$P$1007,ROW(FR_06002)-1,COLUMN(FR_06002))</f>
        <v>Body Right Inlet</v>
      </c>
      <c r="C285" s="882">
        <f>INDEX('FR Parts'!$A$1:$P$1007,ROW(FR_06002)-4,COLUMN(FR_06002)+12)</f>
        <v>322.83966666666669</v>
      </c>
      <c r="D285" s="882">
        <f>INDEX('FR Parts'!$A$1:$P$1007,ROW(FR_06002)-3,COLUMN(FR_06002)+12)</f>
        <v>1</v>
      </c>
      <c r="E285" s="182">
        <f>C285*D285</f>
        <v>322.83966666666669</v>
      </c>
      <c r="F285" s="94"/>
      <c r="G285" s="94"/>
      <c r="H285" s="94"/>
      <c r="I285" s="94"/>
      <c r="J285" s="94"/>
      <c r="K285" s="94"/>
      <c r="L285" s="94"/>
      <c r="M285" s="94"/>
      <c r="N285" s="94"/>
      <c r="O285" s="93"/>
    </row>
    <row r="286" spans="1:15" x14ac:dyDescent="0.25">
      <c r="A286" s="884">
        <v>30</v>
      </c>
      <c r="B286" s="883" t="str">
        <f>INDEX('FR Parts'!$A$1:$P$1007,ROW(FR_06003)-1,COLUMN(FR_06003))</f>
        <v>Body Left Inlet</v>
      </c>
      <c r="C286" s="882">
        <f>INDEX('FR Parts'!$A$1:$P$1007,ROW(FR_06003)-4,COLUMN(FR_06003)+12)</f>
        <v>322.83966666666669</v>
      </c>
      <c r="D286" s="882">
        <f>INDEX('FR Parts'!$A$1:$P$1007,ROW(FR_06003)-3,COLUMN(FR_06003)+12)</f>
        <v>1</v>
      </c>
      <c r="E286" s="182">
        <f>C286*D286</f>
        <v>322.83966666666669</v>
      </c>
      <c r="F286" s="94"/>
      <c r="G286" s="94"/>
      <c r="H286" s="94"/>
      <c r="I286" s="94"/>
      <c r="J286" s="94"/>
      <c r="K286" s="94"/>
      <c r="L286" s="94"/>
      <c r="M286" s="94"/>
      <c r="N286" s="94"/>
      <c r="O286" s="93"/>
    </row>
    <row r="287" spans="1:15" x14ac:dyDescent="0.25">
      <c r="A287" s="884">
        <v>40</v>
      </c>
      <c r="B287" s="883" t="str">
        <f>INDEX('FR Parts'!$A$1:$P$1007,ROW(FR_06004)-1,COLUMN(FR_06004))</f>
        <v>Body Plates</v>
      </c>
      <c r="C287" s="882">
        <f>INDEX('FR Parts'!$A$1:$P$1007,ROW(FR_06004)-4,COLUMN(FR_06004)+12)</f>
        <v>271.8837801616915</v>
      </c>
      <c r="D287" s="882">
        <f>INDEX('FR Parts'!$A$1:$P$1007,ROW(FR_06004)-3,COLUMN(FR_06004)+12)</f>
        <v>2</v>
      </c>
      <c r="E287" s="182">
        <f>C287*D287</f>
        <v>543.76756032338301</v>
      </c>
      <c r="F287" s="94"/>
      <c r="G287" s="94"/>
      <c r="H287" s="94"/>
      <c r="I287" s="94"/>
      <c r="J287" s="94"/>
      <c r="K287" s="94"/>
      <c r="L287" s="94"/>
      <c r="M287" s="94"/>
      <c r="N287" s="94"/>
      <c r="O287" s="93"/>
    </row>
    <row r="288" spans="1:15" x14ac:dyDescent="0.25">
      <c r="A288" s="884">
        <v>50</v>
      </c>
      <c r="B288" s="883" t="str">
        <f>INDEX('FR Parts'!$A$1:$P$1007,ROW(FR_06005)-1,COLUMN(FR_06005))</f>
        <v>Body Mount</v>
      </c>
      <c r="C288" s="882">
        <f>INDEX('FR Parts'!$A$1:$P$1007,ROW(FR_06005)-4,COLUMN(FR_06005)+12)</f>
        <v>0.50682821500000008</v>
      </c>
      <c r="D288" s="882">
        <f>INDEX('FR Parts'!$A$1:$P$1007,ROW(FR_06005)-3,COLUMN(FR_06005)+12)</f>
        <v>10</v>
      </c>
      <c r="E288" s="182">
        <f>C288*D288</f>
        <v>5.0682821500000008</v>
      </c>
      <c r="F288" s="94"/>
      <c r="G288" s="94"/>
      <c r="H288" s="94"/>
      <c r="I288" s="94"/>
      <c r="J288" s="94"/>
      <c r="K288" s="94"/>
      <c r="L288" s="94"/>
      <c r="M288" s="94"/>
      <c r="N288" s="94"/>
      <c r="O288" s="93"/>
    </row>
    <row r="289" spans="1:15" x14ac:dyDescent="0.25">
      <c r="A289" s="107"/>
      <c r="B289" s="94"/>
      <c r="C289" s="94"/>
      <c r="D289" s="728" t="s">
        <v>58</v>
      </c>
      <c r="E289" s="727">
        <f>SUM(E284:E288)</f>
        <v>1829.3195091400498</v>
      </c>
      <c r="F289" s="99"/>
      <c r="G289" s="99"/>
      <c r="H289" s="99"/>
      <c r="I289" s="99"/>
      <c r="J289" s="99"/>
      <c r="K289" s="99"/>
      <c r="L289" s="99"/>
      <c r="M289" s="99"/>
      <c r="N289" s="99"/>
      <c r="O289" s="594"/>
    </row>
    <row r="290" spans="1:15" x14ac:dyDescent="0.25">
      <c r="O290" s="594"/>
    </row>
    <row r="291" spans="1:15" x14ac:dyDescent="0.25">
      <c r="A291" s="875" t="s">
        <v>67</v>
      </c>
      <c r="B291" s="875" t="s">
        <v>112</v>
      </c>
      <c r="C291" s="875" t="s">
        <v>66</v>
      </c>
      <c r="D291" s="875" t="s">
        <v>65</v>
      </c>
      <c r="E291" s="875" t="s">
        <v>81</v>
      </c>
      <c r="F291" s="875" t="s">
        <v>80</v>
      </c>
      <c r="G291" s="875" t="s">
        <v>79</v>
      </c>
      <c r="H291" s="875" t="s">
        <v>78</v>
      </c>
      <c r="I291" s="875" t="s">
        <v>111</v>
      </c>
      <c r="J291" s="875" t="s">
        <v>110</v>
      </c>
      <c r="K291" s="875" t="s">
        <v>109</v>
      </c>
      <c r="L291" s="875" t="s">
        <v>108</v>
      </c>
      <c r="M291" s="875" t="s">
        <v>40</v>
      </c>
      <c r="N291" s="875" t="s">
        <v>58</v>
      </c>
      <c r="O291" s="594"/>
    </row>
    <row r="292" spans="1:15" x14ac:dyDescent="0.25">
      <c r="A292" s="789">
        <v>10</v>
      </c>
      <c r="B292" s="789" t="s">
        <v>250</v>
      </c>
      <c r="C292" s="873" t="s">
        <v>1407</v>
      </c>
      <c r="D292" s="806">
        <v>10</v>
      </c>
      <c r="E292" s="881">
        <f>0.001036477*D288</f>
        <v>1.0364770000000001E-2</v>
      </c>
      <c r="F292" s="880" t="s">
        <v>241</v>
      </c>
      <c r="G292" s="880"/>
      <c r="H292" s="804"/>
      <c r="I292" s="879"/>
      <c r="J292" s="878"/>
      <c r="K292" s="803"/>
      <c r="L292" s="877"/>
      <c r="M292" s="876">
        <v>1</v>
      </c>
      <c r="N292" s="800">
        <f>E292*D292</f>
        <v>0.10364770000000001</v>
      </c>
      <c r="O292" s="594"/>
    </row>
    <row r="293" spans="1:15" x14ac:dyDescent="0.25">
      <c r="A293" s="726"/>
      <c r="B293" s="726"/>
      <c r="C293" s="726"/>
      <c r="D293" s="726"/>
      <c r="E293" s="726"/>
      <c r="F293" s="726"/>
      <c r="G293" s="726"/>
      <c r="H293" s="726"/>
      <c r="I293" s="726"/>
      <c r="J293" s="726"/>
      <c r="K293" s="726"/>
      <c r="L293" s="726"/>
      <c r="M293" s="875" t="s">
        <v>58</v>
      </c>
      <c r="N293" s="874">
        <f>N292</f>
        <v>0.10364770000000001</v>
      </c>
      <c r="O293" s="594"/>
    </row>
    <row r="294" spans="1:15" x14ac:dyDescent="0.25">
      <c r="A294" s="107"/>
      <c r="B294" s="94"/>
      <c r="C294" s="94"/>
      <c r="D294" s="94"/>
      <c r="E294" s="94"/>
      <c r="F294" s="94"/>
      <c r="G294" s="94"/>
      <c r="H294" s="94"/>
      <c r="I294" s="94"/>
      <c r="J294" s="94"/>
      <c r="K294" s="94"/>
      <c r="L294" s="94"/>
      <c r="M294" s="94"/>
      <c r="N294" s="94"/>
      <c r="O294" s="594"/>
    </row>
    <row r="295" spans="1:15" x14ac:dyDescent="0.25">
      <c r="A295" s="729" t="s">
        <v>67</v>
      </c>
      <c r="B295" s="730" t="s">
        <v>106</v>
      </c>
      <c r="C295" s="730" t="s">
        <v>66</v>
      </c>
      <c r="D295" s="730" t="s">
        <v>65</v>
      </c>
      <c r="E295" s="730" t="s">
        <v>64</v>
      </c>
      <c r="F295" s="730" t="s">
        <v>40</v>
      </c>
      <c r="G295" s="729" t="s">
        <v>105</v>
      </c>
      <c r="H295" s="729" t="s">
        <v>104</v>
      </c>
      <c r="I295" s="729" t="s">
        <v>58</v>
      </c>
      <c r="J295" s="95"/>
      <c r="K295" s="95"/>
      <c r="L295" s="95"/>
      <c r="M295" s="95"/>
      <c r="N295" s="95"/>
      <c r="O295" s="734"/>
    </row>
    <row r="296" spans="1:15" x14ac:dyDescent="0.25">
      <c r="A296" s="789">
        <v>10</v>
      </c>
      <c r="B296" s="789" t="s">
        <v>103</v>
      </c>
      <c r="C296" s="789" t="s">
        <v>1408</v>
      </c>
      <c r="D296" s="802">
        <v>0.15</v>
      </c>
      <c r="E296" s="789" t="s">
        <v>101</v>
      </c>
      <c r="F296" s="872">
        <v>20</v>
      </c>
      <c r="G296" s="872"/>
      <c r="H296" s="872"/>
      <c r="I296" s="802">
        <v>3</v>
      </c>
      <c r="J296" s="94"/>
      <c r="K296" s="94"/>
      <c r="L296" s="94"/>
      <c r="M296" s="94"/>
      <c r="N296" s="94"/>
      <c r="O296" s="594"/>
    </row>
    <row r="297" spans="1:15" x14ac:dyDescent="0.25">
      <c r="A297" s="789">
        <v>20</v>
      </c>
      <c r="B297" s="791" t="s">
        <v>535</v>
      </c>
      <c r="C297" s="873" t="s">
        <v>1407</v>
      </c>
      <c r="D297" s="802">
        <v>5.25</v>
      </c>
      <c r="E297" s="791" t="s">
        <v>241</v>
      </c>
      <c r="F297" s="872">
        <v>1.0800000000000001E-2</v>
      </c>
      <c r="G297" s="789"/>
      <c r="H297" s="789"/>
      <c r="I297" s="802">
        <v>5.67E-2</v>
      </c>
      <c r="J297" s="94"/>
      <c r="K297" s="94"/>
      <c r="L297" s="94"/>
      <c r="M297" s="94"/>
      <c r="N297" s="94"/>
      <c r="O297" s="594"/>
    </row>
    <row r="298" spans="1:15" x14ac:dyDescent="0.25">
      <c r="A298" s="789">
        <v>30</v>
      </c>
      <c r="B298" s="807" t="s">
        <v>491</v>
      </c>
      <c r="C298" s="858" t="s">
        <v>1406</v>
      </c>
      <c r="D298" s="829">
        <v>0.15</v>
      </c>
      <c r="E298" s="858" t="s">
        <v>101</v>
      </c>
      <c r="F298" s="871">
        <v>1.5</v>
      </c>
      <c r="G298" s="871" t="s">
        <v>1405</v>
      </c>
      <c r="H298" s="871">
        <v>42</v>
      </c>
      <c r="I298" s="829">
        <v>9.4499999999999993</v>
      </c>
      <c r="J298" s="94"/>
      <c r="K298" s="94"/>
      <c r="L298" s="94"/>
      <c r="M298" s="94"/>
      <c r="N298" s="94"/>
      <c r="O298" s="594"/>
    </row>
    <row r="299" spans="1:15" x14ac:dyDescent="0.25">
      <c r="A299" s="858">
        <v>40</v>
      </c>
      <c r="B299" s="818" t="s">
        <v>1399</v>
      </c>
      <c r="C299" s="864" t="s">
        <v>1404</v>
      </c>
      <c r="D299" s="829">
        <v>0.13</v>
      </c>
      <c r="E299" s="818" t="s">
        <v>64</v>
      </c>
      <c r="F299" s="871">
        <v>42</v>
      </c>
      <c r="G299" s="858"/>
      <c r="H299" s="858"/>
      <c r="I299" s="829">
        <v>5.46</v>
      </c>
      <c r="J299" s="94"/>
      <c r="K299" s="94"/>
      <c r="L299" s="94"/>
      <c r="M299" s="94"/>
      <c r="N299" s="94"/>
      <c r="O299" s="594"/>
    </row>
    <row r="300" spans="1:15" ht="30" x14ac:dyDescent="0.25">
      <c r="A300" s="858">
        <v>50</v>
      </c>
      <c r="B300" s="818" t="s">
        <v>1403</v>
      </c>
      <c r="C300" s="864" t="s">
        <v>1402</v>
      </c>
      <c r="D300" s="829">
        <v>0.25</v>
      </c>
      <c r="E300" s="818" t="s">
        <v>64</v>
      </c>
      <c r="F300" s="871">
        <v>52</v>
      </c>
      <c r="G300" s="858"/>
      <c r="H300" s="858"/>
      <c r="I300" s="829">
        <v>13</v>
      </c>
      <c r="J300" s="94"/>
      <c r="K300" s="94"/>
      <c r="L300" s="94"/>
      <c r="M300" s="94"/>
      <c r="N300" s="94"/>
      <c r="O300" s="594"/>
    </row>
    <row r="301" spans="1:15" x14ac:dyDescent="0.25">
      <c r="A301" s="858">
        <v>60</v>
      </c>
      <c r="B301" s="818" t="s">
        <v>1394</v>
      </c>
      <c r="C301" s="858" t="s">
        <v>1401</v>
      </c>
      <c r="D301" s="829">
        <v>0.5</v>
      </c>
      <c r="E301" s="858" t="s">
        <v>64</v>
      </c>
      <c r="F301" s="871">
        <v>2</v>
      </c>
      <c r="G301" s="858"/>
      <c r="H301" s="858"/>
      <c r="I301" s="829">
        <v>1</v>
      </c>
      <c r="J301" s="94"/>
      <c r="K301" s="94"/>
      <c r="L301" s="94"/>
      <c r="M301" s="94"/>
      <c r="N301" s="94"/>
      <c r="O301" s="594"/>
    </row>
    <row r="302" spans="1:15" x14ac:dyDescent="0.25">
      <c r="A302" s="858">
        <v>70</v>
      </c>
      <c r="B302" s="818" t="s">
        <v>366</v>
      </c>
      <c r="C302" s="858" t="s">
        <v>1400</v>
      </c>
      <c r="D302" s="829">
        <v>0.5</v>
      </c>
      <c r="E302" s="858" t="s">
        <v>64</v>
      </c>
      <c r="F302" s="871">
        <v>4</v>
      </c>
      <c r="G302" s="858"/>
      <c r="H302" s="858"/>
      <c r="I302" s="829">
        <v>2</v>
      </c>
      <c r="J302" s="94"/>
      <c r="K302" s="94"/>
      <c r="L302" s="94"/>
      <c r="M302" s="94"/>
      <c r="N302" s="94"/>
      <c r="O302" s="93"/>
    </row>
    <row r="303" spans="1:15" x14ac:dyDescent="0.25">
      <c r="A303" s="858">
        <v>80</v>
      </c>
      <c r="B303" s="858" t="s">
        <v>1392</v>
      </c>
      <c r="C303" s="858" t="s">
        <v>1400</v>
      </c>
      <c r="D303" s="829">
        <v>0.25</v>
      </c>
      <c r="E303" s="858" t="s">
        <v>64</v>
      </c>
      <c r="F303" s="871">
        <v>4</v>
      </c>
      <c r="G303" s="871"/>
      <c r="H303" s="871"/>
      <c r="I303" s="829">
        <v>1</v>
      </c>
      <c r="J303" s="94"/>
      <c r="K303" s="94"/>
      <c r="L303" s="94"/>
      <c r="M303" s="94"/>
      <c r="N303" s="94"/>
      <c r="O303" s="93"/>
    </row>
    <row r="304" spans="1:15" x14ac:dyDescent="0.25">
      <c r="A304" s="858">
        <v>90</v>
      </c>
      <c r="B304" s="858" t="s">
        <v>1399</v>
      </c>
      <c r="C304" s="858" t="s">
        <v>1398</v>
      </c>
      <c r="D304" s="829">
        <v>0.13</v>
      </c>
      <c r="E304" s="858" t="s">
        <v>64</v>
      </c>
      <c r="F304" s="871">
        <v>1</v>
      </c>
      <c r="G304" s="871" t="s">
        <v>1395</v>
      </c>
      <c r="H304" s="871">
        <v>14</v>
      </c>
      <c r="I304" s="829">
        <v>1.82</v>
      </c>
      <c r="J304" s="94"/>
      <c r="K304" s="94"/>
      <c r="L304" s="94"/>
      <c r="M304" s="94"/>
      <c r="N304" s="94"/>
      <c r="O304" s="93"/>
    </row>
    <row r="305" spans="1:15" x14ac:dyDescent="0.25">
      <c r="A305" s="858">
        <v>100</v>
      </c>
      <c r="B305" s="818" t="s">
        <v>366</v>
      </c>
      <c r="C305" s="864" t="s">
        <v>1396</v>
      </c>
      <c r="D305" s="829">
        <v>0.25</v>
      </c>
      <c r="E305" s="818" t="s">
        <v>64</v>
      </c>
      <c r="F305" s="871">
        <v>3</v>
      </c>
      <c r="G305" s="871" t="s">
        <v>1397</v>
      </c>
      <c r="H305" s="871">
        <v>14</v>
      </c>
      <c r="I305" s="829">
        <v>10.5</v>
      </c>
      <c r="J305" s="94"/>
      <c r="K305" s="94"/>
      <c r="L305" s="94"/>
      <c r="M305" s="94"/>
      <c r="N305" s="94"/>
      <c r="O305" s="93"/>
    </row>
    <row r="306" spans="1:15" x14ac:dyDescent="0.25">
      <c r="A306" s="858">
        <v>110</v>
      </c>
      <c r="B306" s="858" t="s">
        <v>1392</v>
      </c>
      <c r="C306" s="864" t="s">
        <v>1396</v>
      </c>
      <c r="D306" s="829">
        <v>0.5</v>
      </c>
      <c r="E306" s="858" t="s">
        <v>64</v>
      </c>
      <c r="F306" s="871">
        <v>3</v>
      </c>
      <c r="G306" s="871" t="s">
        <v>1395</v>
      </c>
      <c r="H306" s="871">
        <v>14</v>
      </c>
      <c r="I306" s="829">
        <v>21</v>
      </c>
      <c r="J306" s="94"/>
      <c r="K306" s="94"/>
      <c r="L306" s="94"/>
      <c r="M306" s="94"/>
      <c r="N306" s="94"/>
      <c r="O306" s="93"/>
    </row>
    <row r="307" spans="1:15" x14ac:dyDescent="0.25">
      <c r="A307" s="858">
        <v>120</v>
      </c>
      <c r="B307" s="818" t="s">
        <v>1394</v>
      </c>
      <c r="C307" s="858" t="s">
        <v>1393</v>
      </c>
      <c r="D307" s="829">
        <v>0.5</v>
      </c>
      <c r="E307" s="858" t="s">
        <v>64</v>
      </c>
      <c r="F307" s="870">
        <v>2</v>
      </c>
      <c r="G307" s="858"/>
      <c r="H307" s="858"/>
      <c r="I307" s="829">
        <v>1</v>
      </c>
      <c r="J307" s="94"/>
      <c r="K307" s="94"/>
      <c r="L307" s="94"/>
      <c r="M307" s="94"/>
      <c r="N307" s="94"/>
      <c r="O307" s="93"/>
    </row>
    <row r="308" spans="1:15" x14ac:dyDescent="0.25">
      <c r="A308" s="858">
        <v>130</v>
      </c>
      <c r="B308" s="818" t="s">
        <v>366</v>
      </c>
      <c r="C308" s="858" t="s">
        <v>1391</v>
      </c>
      <c r="D308" s="829">
        <v>0.5</v>
      </c>
      <c r="E308" s="858" t="s">
        <v>64</v>
      </c>
      <c r="F308" s="870">
        <v>4</v>
      </c>
      <c r="G308" s="858" t="s">
        <v>1182</v>
      </c>
      <c r="H308" s="858">
        <v>2</v>
      </c>
      <c r="I308" s="829">
        <v>4</v>
      </c>
      <c r="J308" s="94"/>
      <c r="K308" s="94"/>
      <c r="L308" s="94"/>
      <c r="M308" s="94"/>
      <c r="N308" s="94"/>
      <c r="O308" s="93"/>
    </row>
    <row r="309" spans="1:15" x14ac:dyDescent="0.25">
      <c r="A309" s="858">
        <v>140</v>
      </c>
      <c r="B309" s="858" t="s">
        <v>1392</v>
      </c>
      <c r="C309" s="858" t="s">
        <v>1391</v>
      </c>
      <c r="D309" s="829">
        <v>0.25</v>
      </c>
      <c r="E309" s="858" t="s">
        <v>64</v>
      </c>
      <c r="F309" s="870">
        <v>4</v>
      </c>
      <c r="G309" s="858" t="s">
        <v>1182</v>
      </c>
      <c r="H309" s="858">
        <v>2</v>
      </c>
      <c r="I309" s="829">
        <v>2</v>
      </c>
      <c r="J309" s="94"/>
      <c r="K309" s="94"/>
      <c r="L309" s="94"/>
      <c r="M309" s="94"/>
      <c r="N309" s="94"/>
      <c r="O309" s="93"/>
    </row>
    <row r="310" spans="1:15" x14ac:dyDescent="0.25">
      <c r="A310" s="733"/>
      <c r="B310" s="705"/>
      <c r="C310" s="705"/>
      <c r="D310" s="705"/>
      <c r="E310" s="705"/>
      <c r="F310" s="705"/>
      <c r="G310" s="705"/>
      <c r="H310" s="732" t="s">
        <v>58</v>
      </c>
      <c r="I310" s="731">
        <f>SUM(I296:I309)</f>
        <v>75.286699999999996</v>
      </c>
      <c r="J310" s="94"/>
      <c r="K310" s="94"/>
      <c r="L310" s="94"/>
      <c r="M310" s="94"/>
      <c r="N310" s="94"/>
      <c r="O310" s="93"/>
    </row>
    <row r="311" spans="1:15" x14ac:dyDescent="0.25">
      <c r="A311" s="107"/>
      <c r="B311" s="94"/>
      <c r="C311" s="94"/>
      <c r="D311" s="94"/>
      <c r="E311" s="94"/>
      <c r="F311" s="94"/>
      <c r="G311" s="94"/>
      <c r="H311" s="94"/>
      <c r="I311" s="94"/>
      <c r="J311" s="94"/>
      <c r="K311" s="94"/>
      <c r="L311" s="94"/>
      <c r="M311" s="94"/>
      <c r="N311" s="94"/>
      <c r="O311" s="93"/>
    </row>
    <row r="312" spans="1:15" x14ac:dyDescent="0.25">
      <c r="A312" s="729" t="s">
        <v>67</v>
      </c>
      <c r="B312" s="729" t="s">
        <v>82</v>
      </c>
      <c r="C312" s="729" t="s">
        <v>66</v>
      </c>
      <c r="D312" s="729" t="s">
        <v>65</v>
      </c>
      <c r="E312" s="729" t="s">
        <v>81</v>
      </c>
      <c r="F312" s="729" t="s">
        <v>80</v>
      </c>
      <c r="G312" s="729" t="s">
        <v>79</v>
      </c>
      <c r="H312" s="730" t="s">
        <v>78</v>
      </c>
      <c r="I312" s="730" t="s">
        <v>40</v>
      </c>
      <c r="J312" s="729" t="s">
        <v>58</v>
      </c>
      <c r="K312" s="94"/>
      <c r="L312" s="94"/>
      <c r="M312" s="94"/>
      <c r="N312" s="94"/>
      <c r="O312" s="93"/>
    </row>
    <row r="313" spans="1:15" x14ac:dyDescent="0.25">
      <c r="A313" s="858">
        <v>10</v>
      </c>
      <c r="B313" s="858" t="s">
        <v>184</v>
      </c>
      <c r="C313" s="858" t="s">
        <v>1390</v>
      </c>
      <c r="D313" s="869">
        <v>0.03</v>
      </c>
      <c r="E313" s="868">
        <v>6</v>
      </c>
      <c r="F313" s="868" t="s">
        <v>68</v>
      </c>
      <c r="G313" s="868">
        <v>50</v>
      </c>
      <c r="H313" s="868" t="s">
        <v>68</v>
      </c>
      <c r="I313" s="848">
        <v>4</v>
      </c>
      <c r="J313" s="182">
        <f t="shared" ref="J313:J318" si="7">I313*D313</f>
        <v>0.12</v>
      </c>
      <c r="K313" s="94"/>
      <c r="L313" s="94"/>
      <c r="M313" s="94"/>
      <c r="N313" s="94"/>
      <c r="O313" s="93"/>
    </row>
    <row r="314" spans="1:15" x14ac:dyDescent="0.25">
      <c r="A314" s="858">
        <v>20</v>
      </c>
      <c r="B314" s="858" t="s">
        <v>184</v>
      </c>
      <c r="C314" s="858" t="s">
        <v>1389</v>
      </c>
      <c r="D314" s="869">
        <v>0.03</v>
      </c>
      <c r="E314" s="868">
        <v>6</v>
      </c>
      <c r="F314" s="868" t="s">
        <v>68</v>
      </c>
      <c r="G314" s="868">
        <v>15</v>
      </c>
      <c r="H314" s="868" t="s">
        <v>68</v>
      </c>
      <c r="I314" s="848">
        <v>8</v>
      </c>
      <c r="J314" s="182">
        <f t="shared" si="7"/>
        <v>0.24</v>
      </c>
      <c r="K314" s="94"/>
      <c r="L314" s="94"/>
      <c r="M314" s="94"/>
      <c r="N314" s="94"/>
      <c r="O314" s="93"/>
    </row>
    <row r="315" spans="1:15" x14ac:dyDescent="0.25">
      <c r="A315" s="858">
        <v>30</v>
      </c>
      <c r="B315" s="858" t="s">
        <v>184</v>
      </c>
      <c r="C315" s="858" t="s">
        <v>1388</v>
      </c>
      <c r="D315" s="869">
        <v>0.02</v>
      </c>
      <c r="E315" s="868">
        <v>5</v>
      </c>
      <c r="F315" s="868" t="s">
        <v>68</v>
      </c>
      <c r="G315" s="868">
        <v>15</v>
      </c>
      <c r="H315" s="868" t="s">
        <v>68</v>
      </c>
      <c r="I315" s="848">
        <v>4</v>
      </c>
      <c r="J315" s="182">
        <f t="shared" si="7"/>
        <v>0.08</v>
      </c>
      <c r="K315" s="94"/>
      <c r="L315" s="94"/>
      <c r="M315" s="94"/>
      <c r="N315" s="94"/>
      <c r="O315" s="93"/>
    </row>
    <row r="316" spans="1:15" x14ac:dyDescent="0.25">
      <c r="A316" s="858">
        <v>40</v>
      </c>
      <c r="B316" s="866" t="s">
        <v>1386</v>
      </c>
      <c r="C316" s="864" t="s">
        <v>1387</v>
      </c>
      <c r="D316" s="865">
        <v>0.01</v>
      </c>
      <c r="E316" s="864">
        <v>6</v>
      </c>
      <c r="F316" s="863" t="s">
        <v>68</v>
      </c>
      <c r="G316" s="864"/>
      <c r="H316" s="867"/>
      <c r="I316" s="848">
        <v>12</v>
      </c>
      <c r="J316" s="182">
        <f t="shared" si="7"/>
        <v>0.12</v>
      </c>
      <c r="K316" s="94"/>
      <c r="L316" s="94"/>
      <c r="M316" s="94"/>
      <c r="N316" s="94"/>
      <c r="O316" s="93"/>
    </row>
    <row r="317" spans="1:15" x14ac:dyDescent="0.25">
      <c r="A317" s="858">
        <v>50</v>
      </c>
      <c r="B317" s="866" t="s">
        <v>1386</v>
      </c>
      <c r="C317" s="864" t="s">
        <v>1385</v>
      </c>
      <c r="D317" s="865">
        <v>0.01</v>
      </c>
      <c r="E317" s="864">
        <v>5</v>
      </c>
      <c r="F317" s="863" t="s">
        <v>68</v>
      </c>
      <c r="G317" s="864"/>
      <c r="H317" s="867"/>
      <c r="I317" s="848">
        <v>42</v>
      </c>
      <c r="J317" s="182">
        <f t="shared" si="7"/>
        <v>0.42</v>
      </c>
      <c r="K317" s="94"/>
      <c r="L317" s="94"/>
      <c r="M317" s="94"/>
      <c r="N317" s="94"/>
      <c r="O317" s="93"/>
    </row>
    <row r="318" spans="1:15" x14ac:dyDescent="0.25">
      <c r="A318" s="858">
        <v>60</v>
      </c>
      <c r="B318" s="866" t="s">
        <v>1384</v>
      </c>
      <c r="C318" s="864" t="s">
        <v>1383</v>
      </c>
      <c r="D318" s="865">
        <v>0.224</v>
      </c>
      <c r="E318" s="864">
        <v>6</v>
      </c>
      <c r="F318" s="863" t="s">
        <v>68</v>
      </c>
      <c r="G318" s="858"/>
      <c r="H318" s="860"/>
      <c r="I318" s="848">
        <f>D288</f>
        <v>10</v>
      </c>
      <c r="J318" s="182">
        <f t="shared" si="7"/>
        <v>2.2400000000000002</v>
      </c>
      <c r="K318" s="94"/>
      <c r="L318" s="94"/>
      <c r="M318" s="94"/>
      <c r="N318" s="94"/>
      <c r="O318" s="93"/>
    </row>
    <row r="319" spans="1:15" ht="30" x14ac:dyDescent="0.25">
      <c r="A319" s="858">
        <v>70</v>
      </c>
      <c r="B319" s="861" t="s">
        <v>1382</v>
      </c>
      <c r="C319" s="848" t="s">
        <v>1380</v>
      </c>
      <c r="D319" s="862">
        <v>3.0000000000000001E-3</v>
      </c>
      <c r="E319" s="848">
        <v>1240</v>
      </c>
      <c r="F319" s="1078" t="s">
        <v>354</v>
      </c>
      <c r="G319" s="858"/>
      <c r="H319" s="860"/>
      <c r="I319" s="848">
        <v>2</v>
      </c>
      <c r="J319" s="182">
        <f>E319*D319*I319</f>
        <v>7.44</v>
      </c>
      <c r="K319" s="94"/>
      <c r="L319" s="94"/>
      <c r="M319" s="94"/>
      <c r="N319" s="94"/>
      <c r="O319" s="93"/>
    </row>
    <row r="320" spans="1:15" ht="30" x14ac:dyDescent="0.25">
      <c r="A320" s="858">
        <v>80</v>
      </c>
      <c r="B320" s="861" t="s">
        <v>1381</v>
      </c>
      <c r="C320" s="848" t="s">
        <v>1380</v>
      </c>
      <c r="D320" s="862">
        <v>2E-3</v>
      </c>
      <c r="E320" s="848">
        <v>1240</v>
      </c>
      <c r="F320" s="1078" t="s">
        <v>354</v>
      </c>
      <c r="G320" s="858"/>
      <c r="H320" s="860"/>
      <c r="I320" s="848">
        <v>2</v>
      </c>
      <c r="J320" s="182">
        <f>E320*D320*I320</f>
        <v>4.96</v>
      </c>
      <c r="K320" s="94"/>
      <c r="L320" s="94"/>
      <c r="M320" s="94"/>
      <c r="N320" s="94"/>
      <c r="O320" s="93"/>
    </row>
    <row r="321" spans="1:15" x14ac:dyDescent="0.25">
      <c r="A321" s="98"/>
      <c r="B321" s="95"/>
      <c r="C321" s="95"/>
      <c r="D321" s="95"/>
      <c r="E321" s="95"/>
      <c r="F321" s="95"/>
      <c r="G321" s="95"/>
      <c r="H321" s="95"/>
      <c r="I321" s="728" t="s">
        <v>58</v>
      </c>
      <c r="J321" s="727">
        <f>SUM(J313:J320)</f>
        <v>15.620000000000001</v>
      </c>
      <c r="K321" s="94"/>
      <c r="L321" s="94"/>
      <c r="M321" s="94"/>
      <c r="N321" s="94"/>
      <c r="O321" s="93"/>
    </row>
    <row r="322" spans="1:15" x14ac:dyDescent="0.25">
      <c r="A322" s="98"/>
      <c r="B322" s="95"/>
      <c r="C322" s="95"/>
      <c r="D322" s="95"/>
      <c r="E322" s="95"/>
      <c r="F322" s="95"/>
      <c r="G322" s="95"/>
      <c r="H322" s="95"/>
      <c r="K322" s="94"/>
      <c r="L322" s="94"/>
      <c r="M322" s="94"/>
      <c r="N322" s="94"/>
      <c r="O322" s="93"/>
    </row>
    <row r="323" spans="1:15" x14ac:dyDescent="0.25">
      <c r="A323" s="859" t="s">
        <v>67</v>
      </c>
      <c r="B323" s="859" t="s">
        <v>13</v>
      </c>
      <c r="C323" s="859" t="s">
        <v>66</v>
      </c>
      <c r="D323" s="859" t="s">
        <v>65</v>
      </c>
      <c r="E323" s="859" t="s">
        <v>64</v>
      </c>
      <c r="F323" s="859" t="s">
        <v>40</v>
      </c>
      <c r="G323" s="859" t="s">
        <v>63</v>
      </c>
      <c r="H323" s="859" t="s">
        <v>62</v>
      </c>
      <c r="I323" s="859" t="s">
        <v>58</v>
      </c>
      <c r="K323" s="94"/>
      <c r="L323" s="94"/>
      <c r="M323" s="94"/>
      <c r="N323" s="94"/>
      <c r="O323" s="93"/>
    </row>
    <row r="324" spans="1:15" x14ac:dyDescent="0.25">
      <c r="A324" s="858">
        <v>10</v>
      </c>
      <c r="B324" s="858" t="s">
        <v>61</v>
      </c>
      <c r="C324" s="858" t="s">
        <v>1379</v>
      </c>
      <c r="D324" s="840">
        <v>500</v>
      </c>
      <c r="E324" s="858" t="s">
        <v>59</v>
      </c>
      <c r="F324" s="858">
        <f>2*D288</f>
        <v>20</v>
      </c>
      <c r="G324" s="858">
        <v>3000</v>
      </c>
      <c r="H324" s="858">
        <v>1</v>
      </c>
      <c r="I324" s="845">
        <f>D324*F324/(G324*H324)</f>
        <v>3.3333333333333335</v>
      </c>
      <c r="K324" s="94"/>
      <c r="L324" s="94"/>
      <c r="M324" s="94"/>
      <c r="N324" s="94"/>
      <c r="O324" s="93"/>
    </row>
    <row r="325" spans="1:15" x14ac:dyDescent="0.25">
      <c r="A325" s="726"/>
      <c r="B325" s="726"/>
      <c r="C325" s="726"/>
      <c r="D325" s="726"/>
      <c r="E325" s="726"/>
      <c r="F325" s="726"/>
      <c r="G325" s="726"/>
      <c r="H325" s="857" t="s">
        <v>58</v>
      </c>
      <c r="I325" s="856">
        <f>I324</f>
        <v>3.3333333333333335</v>
      </c>
      <c r="K325" s="94"/>
      <c r="L325" s="94"/>
      <c r="M325" s="94"/>
      <c r="N325" s="94"/>
      <c r="O325" s="93"/>
    </row>
    <row r="326" spans="1:15" ht="15.75" thickBot="1" x14ac:dyDescent="0.3">
      <c r="A326" s="92"/>
      <c r="B326" s="91"/>
      <c r="C326" s="91"/>
      <c r="D326" s="91"/>
      <c r="E326" s="91"/>
      <c r="F326" s="91"/>
      <c r="G326" s="91"/>
      <c r="H326" s="91"/>
      <c r="I326" s="91"/>
      <c r="J326" s="91"/>
      <c r="K326" s="91"/>
      <c r="L326" s="91"/>
      <c r="M326" s="91"/>
      <c r="N326" s="91"/>
      <c r="O326" s="90"/>
    </row>
  </sheetData>
  <hyperlinks>
    <hyperlink ref="B10" location="FR_01001" display="FR_01001"/>
    <hyperlink ref="B46" location="FR_02001" display="FR_02001"/>
    <hyperlink ref="B11:B16" location="EL_01001" display="EL_01001"/>
    <hyperlink ref="B14:B17" location="EL_01001" display="EL_01001"/>
    <hyperlink ref="B18" location="FR_01009" display="FR_01009"/>
    <hyperlink ref="B71" location="FR_03001" display="FR_03001"/>
    <hyperlink ref="B72:B73" location="EL_02001" display="EL_02001"/>
    <hyperlink ref="B238" location="FR_05001" display="FR_05001"/>
    <hyperlink ref="B239:B242" location="EL_02001" display="EL_02001"/>
    <hyperlink ref="B284" location="FR_06001" display="FR_06001"/>
    <hyperlink ref="B285:B288" location="EL_02001" display="EL_02001"/>
    <hyperlink ref="K4" location="dFR_A0001" display="Drawing"/>
    <hyperlink ref="B11" location="FR_01002" display="FR_01002"/>
    <hyperlink ref="B12" location="FR_01003" display="FR_01003"/>
    <hyperlink ref="B13" location="FR_01004" display="FR_01004"/>
    <hyperlink ref="B14" location="FR_01004" display="FR_01004"/>
    <hyperlink ref="B15" location="FR_01005" display="FR_01005"/>
    <hyperlink ref="B16" location="FR_01006" display="FR_01006"/>
    <hyperlink ref="B17" location="FR_01008" display="FR_01008"/>
    <hyperlink ref="B72" location="FR_03002" display="FR_03002"/>
    <hyperlink ref="B73" location="FR_03003" display="FR_03003"/>
    <hyperlink ref="B110" location="FR_04001" display="FR_04001"/>
    <hyperlink ref="B111" location="FR_04002" display="FR_04002"/>
    <hyperlink ref="B112" location="FR_04003" display="FR_04003"/>
    <hyperlink ref="B113" location="FR_04004" display="FR_04004"/>
    <hyperlink ref="B114" location="FR_04005" display="FR_04005"/>
    <hyperlink ref="B115" location="FR_04006" display="FR_04006"/>
    <hyperlink ref="B116" location="FR_04007" display="FR_04007"/>
    <hyperlink ref="B117" location="FR_04008" display="FR_04008"/>
    <hyperlink ref="B118" location="FR_04009" display="FR_04009"/>
    <hyperlink ref="B119" location="FR_04010" display="FR_04010"/>
    <hyperlink ref="B120" location="FR_04011" display="FR_04011"/>
    <hyperlink ref="B121" location="FR_04012" display="FR_04012"/>
    <hyperlink ref="B122" location="FR_04013" display="FR_04013"/>
    <hyperlink ref="B123" location="FR_04014" display="FR_04014"/>
    <hyperlink ref="B124" location="FR_04015" display="FR_04015"/>
    <hyperlink ref="B125" location="FR_04016" display="FR_04016"/>
    <hyperlink ref="B126" location="FR_04017" display="FR_04017"/>
    <hyperlink ref="B127" location="FR_04018" display="FR_04018"/>
    <hyperlink ref="B128" location="FR_04019" display="FR_04019"/>
    <hyperlink ref="B239" location="FR_05002" display="FR_05002"/>
    <hyperlink ref="B240" location="FR_05003" display="FR_05003"/>
    <hyperlink ref="B241" location="FR_05004" display="FR_05004"/>
    <hyperlink ref="B242" location="FR_05005" display="FR_05005"/>
    <hyperlink ref="B285" location="FR_06002" display="FR_06002"/>
    <hyperlink ref="B286" location="FR_06003" display="FR_06003"/>
    <hyperlink ref="B287" location="FR_06004" display="FR_06004"/>
    <hyperlink ref="B288" location="FR_06005" display="FR_06005"/>
  </hyperlinks>
  <pageMargins left="0.7" right="0.7" top="0.75" bottom="0.75" header="0.51180555555555496" footer="0.3"/>
  <pageSetup paperSize="9" scale="42" firstPageNumber="0" fitToHeight="0" orientation="portrait" r:id="rId1"/>
  <headerFooter>
    <oddFooter>&amp;C&amp;P</oddFooter>
  </headerFooter>
  <rowBreaks count="4" manualBreakCount="4">
    <brk id="35" max="16383" man="1"/>
    <brk id="60" max="16383" man="1"/>
    <brk id="227" max="16383" man="1"/>
    <brk id="273" max="16383" man="1"/>
  </row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S930"/>
  <sheetViews>
    <sheetView zoomScale="80" zoomScaleNormal="80" workbookViewId="0"/>
  </sheetViews>
  <sheetFormatPr baseColWidth="10" defaultColWidth="9.140625" defaultRowHeight="15" x14ac:dyDescent="0.25"/>
  <cols>
    <col min="1" max="1" width="9.140625" style="89"/>
    <col min="2" max="2" width="34.85546875" style="89" customWidth="1"/>
    <col min="3" max="3" width="38.85546875" style="89" customWidth="1"/>
    <col min="4" max="4" width="13.7109375" style="89" customWidth="1"/>
    <col min="5" max="5" width="11.7109375" style="89" customWidth="1"/>
    <col min="6" max="6" width="11.140625" style="89" customWidth="1"/>
    <col min="7" max="7" width="16.140625" style="89" customWidth="1"/>
    <col min="8" max="8" width="9.85546875" style="89" customWidth="1"/>
    <col min="9" max="9" width="23" style="89" customWidth="1"/>
    <col min="10" max="10" width="12.5703125" style="89" customWidth="1"/>
    <col min="11" max="11" width="12.28515625" style="89" bestFit="1" customWidth="1"/>
    <col min="12" max="12" width="12.42578125" style="89" customWidth="1"/>
    <col min="13" max="13" width="13.85546875" style="89" customWidth="1"/>
    <col min="14" max="14" width="11.85546875" style="89" customWidth="1"/>
    <col min="15" max="15" width="3.140625" style="89" customWidth="1"/>
    <col min="16" max="16384" width="9.140625" style="89"/>
  </cols>
  <sheetData>
    <row r="1" spans="1:19" x14ac:dyDescent="0.25">
      <c r="A1" s="141"/>
      <c r="B1" s="140"/>
      <c r="C1" s="140"/>
      <c r="D1" s="140"/>
      <c r="E1" s="140"/>
      <c r="F1" s="140"/>
      <c r="G1" s="140"/>
      <c r="H1" s="140"/>
      <c r="I1" s="140"/>
      <c r="J1" s="140"/>
      <c r="K1" s="140"/>
      <c r="L1" s="140"/>
      <c r="M1" s="140"/>
      <c r="N1" s="140"/>
      <c r="O1" s="139"/>
    </row>
    <row r="2" spans="1:19" x14ac:dyDescent="0.25">
      <c r="A2" s="757" t="s">
        <v>57</v>
      </c>
      <c r="B2" s="133" t="s">
        <v>523</v>
      </c>
      <c r="C2" s="94"/>
      <c r="D2" s="94"/>
      <c r="E2" s="94"/>
      <c r="F2" s="94"/>
      <c r="G2" s="94"/>
      <c r="H2" s="94"/>
      <c r="I2" s="94"/>
      <c r="J2" s="760" t="s">
        <v>51</v>
      </c>
      <c r="K2" s="138">
        <v>81</v>
      </c>
      <c r="L2" s="94"/>
      <c r="M2" s="757" t="s">
        <v>113</v>
      </c>
      <c r="N2" s="100">
        <f>FR_01001_m+FR_01001_p</f>
        <v>19.991161742895002</v>
      </c>
      <c r="O2" s="93"/>
    </row>
    <row r="3" spans="1:19" x14ac:dyDescent="0.25">
      <c r="A3" s="757" t="s">
        <v>125</v>
      </c>
      <c r="B3" s="133" t="s">
        <v>1412</v>
      </c>
      <c r="C3" s="94"/>
      <c r="D3" s="757" t="s">
        <v>122</v>
      </c>
      <c r="F3" s="94"/>
      <c r="G3" s="94"/>
      <c r="H3" s="94"/>
      <c r="I3" s="94"/>
      <c r="J3" s="94"/>
      <c r="K3" s="94"/>
      <c r="L3" s="94"/>
      <c r="M3" s="757" t="s">
        <v>124</v>
      </c>
      <c r="N3" s="136">
        <v>1</v>
      </c>
      <c r="O3" s="93"/>
    </row>
    <row r="4" spans="1:19" x14ac:dyDescent="0.25">
      <c r="A4" s="757" t="s">
        <v>123</v>
      </c>
      <c r="B4" s="270" t="str">
        <f>'FR Assemblies'!B4</f>
        <v>Frame</v>
      </c>
      <c r="C4" s="94"/>
      <c r="D4" s="757" t="s">
        <v>119</v>
      </c>
      <c r="E4" s="94"/>
      <c r="F4" s="94"/>
      <c r="G4" s="94"/>
      <c r="H4" s="94"/>
      <c r="I4" s="94"/>
      <c r="J4" s="758" t="s">
        <v>122</v>
      </c>
      <c r="K4" s="94"/>
      <c r="L4" s="94"/>
      <c r="M4" s="94"/>
      <c r="N4" s="94"/>
      <c r="O4" s="93"/>
    </row>
    <row r="5" spans="1:19" x14ac:dyDescent="0.25">
      <c r="A5" s="757" t="s">
        <v>114</v>
      </c>
      <c r="B5" s="135" t="s">
        <v>1753</v>
      </c>
      <c r="C5" s="94"/>
      <c r="D5" s="757" t="s">
        <v>116</v>
      </c>
      <c r="E5" s="94"/>
      <c r="F5" s="94"/>
      <c r="G5" s="94"/>
      <c r="H5" s="94"/>
      <c r="I5" s="94"/>
      <c r="J5" s="758" t="s">
        <v>119</v>
      </c>
      <c r="K5" s="94"/>
      <c r="L5" s="94"/>
      <c r="M5" s="757" t="s">
        <v>118</v>
      </c>
      <c r="N5" s="100">
        <f>N3*N2</f>
        <v>19.991161742895002</v>
      </c>
      <c r="O5" s="93"/>
    </row>
    <row r="6" spans="1:19" x14ac:dyDescent="0.25">
      <c r="A6" s="757" t="s">
        <v>121</v>
      </c>
      <c r="B6" s="89" t="s">
        <v>1752</v>
      </c>
      <c r="C6" s="94"/>
      <c r="D6" s="94"/>
      <c r="E6" s="94"/>
      <c r="F6" s="94"/>
      <c r="G6" s="788"/>
      <c r="H6" s="94"/>
      <c r="I6" s="94"/>
      <c r="J6" s="758" t="s">
        <v>116</v>
      </c>
      <c r="K6" s="94"/>
      <c r="L6" s="94"/>
      <c r="M6" s="94"/>
      <c r="N6" s="94"/>
      <c r="O6" s="93"/>
    </row>
    <row r="7" spans="1:19" x14ac:dyDescent="0.25">
      <c r="A7" s="757" t="s">
        <v>117</v>
      </c>
      <c r="B7" s="133" t="s">
        <v>23</v>
      </c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3"/>
    </row>
    <row r="8" spans="1:19" x14ac:dyDescent="0.25">
      <c r="A8" s="757" t="s">
        <v>115</v>
      </c>
      <c r="B8" s="744" t="s">
        <v>1751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3"/>
    </row>
    <row r="9" spans="1:19" x14ac:dyDescent="0.25">
      <c r="A9" s="266"/>
      <c r="B9" s="265"/>
      <c r="C9" s="265"/>
      <c r="D9" s="265"/>
      <c r="E9" s="265"/>
      <c r="F9" s="94"/>
      <c r="G9" s="94"/>
      <c r="H9" s="94"/>
      <c r="I9" s="94"/>
      <c r="J9" s="94"/>
      <c r="K9" s="94"/>
      <c r="L9" s="94"/>
      <c r="M9" s="94"/>
      <c r="N9" s="94"/>
      <c r="O9" s="93"/>
      <c r="R9" s="561"/>
      <c r="S9" s="784"/>
    </row>
    <row r="10" spans="1:19" x14ac:dyDescent="0.25">
      <c r="A10" s="756" t="s">
        <v>67</v>
      </c>
      <c r="B10" s="755" t="s">
        <v>112</v>
      </c>
      <c r="C10" s="755" t="s">
        <v>66</v>
      </c>
      <c r="D10" s="755" t="s">
        <v>65</v>
      </c>
      <c r="E10" s="755" t="s">
        <v>81</v>
      </c>
      <c r="F10" s="1001" t="s">
        <v>80</v>
      </c>
      <c r="G10" s="1001" t="s">
        <v>79</v>
      </c>
      <c r="H10" s="1001" t="s">
        <v>78</v>
      </c>
      <c r="I10" s="1001" t="s">
        <v>111</v>
      </c>
      <c r="J10" s="1001" t="s">
        <v>110</v>
      </c>
      <c r="K10" s="1001" t="s">
        <v>109</v>
      </c>
      <c r="L10" s="1001" t="s">
        <v>108</v>
      </c>
      <c r="M10" s="1001" t="s">
        <v>40</v>
      </c>
      <c r="N10" s="1001" t="s">
        <v>58</v>
      </c>
      <c r="O10" s="93"/>
      <c r="S10" s="784"/>
    </row>
    <row r="11" spans="1:19" s="250" customFormat="1" ht="15.75" customHeight="1" x14ac:dyDescent="0.25">
      <c r="A11" s="1077">
        <v>10</v>
      </c>
      <c r="B11" s="1076" t="s">
        <v>583</v>
      </c>
      <c r="C11" s="1075" t="s">
        <v>1750</v>
      </c>
      <c r="D11" s="991">
        <v>2.25</v>
      </c>
      <c r="E11" s="1075">
        <v>30</v>
      </c>
      <c r="F11" s="1075" t="s">
        <v>68</v>
      </c>
      <c r="G11" s="1075">
        <v>2</v>
      </c>
      <c r="H11" s="1074" t="s">
        <v>68</v>
      </c>
      <c r="I11" s="996" t="s">
        <v>1744</v>
      </c>
      <c r="J11" s="1051">
        <v>1.7593E-4</v>
      </c>
      <c r="K11" s="1073">
        <v>2.4992000000000001</v>
      </c>
      <c r="L11" s="1052">
        <v>7860</v>
      </c>
      <c r="M11" s="1059">
        <v>1</v>
      </c>
      <c r="N11" s="991">
        <f>IF(J11="",D11*M11,D11*J11*K11*L11*M11)</f>
        <v>7.7758160673600001</v>
      </c>
      <c r="O11" s="143"/>
    </row>
    <row r="12" spans="1:19" s="250" customFormat="1" ht="15.75" customHeight="1" x14ac:dyDescent="0.25">
      <c r="A12" s="1075">
        <v>20</v>
      </c>
      <c r="B12" s="1076" t="s">
        <v>583</v>
      </c>
      <c r="C12" s="1075" t="s">
        <v>1749</v>
      </c>
      <c r="D12" s="991">
        <v>2.25</v>
      </c>
      <c r="E12" s="1075">
        <v>30</v>
      </c>
      <c r="F12" s="1075" t="s">
        <v>68</v>
      </c>
      <c r="G12" s="1075">
        <v>2</v>
      </c>
      <c r="H12" s="1074" t="s">
        <v>68</v>
      </c>
      <c r="I12" s="996" t="s">
        <v>1744</v>
      </c>
      <c r="J12" s="1051">
        <v>1.7593E-4</v>
      </c>
      <c r="K12" s="1073">
        <v>1.3227</v>
      </c>
      <c r="L12" s="1052">
        <v>7860</v>
      </c>
      <c r="M12" s="1059">
        <v>1</v>
      </c>
      <c r="N12" s="991">
        <f>IF(J12="",D12*M12,D12*J12*K12*L12*M12)</f>
        <v>4.115345675535</v>
      </c>
      <c r="O12" s="143"/>
    </row>
    <row r="13" spans="1:19" x14ac:dyDescent="0.25">
      <c r="A13" s="98"/>
      <c r="B13" s="95"/>
      <c r="C13" s="95"/>
      <c r="D13" s="95"/>
      <c r="E13" s="95"/>
      <c r="F13" s="95"/>
      <c r="G13" s="95"/>
      <c r="H13" s="95"/>
      <c r="I13" s="95"/>
      <c r="J13" s="95"/>
      <c r="K13" s="95"/>
      <c r="L13" s="95"/>
      <c r="M13" s="990" t="s">
        <v>58</v>
      </c>
      <c r="N13" s="750">
        <f>SUM(N11:N12)</f>
        <v>11.891161742895001</v>
      </c>
      <c r="O13" s="93"/>
    </row>
    <row r="14" spans="1:19" x14ac:dyDescent="0.25">
      <c r="A14" s="107"/>
      <c r="B14" s="94"/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  <c r="N14" s="94"/>
      <c r="O14" s="93"/>
    </row>
    <row r="15" spans="1:19" x14ac:dyDescent="0.25">
      <c r="A15" s="1005" t="s">
        <v>67</v>
      </c>
      <c r="B15" s="1001" t="s">
        <v>106</v>
      </c>
      <c r="C15" s="1001" t="s">
        <v>66</v>
      </c>
      <c r="D15" s="1001" t="s">
        <v>65</v>
      </c>
      <c r="E15" s="1001" t="s">
        <v>64</v>
      </c>
      <c r="F15" s="1001" t="s">
        <v>40</v>
      </c>
      <c r="G15" s="1001" t="s">
        <v>105</v>
      </c>
      <c r="H15" s="1001" t="s">
        <v>104</v>
      </c>
      <c r="I15" s="1001" t="s">
        <v>58</v>
      </c>
      <c r="J15" s="95"/>
      <c r="K15" s="95"/>
      <c r="L15" s="95"/>
      <c r="M15" s="95"/>
      <c r="N15" s="95"/>
      <c r="O15" s="93"/>
    </row>
    <row r="16" spans="1:19" s="245" customFormat="1" x14ac:dyDescent="0.25">
      <c r="A16" s="1072">
        <v>10</v>
      </c>
      <c r="B16" s="1061" t="s">
        <v>1005</v>
      </c>
      <c r="C16" s="1063" t="s">
        <v>1748</v>
      </c>
      <c r="D16" s="1024">
        <v>0.75</v>
      </c>
      <c r="E16" s="986" t="s">
        <v>537</v>
      </c>
      <c r="F16" s="986">
        <v>5</v>
      </c>
      <c r="G16" s="1063"/>
      <c r="H16" s="1063"/>
      <c r="I16" s="1040">
        <f>IF(H16="",D16*F16,D16*F16*H16)</f>
        <v>3.75</v>
      </c>
      <c r="J16" s="142"/>
      <c r="K16" s="142"/>
      <c r="L16" s="142"/>
      <c r="M16" s="142"/>
      <c r="N16" s="142"/>
      <c r="O16" s="120"/>
    </row>
    <row r="17" spans="1:15" x14ac:dyDescent="0.25">
      <c r="A17" s="1071">
        <v>20</v>
      </c>
      <c r="B17" s="1061" t="s">
        <v>463</v>
      </c>
      <c r="C17" s="1070" t="s">
        <v>1348</v>
      </c>
      <c r="D17" s="1024">
        <v>0.15</v>
      </c>
      <c r="E17" s="986" t="s">
        <v>101</v>
      </c>
      <c r="F17" s="986">
        <v>9</v>
      </c>
      <c r="G17" s="1061"/>
      <c r="H17" s="953"/>
      <c r="I17" s="991">
        <f>IF(H17="",D17*F17,D17*F17*H17)</f>
        <v>1.3499999999999999</v>
      </c>
      <c r="J17" s="94"/>
      <c r="K17" s="94"/>
      <c r="L17" s="94"/>
      <c r="M17" s="94"/>
      <c r="N17" s="94"/>
      <c r="O17" s="93"/>
    </row>
    <row r="18" spans="1:15" s="254" customFormat="1" x14ac:dyDescent="0.25">
      <c r="A18" s="1069">
        <v>30</v>
      </c>
      <c r="B18" s="1068" t="s">
        <v>910</v>
      </c>
      <c r="C18" s="953"/>
      <c r="D18" s="1024">
        <v>0.75</v>
      </c>
      <c r="E18" s="986" t="s">
        <v>908</v>
      </c>
      <c r="F18" s="986">
        <v>4</v>
      </c>
      <c r="G18" s="953"/>
      <c r="H18" s="953"/>
      <c r="I18" s="991">
        <f>IF(H18="",D18*F18,D18*F18*H18)</f>
        <v>3</v>
      </c>
      <c r="J18" s="99"/>
      <c r="K18" s="99"/>
      <c r="L18" s="99"/>
      <c r="M18" s="99"/>
      <c r="N18" s="99"/>
      <c r="O18" s="130"/>
    </row>
    <row r="19" spans="1:15" x14ac:dyDescent="0.25">
      <c r="A19" s="98"/>
      <c r="B19" s="95"/>
      <c r="C19" s="95"/>
      <c r="D19" s="95"/>
      <c r="E19" s="95"/>
      <c r="F19" s="95"/>
      <c r="G19" s="95"/>
      <c r="H19" s="751" t="s">
        <v>58</v>
      </c>
      <c r="I19" s="750">
        <f>SUM(I16:I18)</f>
        <v>8.1</v>
      </c>
      <c r="J19" s="95"/>
      <c r="K19" s="95"/>
      <c r="L19" s="95"/>
      <c r="M19" s="95"/>
      <c r="N19" s="95"/>
      <c r="O19" s="93"/>
    </row>
    <row r="20" spans="1:15" ht="15.75" thickBot="1" x14ac:dyDescent="0.3">
      <c r="A20" s="92"/>
      <c r="B20" s="91"/>
      <c r="C20" s="91"/>
      <c r="D20" s="91"/>
      <c r="E20" s="91"/>
      <c r="F20" s="91"/>
      <c r="G20" s="91"/>
      <c r="H20" s="544"/>
      <c r="I20" s="544"/>
      <c r="J20" s="91"/>
      <c r="K20" s="91"/>
      <c r="L20" s="91"/>
      <c r="M20" s="91"/>
      <c r="N20" s="91"/>
      <c r="O20" s="90"/>
    </row>
    <row r="21" spans="1:15" ht="15.75" thickBot="1" x14ac:dyDescent="0.3"/>
    <row r="22" spans="1:15" x14ac:dyDescent="0.25">
      <c r="A22" s="141"/>
      <c r="B22" s="140"/>
      <c r="C22" s="140"/>
      <c r="D22" s="140"/>
      <c r="E22" s="140"/>
      <c r="F22" s="140"/>
      <c r="G22" s="140"/>
      <c r="H22" s="140"/>
      <c r="I22" s="140"/>
      <c r="J22" s="140"/>
      <c r="K22" s="140"/>
      <c r="L22" s="140"/>
      <c r="M22" s="140"/>
      <c r="N22" s="140"/>
      <c r="O22" s="139"/>
    </row>
    <row r="23" spans="1:15" x14ac:dyDescent="0.25">
      <c r="A23" s="757" t="s">
        <v>57</v>
      </c>
      <c r="B23" s="133" t="s">
        <v>523</v>
      </c>
      <c r="C23" s="94"/>
      <c r="D23" s="94"/>
      <c r="E23" s="94"/>
      <c r="F23" s="94"/>
      <c r="G23" s="94"/>
      <c r="H23" s="94"/>
      <c r="I23" s="94"/>
      <c r="J23" s="760" t="s">
        <v>51</v>
      </c>
      <c r="K23" s="138">
        <v>81</v>
      </c>
      <c r="L23" s="94"/>
      <c r="M23" s="757" t="s">
        <v>113</v>
      </c>
      <c r="N23" s="100">
        <f>FR_01002_m+FR_01002_p</f>
        <v>281.43655218929996</v>
      </c>
      <c r="O23" s="93"/>
    </row>
    <row r="24" spans="1:15" x14ac:dyDescent="0.25">
      <c r="A24" s="757" t="s">
        <v>125</v>
      </c>
      <c r="B24" s="133" t="s">
        <v>1412</v>
      </c>
      <c r="C24" s="94"/>
      <c r="D24" s="757" t="s">
        <v>122</v>
      </c>
      <c r="E24" s="94"/>
      <c r="F24" s="94"/>
      <c r="G24" s="94"/>
      <c r="H24" s="94"/>
      <c r="I24" s="94"/>
      <c r="J24" s="94"/>
      <c r="K24" s="94"/>
      <c r="L24" s="94"/>
      <c r="M24" s="757" t="s">
        <v>124</v>
      </c>
      <c r="N24" s="136">
        <v>1</v>
      </c>
      <c r="O24" s="93"/>
    </row>
    <row r="25" spans="1:15" x14ac:dyDescent="0.25">
      <c r="A25" s="757" t="s">
        <v>123</v>
      </c>
      <c r="B25" s="270" t="str">
        <f>'FR Assemblies'!B4</f>
        <v>Frame</v>
      </c>
      <c r="C25" s="94"/>
      <c r="D25" s="757" t="s">
        <v>119</v>
      </c>
      <c r="E25" s="94"/>
      <c r="F25" s="94"/>
      <c r="G25" s="94"/>
      <c r="H25" s="94"/>
      <c r="I25" s="94"/>
      <c r="J25" s="758" t="s">
        <v>122</v>
      </c>
      <c r="K25" s="94"/>
      <c r="L25" s="94"/>
      <c r="M25" s="94"/>
      <c r="N25" s="94"/>
      <c r="O25" s="93"/>
    </row>
    <row r="26" spans="1:15" x14ac:dyDescent="0.25">
      <c r="A26" s="757" t="s">
        <v>114</v>
      </c>
      <c r="B26" s="744" t="s">
        <v>1747</v>
      </c>
      <c r="C26" s="94"/>
      <c r="D26" s="757" t="s">
        <v>116</v>
      </c>
      <c r="E26" s="94"/>
      <c r="F26" s="94"/>
      <c r="G26" s="94"/>
      <c r="H26" s="94"/>
      <c r="I26" s="94"/>
      <c r="J26" s="758" t="s">
        <v>119</v>
      </c>
      <c r="K26" s="94"/>
      <c r="L26" s="94"/>
      <c r="M26" s="757" t="s">
        <v>118</v>
      </c>
      <c r="N26" s="100">
        <f>N24*N23</f>
        <v>281.43655218929996</v>
      </c>
      <c r="O26" s="93"/>
    </row>
    <row r="27" spans="1:15" x14ac:dyDescent="0.25">
      <c r="A27" s="757" t="s">
        <v>121</v>
      </c>
      <c r="B27" s="269" t="s">
        <v>1746</v>
      </c>
      <c r="C27" s="94"/>
      <c r="D27" s="94"/>
      <c r="E27" s="94"/>
      <c r="F27" s="94"/>
      <c r="G27" s="94"/>
      <c r="H27" s="94"/>
      <c r="I27" s="94"/>
      <c r="J27" s="758" t="s">
        <v>116</v>
      </c>
      <c r="K27" s="94"/>
      <c r="L27" s="94"/>
      <c r="M27" s="94"/>
      <c r="N27" s="94"/>
      <c r="O27" s="93"/>
    </row>
    <row r="28" spans="1:15" x14ac:dyDescent="0.25">
      <c r="A28" s="757" t="s">
        <v>117</v>
      </c>
      <c r="B28" s="133" t="s">
        <v>23</v>
      </c>
      <c r="C28" s="94"/>
      <c r="D28" s="94"/>
      <c r="E28" s="94"/>
      <c r="F28" s="94"/>
      <c r="G28" s="94"/>
      <c r="H28" s="94"/>
      <c r="I28" s="94"/>
      <c r="J28" s="94"/>
      <c r="K28" s="94"/>
      <c r="L28" s="94"/>
      <c r="M28" s="94"/>
      <c r="N28" s="94"/>
      <c r="O28" s="93"/>
    </row>
    <row r="29" spans="1:15" x14ac:dyDescent="0.25">
      <c r="A29" s="757" t="s">
        <v>115</v>
      </c>
      <c r="B29" s="133"/>
      <c r="C29" s="94"/>
      <c r="D29" s="94"/>
      <c r="E29" s="94"/>
      <c r="F29" s="94"/>
      <c r="G29" s="94"/>
      <c r="H29" s="94"/>
      <c r="I29" s="94"/>
      <c r="J29" s="94"/>
      <c r="K29" s="94"/>
      <c r="L29" s="94"/>
      <c r="M29" s="94"/>
      <c r="N29" s="94"/>
      <c r="O29" s="93"/>
    </row>
    <row r="30" spans="1:15" x14ac:dyDescent="0.25">
      <c r="A30" s="266"/>
      <c r="B30" s="265"/>
      <c r="C30" s="265"/>
      <c r="D30" s="265"/>
      <c r="E30" s="265"/>
      <c r="F30" s="94"/>
      <c r="G30" s="94"/>
      <c r="H30" s="94"/>
      <c r="I30" s="94"/>
      <c r="J30" s="94"/>
      <c r="K30" s="94"/>
      <c r="L30" s="94"/>
      <c r="M30" s="94"/>
      <c r="N30" s="94"/>
      <c r="O30" s="93"/>
    </row>
    <row r="31" spans="1:15" x14ac:dyDescent="0.25">
      <c r="A31" s="756" t="s">
        <v>67</v>
      </c>
      <c r="B31" s="755" t="s">
        <v>112</v>
      </c>
      <c r="C31" s="755" t="s">
        <v>66</v>
      </c>
      <c r="D31" s="755" t="s">
        <v>65</v>
      </c>
      <c r="E31" s="755" t="s">
        <v>81</v>
      </c>
      <c r="F31" s="1001" t="s">
        <v>80</v>
      </c>
      <c r="G31" s="1001" t="s">
        <v>79</v>
      </c>
      <c r="H31" s="1001" t="s">
        <v>78</v>
      </c>
      <c r="I31" s="1001" t="s">
        <v>111</v>
      </c>
      <c r="J31" s="1001" t="s">
        <v>110</v>
      </c>
      <c r="K31" s="1001" t="s">
        <v>109</v>
      </c>
      <c r="L31" s="1001" t="s">
        <v>108</v>
      </c>
      <c r="M31" s="1001" t="s">
        <v>40</v>
      </c>
      <c r="N31" s="1001" t="s">
        <v>58</v>
      </c>
      <c r="O31" s="93"/>
    </row>
    <row r="32" spans="1:15" ht="30" x14ac:dyDescent="0.25">
      <c r="A32" s="986">
        <v>10</v>
      </c>
      <c r="B32" s="986" t="s">
        <v>583</v>
      </c>
      <c r="C32" s="1067" t="s">
        <v>1745</v>
      </c>
      <c r="D32" s="1024">
        <v>2.25</v>
      </c>
      <c r="E32" s="986">
        <v>30</v>
      </c>
      <c r="F32" s="986" t="s">
        <v>68</v>
      </c>
      <c r="G32" s="986">
        <v>2</v>
      </c>
      <c r="H32" s="993" t="s">
        <v>68</v>
      </c>
      <c r="I32" s="1064" t="s">
        <v>1744</v>
      </c>
      <c r="J32" s="1051">
        <v>1.7593E-4</v>
      </c>
      <c r="K32" s="1066">
        <v>0.91600000000000004</v>
      </c>
      <c r="L32" s="1051">
        <v>7860</v>
      </c>
      <c r="M32" s="1059">
        <v>1</v>
      </c>
      <c r="N32" s="991">
        <f>IF(J32="",D32*M32,D32*J32*K32*L32*M32)</f>
        <v>2.8499709977999999</v>
      </c>
      <c r="O32" s="143"/>
    </row>
    <row r="33" spans="1:15" ht="30" x14ac:dyDescent="0.25">
      <c r="A33" s="986">
        <v>20</v>
      </c>
      <c r="B33" s="986" t="s">
        <v>583</v>
      </c>
      <c r="C33" s="987" t="s">
        <v>1743</v>
      </c>
      <c r="D33" s="1024">
        <v>2.25</v>
      </c>
      <c r="E33" s="986">
        <v>30</v>
      </c>
      <c r="F33" s="986" t="s">
        <v>68</v>
      </c>
      <c r="G33" s="986">
        <v>1.5</v>
      </c>
      <c r="H33" s="993" t="s">
        <v>68</v>
      </c>
      <c r="I33" s="1064" t="s">
        <v>1742</v>
      </c>
      <c r="J33" s="1051">
        <v>1.3430000000000001E-4</v>
      </c>
      <c r="K33" s="993">
        <v>10.06</v>
      </c>
      <c r="L33" s="1051">
        <v>7860</v>
      </c>
      <c r="M33" s="1059">
        <v>1</v>
      </c>
      <c r="N33" s="991">
        <f>IF(J33="",D33*M33,D33*J33*K33*L33*M33)</f>
        <v>23.893460730000001</v>
      </c>
      <c r="O33" s="143"/>
    </row>
    <row r="34" spans="1:15" ht="45" x14ac:dyDescent="0.25">
      <c r="A34" s="986">
        <v>30</v>
      </c>
      <c r="B34" s="986" t="s">
        <v>583</v>
      </c>
      <c r="C34" s="987" t="s">
        <v>1741</v>
      </c>
      <c r="D34" s="1024">
        <v>2.25</v>
      </c>
      <c r="E34" s="986">
        <v>25</v>
      </c>
      <c r="F34" s="986" t="s">
        <v>68</v>
      </c>
      <c r="G34" s="986">
        <v>1.5</v>
      </c>
      <c r="H34" s="993" t="s">
        <v>68</v>
      </c>
      <c r="I34" s="1064" t="s">
        <v>1740</v>
      </c>
      <c r="J34" s="1051">
        <v>1.1074E-4</v>
      </c>
      <c r="K34" s="993">
        <v>11.88</v>
      </c>
      <c r="L34" s="1051">
        <v>7860</v>
      </c>
      <c r="M34" s="1059">
        <v>1</v>
      </c>
      <c r="N34" s="991">
        <f>IF(J34="",D34*M34,D34*J34*K34*L34*M34)</f>
        <v>23.266230371999999</v>
      </c>
      <c r="O34" s="143"/>
    </row>
    <row r="35" spans="1:15" x14ac:dyDescent="0.25">
      <c r="A35" s="986">
        <v>40</v>
      </c>
      <c r="B35" s="986" t="s">
        <v>583</v>
      </c>
      <c r="C35" s="1065" t="s">
        <v>1739</v>
      </c>
      <c r="D35" s="1024">
        <v>2.25</v>
      </c>
      <c r="E35" s="986">
        <v>20</v>
      </c>
      <c r="F35" s="986" t="s">
        <v>68</v>
      </c>
      <c r="G35" s="986">
        <v>1.5</v>
      </c>
      <c r="H35" s="993" t="s">
        <v>68</v>
      </c>
      <c r="I35" s="1064" t="s">
        <v>1738</v>
      </c>
      <c r="J35" s="1051">
        <v>8.7180000000000002E-5</v>
      </c>
      <c r="K35" s="993">
        <v>15.065</v>
      </c>
      <c r="L35" s="1051">
        <v>7860</v>
      </c>
      <c r="M35" s="1059">
        <v>1</v>
      </c>
      <c r="N35" s="991">
        <f>IF(J35="",D35*M35,D35*J35*K35*L35*M35)</f>
        <v>23.226890089499999</v>
      </c>
      <c r="O35" s="143"/>
    </row>
    <row r="36" spans="1:15" x14ac:dyDescent="0.25">
      <c r="A36" s="98"/>
      <c r="B36" s="95"/>
      <c r="C36" s="95"/>
      <c r="D36" s="95"/>
      <c r="E36" s="95"/>
      <c r="F36" s="95"/>
      <c r="G36" s="95"/>
      <c r="H36" s="95"/>
      <c r="I36" s="95"/>
      <c r="J36" s="95"/>
      <c r="K36" s="95"/>
      <c r="L36" s="95"/>
      <c r="M36" s="990" t="s">
        <v>58</v>
      </c>
      <c r="N36" s="750">
        <f>SUM(N32:N35)</f>
        <v>73.236552189299999</v>
      </c>
      <c r="O36" s="93"/>
    </row>
    <row r="37" spans="1:15" x14ac:dyDescent="0.25">
      <c r="A37" s="678"/>
      <c r="B37" s="549"/>
      <c r="C37" s="549"/>
      <c r="D37" s="549"/>
      <c r="E37" s="549"/>
      <c r="F37" s="549"/>
      <c r="G37" s="549"/>
      <c r="H37" s="549"/>
      <c r="I37" s="549"/>
      <c r="J37" s="94"/>
      <c r="K37" s="94"/>
      <c r="L37" s="94"/>
      <c r="M37" s="94"/>
      <c r="N37" s="94"/>
      <c r="O37" s="93"/>
    </row>
    <row r="38" spans="1:15" x14ac:dyDescent="0.25">
      <c r="A38" s="1005" t="s">
        <v>67</v>
      </c>
      <c r="B38" s="1001" t="s">
        <v>106</v>
      </c>
      <c r="C38" s="1001" t="s">
        <v>66</v>
      </c>
      <c r="D38" s="1001" t="s">
        <v>65</v>
      </c>
      <c r="E38" s="1001" t="s">
        <v>64</v>
      </c>
      <c r="F38" s="1001" t="s">
        <v>40</v>
      </c>
      <c r="G38" s="1001" t="s">
        <v>105</v>
      </c>
      <c r="H38" s="1001" t="s">
        <v>104</v>
      </c>
      <c r="I38" s="1001" t="s">
        <v>58</v>
      </c>
      <c r="J38" s="95"/>
      <c r="K38" s="95"/>
      <c r="L38" s="95"/>
      <c r="M38" s="95"/>
      <c r="N38" s="95"/>
      <c r="O38" s="93"/>
    </row>
    <row r="39" spans="1:15" x14ac:dyDescent="0.25">
      <c r="A39" s="986">
        <v>10</v>
      </c>
      <c r="B39" s="989" t="s">
        <v>463</v>
      </c>
      <c r="C39" s="989" t="s">
        <v>1348</v>
      </c>
      <c r="D39" s="1024">
        <v>0.15</v>
      </c>
      <c r="E39" s="986" t="s">
        <v>101</v>
      </c>
      <c r="F39" s="986">
        <v>448</v>
      </c>
      <c r="G39" s="1063"/>
      <c r="H39" s="1063"/>
      <c r="I39" s="1040">
        <f>IF(H39="",D39*F39,D39*F39*H39)</f>
        <v>67.2</v>
      </c>
      <c r="J39" s="142"/>
      <c r="K39" s="142"/>
      <c r="L39" s="142"/>
      <c r="M39" s="142"/>
      <c r="N39" s="142"/>
      <c r="O39" s="120"/>
    </row>
    <row r="40" spans="1:15" x14ac:dyDescent="0.25">
      <c r="A40" s="986">
        <v>20</v>
      </c>
      <c r="B40" s="1062" t="s">
        <v>1004</v>
      </c>
      <c r="C40" s="989"/>
      <c r="D40" s="1024">
        <v>0.75</v>
      </c>
      <c r="E40" s="986" t="s">
        <v>908</v>
      </c>
      <c r="F40" s="986">
        <v>188</v>
      </c>
      <c r="G40" s="1061"/>
      <c r="H40" s="953"/>
      <c r="I40" s="991">
        <f>IF(H40="",D40*F40,D40*F40*H40)</f>
        <v>141</v>
      </c>
      <c r="J40" s="94"/>
      <c r="K40" s="94"/>
      <c r="L40" s="94"/>
      <c r="M40" s="94"/>
      <c r="N40" s="94"/>
      <c r="O40" s="93"/>
    </row>
    <row r="41" spans="1:15" x14ac:dyDescent="0.25">
      <c r="A41" s="98"/>
      <c r="B41" s="95"/>
      <c r="C41" s="95"/>
      <c r="D41" s="95"/>
      <c r="E41" s="95"/>
      <c r="F41" s="95"/>
      <c r="G41" s="95"/>
      <c r="H41" s="751" t="s">
        <v>58</v>
      </c>
      <c r="I41" s="750">
        <f>SUM(I39:I40)</f>
        <v>208.2</v>
      </c>
      <c r="J41" s="95"/>
      <c r="K41" s="95"/>
      <c r="L41" s="95"/>
      <c r="M41" s="95"/>
      <c r="N41" s="95"/>
      <c r="O41" s="93"/>
    </row>
    <row r="42" spans="1:15" ht="15.75" thickBot="1" x14ac:dyDescent="0.3">
      <c r="A42" s="92"/>
      <c r="B42" s="91"/>
      <c r="C42" s="91"/>
      <c r="D42" s="91"/>
      <c r="E42" s="91"/>
      <c r="F42" s="91"/>
      <c r="G42" s="91"/>
      <c r="H42" s="91"/>
      <c r="I42" s="91"/>
      <c r="J42" s="91"/>
      <c r="K42" s="91"/>
      <c r="L42" s="91"/>
      <c r="M42" s="91"/>
      <c r="N42" s="91"/>
      <c r="O42" s="90"/>
    </row>
    <row r="43" spans="1:15" ht="15.75" thickBot="1" x14ac:dyDescent="0.3"/>
    <row r="44" spans="1:15" x14ac:dyDescent="0.25">
      <c r="A44" s="141"/>
      <c r="B44" s="140"/>
      <c r="C44" s="140"/>
      <c r="D44" s="140"/>
      <c r="E44" s="140"/>
      <c r="F44" s="140"/>
      <c r="G44" s="140"/>
      <c r="H44" s="140"/>
      <c r="I44" s="140"/>
      <c r="J44" s="272"/>
      <c r="K44" s="140"/>
      <c r="L44" s="140"/>
      <c r="M44" s="140"/>
      <c r="N44" s="140"/>
      <c r="O44" s="139"/>
    </row>
    <row r="45" spans="1:15" x14ac:dyDescent="0.25">
      <c r="A45" s="757" t="s">
        <v>57</v>
      </c>
      <c r="B45" s="133" t="s">
        <v>523</v>
      </c>
      <c r="C45" s="94"/>
      <c r="D45" s="94"/>
      <c r="E45" s="94"/>
      <c r="F45" s="94"/>
      <c r="G45" s="94"/>
      <c r="H45" s="94"/>
      <c r="I45" s="94"/>
      <c r="J45" s="760" t="s">
        <v>51</v>
      </c>
      <c r="K45" s="138">
        <v>81</v>
      </c>
      <c r="L45" s="94"/>
      <c r="M45" s="757" t="s">
        <v>113</v>
      </c>
      <c r="N45" s="100">
        <f>FR_01003_m+FR_01003_p</f>
        <v>10.645725225</v>
      </c>
      <c r="O45" s="93"/>
    </row>
    <row r="46" spans="1:15" x14ac:dyDescent="0.25">
      <c r="A46" s="757" t="s">
        <v>125</v>
      </c>
      <c r="B46" s="133" t="s">
        <v>1412</v>
      </c>
      <c r="C46" s="94"/>
      <c r="D46" s="757" t="s">
        <v>122</v>
      </c>
      <c r="E46" s="94"/>
      <c r="F46" s="94"/>
      <c r="G46" s="94"/>
      <c r="H46" s="94"/>
      <c r="I46" s="94"/>
      <c r="J46" s="94"/>
      <c r="K46" s="94"/>
      <c r="L46" s="94"/>
      <c r="M46" s="757" t="s">
        <v>124</v>
      </c>
      <c r="N46" s="136">
        <v>1</v>
      </c>
      <c r="O46" s="93"/>
    </row>
    <row r="47" spans="1:15" x14ac:dyDescent="0.25">
      <c r="A47" s="757" t="s">
        <v>123</v>
      </c>
      <c r="B47" s="270" t="str">
        <f>'FR Assemblies'!B4</f>
        <v>Frame</v>
      </c>
      <c r="C47" s="94"/>
      <c r="D47" s="757" t="s">
        <v>119</v>
      </c>
      <c r="E47" s="94"/>
      <c r="F47" s="94"/>
      <c r="G47" s="94"/>
      <c r="H47" s="94"/>
      <c r="I47" s="94"/>
      <c r="J47" s="758" t="s">
        <v>122</v>
      </c>
      <c r="K47" s="94"/>
      <c r="L47" s="94"/>
      <c r="M47" s="94"/>
      <c r="N47" s="94"/>
      <c r="O47" s="93"/>
    </row>
    <row r="48" spans="1:15" x14ac:dyDescent="0.25">
      <c r="A48" s="757" t="s">
        <v>114</v>
      </c>
      <c r="B48" s="744" t="s">
        <v>1736</v>
      </c>
      <c r="C48" s="94"/>
      <c r="D48" s="757" t="s">
        <v>116</v>
      </c>
      <c r="E48" s="94"/>
      <c r="F48" s="94"/>
      <c r="G48" s="94"/>
      <c r="H48" s="94"/>
      <c r="I48" s="94"/>
      <c r="J48" s="758" t="s">
        <v>119</v>
      </c>
      <c r="K48" s="94"/>
      <c r="L48" s="94"/>
      <c r="M48" s="757" t="s">
        <v>118</v>
      </c>
      <c r="N48" s="100">
        <f>N46*N45</f>
        <v>10.645725225</v>
      </c>
      <c r="O48" s="93"/>
    </row>
    <row r="49" spans="1:15" x14ac:dyDescent="0.25">
      <c r="A49" s="757" t="s">
        <v>121</v>
      </c>
      <c r="B49" s="269" t="s">
        <v>1737</v>
      </c>
      <c r="C49" s="94"/>
      <c r="D49" s="94"/>
      <c r="E49" s="94"/>
      <c r="F49" s="94"/>
      <c r="G49" s="94"/>
      <c r="H49" s="94"/>
      <c r="I49" s="94"/>
      <c r="J49" s="758" t="s">
        <v>116</v>
      </c>
      <c r="K49" s="94"/>
      <c r="L49" s="94"/>
      <c r="M49" s="94"/>
      <c r="N49" s="94"/>
      <c r="O49" s="93"/>
    </row>
    <row r="50" spans="1:15" x14ac:dyDescent="0.25">
      <c r="A50" s="757" t="s">
        <v>117</v>
      </c>
      <c r="B50" s="133" t="s">
        <v>23</v>
      </c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3"/>
    </row>
    <row r="51" spans="1:15" x14ac:dyDescent="0.25">
      <c r="A51" s="757" t="s">
        <v>115</v>
      </c>
      <c r="B51" s="133"/>
      <c r="C51" s="94"/>
      <c r="D51" s="94"/>
      <c r="E51" s="94"/>
      <c r="F51" s="94"/>
      <c r="G51" s="94"/>
      <c r="H51" s="94"/>
      <c r="I51" s="94"/>
      <c r="J51" s="94"/>
      <c r="K51" s="94"/>
      <c r="L51" s="94"/>
      <c r="M51" s="94"/>
      <c r="N51" s="94"/>
      <c r="O51" s="93"/>
    </row>
    <row r="52" spans="1:15" x14ac:dyDescent="0.25">
      <c r="A52" s="266"/>
      <c r="B52" s="265"/>
      <c r="C52" s="265"/>
      <c r="D52" s="265"/>
      <c r="E52" s="265"/>
      <c r="F52" s="94"/>
      <c r="G52" s="94"/>
      <c r="H52" s="94"/>
      <c r="I52" s="94"/>
      <c r="J52" s="94"/>
      <c r="K52" s="94"/>
      <c r="L52" s="94"/>
      <c r="M52" s="94"/>
      <c r="N52" s="94"/>
      <c r="O52" s="93"/>
    </row>
    <row r="53" spans="1:15" x14ac:dyDescent="0.25">
      <c r="A53" s="756" t="s">
        <v>67</v>
      </c>
      <c r="B53" s="755" t="s">
        <v>112</v>
      </c>
      <c r="C53" s="755" t="s">
        <v>66</v>
      </c>
      <c r="D53" s="755" t="s">
        <v>65</v>
      </c>
      <c r="E53" s="755" t="s">
        <v>81</v>
      </c>
      <c r="F53" s="1001" t="s">
        <v>80</v>
      </c>
      <c r="G53" s="1001" t="s">
        <v>79</v>
      </c>
      <c r="H53" s="1001" t="s">
        <v>78</v>
      </c>
      <c r="I53" s="1001" t="s">
        <v>111</v>
      </c>
      <c r="J53" s="1001" t="s">
        <v>110</v>
      </c>
      <c r="K53" s="1001" t="s">
        <v>109</v>
      </c>
      <c r="L53" s="1001" t="s">
        <v>108</v>
      </c>
      <c r="M53" s="1001" t="s">
        <v>40</v>
      </c>
      <c r="N53" s="1001" t="s">
        <v>58</v>
      </c>
      <c r="O53" s="93"/>
    </row>
    <row r="54" spans="1:15" ht="30" x14ac:dyDescent="0.25">
      <c r="A54" s="986">
        <v>10</v>
      </c>
      <c r="B54" s="986" t="s">
        <v>583</v>
      </c>
      <c r="C54" s="986" t="s">
        <v>1736</v>
      </c>
      <c r="D54" s="1024">
        <v>2.25</v>
      </c>
      <c r="E54" s="1058">
        <v>357</v>
      </c>
      <c r="F54" s="986" t="s">
        <v>68</v>
      </c>
      <c r="G54" s="986">
        <v>1.5</v>
      </c>
      <c r="H54" s="993" t="s">
        <v>68</v>
      </c>
      <c r="I54" s="996" t="s">
        <v>1735</v>
      </c>
      <c r="J54" s="1051">
        <f>0.0015*0.355</f>
        <v>5.3249999999999999E-4</v>
      </c>
      <c r="K54" s="1051">
        <v>0.378</v>
      </c>
      <c r="L54" s="993">
        <v>7860</v>
      </c>
      <c r="M54" s="1059">
        <v>1</v>
      </c>
      <c r="N54" s="991">
        <f>IF(J54="",D54*M54,D54*J54*K54*L54*M54)</f>
        <v>3.5597252250000002</v>
      </c>
      <c r="O54" s="143"/>
    </row>
    <row r="55" spans="1:15" x14ac:dyDescent="0.25">
      <c r="A55" s="98"/>
      <c r="B55" s="95"/>
      <c r="C55" s="95"/>
      <c r="D55" s="95"/>
      <c r="E55" s="95"/>
      <c r="F55" s="95"/>
      <c r="G55" s="95"/>
      <c r="H55" s="95"/>
      <c r="I55" s="95"/>
      <c r="J55" s="95"/>
      <c r="K55" s="95"/>
      <c r="L55" s="95"/>
      <c r="M55" s="990" t="s">
        <v>58</v>
      </c>
      <c r="N55" s="750">
        <f>SUM(N54:N54)</f>
        <v>3.5597252250000002</v>
      </c>
      <c r="O55" s="93"/>
    </row>
    <row r="56" spans="1:15" x14ac:dyDescent="0.25">
      <c r="A56" s="107"/>
      <c r="B56" s="94"/>
      <c r="C56" s="94"/>
      <c r="D56" s="94"/>
      <c r="E56" s="94"/>
      <c r="F56" s="94"/>
      <c r="G56" s="94"/>
      <c r="H56" s="94"/>
      <c r="I56" s="94"/>
      <c r="J56" s="94"/>
      <c r="K56" s="94"/>
      <c r="L56" s="94"/>
      <c r="M56" s="94"/>
      <c r="N56" s="94"/>
      <c r="O56" s="93"/>
    </row>
    <row r="57" spans="1:15" x14ac:dyDescent="0.25">
      <c r="A57" s="1005" t="s">
        <v>67</v>
      </c>
      <c r="B57" s="1001" t="s">
        <v>106</v>
      </c>
      <c r="C57" s="1001" t="s">
        <v>66</v>
      </c>
      <c r="D57" s="1001" t="s">
        <v>65</v>
      </c>
      <c r="E57" s="1001" t="s">
        <v>64</v>
      </c>
      <c r="F57" s="1001" t="s">
        <v>40</v>
      </c>
      <c r="G57" s="1001" t="s">
        <v>105</v>
      </c>
      <c r="H57" s="1001" t="s">
        <v>104</v>
      </c>
      <c r="I57" s="1001" t="s">
        <v>58</v>
      </c>
      <c r="J57" s="95"/>
      <c r="K57" s="95"/>
      <c r="L57" s="95"/>
      <c r="M57" s="95"/>
      <c r="N57" s="95"/>
      <c r="O57" s="93"/>
    </row>
    <row r="58" spans="1:15" x14ac:dyDescent="0.25">
      <c r="A58" s="986">
        <v>10</v>
      </c>
      <c r="B58" s="1004" t="s">
        <v>516</v>
      </c>
      <c r="C58" s="989" t="s">
        <v>802</v>
      </c>
      <c r="D58" s="1024">
        <v>1.3</v>
      </c>
      <c r="E58" s="986" t="s">
        <v>64</v>
      </c>
      <c r="F58" s="986">
        <v>1</v>
      </c>
      <c r="G58" s="986"/>
      <c r="H58" s="986"/>
      <c r="I58" s="1040">
        <f>IF(H58="",D58*F58,D58*F58*H58)</f>
        <v>1.3</v>
      </c>
      <c r="J58" s="142"/>
      <c r="K58" s="142"/>
      <c r="L58" s="142"/>
      <c r="M58" s="142"/>
      <c r="N58" s="142"/>
      <c r="O58" s="120"/>
    </row>
    <row r="59" spans="1:15" x14ac:dyDescent="0.25">
      <c r="A59" s="787">
        <v>20</v>
      </c>
      <c r="B59" s="748" t="s">
        <v>541</v>
      </c>
      <c r="C59" s="786"/>
      <c r="D59" s="785">
        <v>0.01</v>
      </c>
      <c r="E59" s="986" t="s">
        <v>101</v>
      </c>
      <c r="F59" s="986">
        <v>146.19999999999999</v>
      </c>
      <c r="G59" s="986" t="s">
        <v>724</v>
      </c>
      <c r="H59" s="986">
        <v>3</v>
      </c>
      <c r="I59" s="1040">
        <f>IF(H59="",D59*F59,D59*F59*H59)</f>
        <v>4.3860000000000001</v>
      </c>
      <c r="J59" s="94"/>
      <c r="K59" s="94"/>
      <c r="L59" s="94"/>
      <c r="M59" s="94"/>
      <c r="N59" s="94"/>
      <c r="O59" s="93"/>
    </row>
    <row r="60" spans="1:15" x14ac:dyDescent="0.25">
      <c r="A60" s="986">
        <v>30</v>
      </c>
      <c r="B60" s="951" t="s">
        <v>296</v>
      </c>
      <c r="C60" s="986"/>
      <c r="D60" s="1060">
        <v>0.35</v>
      </c>
      <c r="E60" s="951" t="s">
        <v>294</v>
      </c>
      <c r="F60" s="986">
        <v>4</v>
      </c>
      <c r="G60" s="986"/>
      <c r="H60" s="986"/>
      <c r="I60" s="1040">
        <f>IF(H60="",D60*F60,D60*F60*H60)</f>
        <v>1.4</v>
      </c>
      <c r="J60" s="99"/>
      <c r="K60" s="99"/>
      <c r="L60" s="99"/>
      <c r="M60" s="99"/>
      <c r="N60" s="99"/>
      <c r="O60" s="130"/>
    </row>
    <row r="61" spans="1:15" x14ac:dyDescent="0.25">
      <c r="A61" s="98"/>
      <c r="B61" s="95"/>
      <c r="C61" s="95"/>
      <c r="D61" s="95"/>
      <c r="E61" s="95"/>
      <c r="F61" s="95"/>
      <c r="G61" s="95"/>
      <c r="H61" s="751" t="s">
        <v>58</v>
      </c>
      <c r="I61" s="750">
        <f>SUM(I58:I60)</f>
        <v>7.0860000000000003</v>
      </c>
      <c r="J61" s="95"/>
      <c r="K61" s="95"/>
      <c r="L61" s="95"/>
      <c r="M61" s="95"/>
      <c r="N61" s="95"/>
      <c r="O61" s="93"/>
    </row>
    <row r="62" spans="1:15" x14ac:dyDescent="0.25">
      <c r="A62" s="98"/>
      <c r="B62" s="95"/>
      <c r="C62" s="95"/>
      <c r="D62" s="95"/>
      <c r="E62" s="95"/>
      <c r="F62" s="95"/>
      <c r="G62" s="95"/>
      <c r="J62" s="95"/>
      <c r="K62" s="95"/>
      <c r="L62" s="95"/>
      <c r="M62" s="95"/>
      <c r="N62" s="95"/>
      <c r="O62" s="93"/>
    </row>
    <row r="63" spans="1:15" x14ac:dyDescent="0.25">
      <c r="A63" s="98"/>
      <c r="B63" s="95"/>
      <c r="C63" s="95"/>
      <c r="D63" s="95"/>
      <c r="E63" s="95"/>
      <c r="F63" s="95"/>
      <c r="G63" s="95"/>
      <c r="J63" s="95"/>
      <c r="K63" s="95"/>
      <c r="L63" s="95"/>
      <c r="M63" s="95"/>
      <c r="N63" s="95"/>
      <c r="O63" s="93"/>
    </row>
    <row r="64" spans="1:15" x14ac:dyDescent="0.25">
      <c r="A64" s="98"/>
      <c r="B64" s="95"/>
      <c r="C64" s="95"/>
      <c r="D64" s="95"/>
      <c r="E64" s="95"/>
      <c r="F64" s="95"/>
      <c r="G64" s="95"/>
      <c r="J64" s="95"/>
      <c r="K64" s="95"/>
      <c r="L64" s="95"/>
      <c r="M64" s="95"/>
      <c r="N64" s="95"/>
      <c r="O64" s="93"/>
    </row>
    <row r="65" spans="1:17" x14ac:dyDescent="0.25">
      <c r="A65" s="98"/>
      <c r="B65" s="95"/>
      <c r="C65" s="95"/>
      <c r="D65" s="95"/>
      <c r="E65" s="95"/>
      <c r="F65" s="95"/>
      <c r="G65" s="95"/>
      <c r="J65" s="95"/>
      <c r="K65" s="95"/>
      <c r="L65" s="95"/>
      <c r="M65" s="95"/>
      <c r="N65" s="95"/>
      <c r="O65" s="93"/>
    </row>
    <row r="66" spans="1:17" x14ac:dyDescent="0.25">
      <c r="A66" s="98"/>
      <c r="B66" s="95"/>
      <c r="C66" s="95"/>
      <c r="D66" s="95"/>
      <c r="E66" s="95"/>
      <c r="F66" s="95"/>
      <c r="G66" s="95"/>
      <c r="J66" s="95"/>
      <c r="K66" s="95"/>
      <c r="L66" s="95"/>
      <c r="M66" s="95"/>
      <c r="N66" s="95"/>
      <c r="O66" s="93"/>
    </row>
    <row r="67" spans="1:17" ht="15.75" thickBot="1" x14ac:dyDescent="0.3">
      <c r="A67" s="92"/>
      <c r="B67" s="91"/>
      <c r="C67" s="91"/>
      <c r="D67" s="91"/>
      <c r="E67" s="91"/>
      <c r="F67" s="91"/>
      <c r="G67" s="91"/>
      <c r="H67" s="91"/>
      <c r="I67" s="91"/>
      <c r="J67" s="91"/>
      <c r="K67" s="91"/>
      <c r="L67" s="91"/>
      <c r="M67" s="91"/>
      <c r="N67" s="91"/>
      <c r="O67" s="90"/>
    </row>
    <row r="68" spans="1:17" ht="15.75" thickBot="1" x14ac:dyDescent="0.3"/>
    <row r="69" spans="1:17" x14ac:dyDescent="0.25">
      <c r="A69" s="141"/>
      <c r="B69" s="140"/>
      <c r="C69" s="140"/>
      <c r="D69" s="140"/>
      <c r="E69" s="140"/>
      <c r="F69" s="140"/>
      <c r="G69" s="140"/>
      <c r="H69" s="140"/>
      <c r="I69" s="140"/>
      <c r="J69" s="272"/>
      <c r="K69" s="140"/>
      <c r="L69" s="140"/>
      <c r="M69" s="140"/>
      <c r="N69" s="140"/>
      <c r="O69" s="139"/>
    </row>
    <row r="70" spans="1:17" x14ac:dyDescent="0.25">
      <c r="A70" s="757" t="s">
        <v>57</v>
      </c>
      <c r="B70" s="133" t="s">
        <v>523</v>
      </c>
      <c r="C70" s="94"/>
      <c r="D70" s="94"/>
      <c r="E70" s="94"/>
      <c r="F70" s="94"/>
      <c r="G70" s="94"/>
      <c r="H70" s="94"/>
      <c r="I70" s="94"/>
      <c r="J70" s="760" t="s">
        <v>51</v>
      </c>
      <c r="K70" s="138">
        <v>81</v>
      </c>
      <c r="L70" s="94"/>
      <c r="M70" s="757" t="s">
        <v>113</v>
      </c>
      <c r="N70" s="100">
        <f>FR_01004_m+FR_01004_p</f>
        <v>1.5102218000000001</v>
      </c>
      <c r="O70" s="93"/>
    </row>
    <row r="71" spans="1:17" x14ac:dyDescent="0.25">
      <c r="A71" s="757" t="s">
        <v>125</v>
      </c>
      <c r="B71" s="133" t="s">
        <v>1412</v>
      </c>
      <c r="C71" s="94"/>
      <c r="D71" s="757" t="s">
        <v>122</v>
      </c>
      <c r="E71" s="94"/>
      <c r="F71" s="94"/>
      <c r="G71" s="94"/>
      <c r="H71" s="94"/>
      <c r="I71" s="94"/>
      <c r="J71" s="94"/>
      <c r="K71" s="94"/>
      <c r="L71" s="94"/>
      <c r="M71" s="757" t="s">
        <v>124</v>
      </c>
      <c r="N71" s="136">
        <v>2</v>
      </c>
      <c r="O71" s="93"/>
    </row>
    <row r="72" spans="1:17" x14ac:dyDescent="0.25">
      <c r="A72" s="757" t="s">
        <v>123</v>
      </c>
      <c r="B72" s="270" t="str">
        <f>'FR Assemblies'!B4</f>
        <v>Frame</v>
      </c>
      <c r="C72" s="94"/>
      <c r="D72" s="757" t="s">
        <v>119</v>
      </c>
      <c r="E72" s="94"/>
      <c r="F72" s="94"/>
      <c r="G72" s="94"/>
      <c r="H72" s="94"/>
      <c r="I72" s="94"/>
      <c r="J72" s="758" t="s">
        <v>122</v>
      </c>
      <c r="K72" s="94"/>
      <c r="L72" s="94"/>
      <c r="M72" s="94"/>
      <c r="N72" s="94"/>
      <c r="O72" s="93"/>
    </row>
    <row r="73" spans="1:17" x14ac:dyDescent="0.25">
      <c r="A73" s="757" t="s">
        <v>114</v>
      </c>
      <c r="B73" s="744" t="s">
        <v>1733</v>
      </c>
      <c r="C73" s="94"/>
      <c r="D73" s="757" t="s">
        <v>116</v>
      </c>
      <c r="E73" s="94"/>
      <c r="F73" s="94"/>
      <c r="G73" s="94"/>
      <c r="H73" s="94"/>
      <c r="I73" s="94"/>
      <c r="J73" s="758" t="s">
        <v>119</v>
      </c>
      <c r="K73" s="94"/>
      <c r="L73" s="94"/>
      <c r="M73" s="757" t="s">
        <v>118</v>
      </c>
      <c r="N73" s="100">
        <f>N71*N70</f>
        <v>3.0204436000000001</v>
      </c>
      <c r="O73" s="93"/>
    </row>
    <row r="74" spans="1:17" x14ac:dyDescent="0.25">
      <c r="A74" s="757" t="s">
        <v>121</v>
      </c>
      <c r="B74" s="269" t="s">
        <v>1734</v>
      </c>
      <c r="C74" s="94"/>
      <c r="D74" s="94"/>
      <c r="E74" s="94"/>
      <c r="F74" s="94"/>
      <c r="G74" s="94"/>
      <c r="H74" s="94"/>
      <c r="I74" s="94"/>
      <c r="J74" s="758" t="s">
        <v>116</v>
      </c>
      <c r="K74" s="94"/>
      <c r="L74" s="94"/>
      <c r="M74" s="94"/>
      <c r="N74" s="94"/>
      <c r="O74" s="93"/>
    </row>
    <row r="75" spans="1:17" x14ac:dyDescent="0.25">
      <c r="A75" s="757" t="s">
        <v>117</v>
      </c>
      <c r="B75" s="133" t="s">
        <v>23</v>
      </c>
      <c r="C75" s="94"/>
      <c r="D75" s="94"/>
      <c r="E75" s="788"/>
      <c r="F75" s="94"/>
      <c r="G75" s="94"/>
      <c r="H75" s="94"/>
      <c r="I75" s="94"/>
      <c r="J75" s="94"/>
      <c r="K75" s="94"/>
      <c r="L75" s="94"/>
      <c r="M75" s="94"/>
      <c r="N75" s="94"/>
      <c r="O75" s="93"/>
      <c r="Q75" s="784"/>
    </row>
    <row r="76" spans="1:17" x14ac:dyDescent="0.25">
      <c r="A76" s="757" t="s">
        <v>115</v>
      </c>
      <c r="B76" s="133"/>
      <c r="C76" s="94"/>
      <c r="D76" s="94"/>
      <c r="E76" s="94"/>
      <c r="F76" s="94"/>
      <c r="G76" s="94"/>
      <c r="H76" s="94"/>
      <c r="I76" s="94"/>
      <c r="J76" s="94"/>
      <c r="K76" s="94"/>
      <c r="L76" s="94"/>
      <c r="M76" s="94"/>
      <c r="N76" s="94"/>
      <c r="O76" s="93"/>
    </row>
    <row r="77" spans="1:17" x14ac:dyDescent="0.25">
      <c r="A77" s="266"/>
      <c r="B77" s="265"/>
      <c r="C77" s="265"/>
      <c r="D77" s="265"/>
      <c r="E77" s="265"/>
      <c r="F77" s="94"/>
      <c r="G77" s="94"/>
      <c r="H77" s="94"/>
      <c r="I77" s="94"/>
      <c r="J77" s="94"/>
      <c r="K77" s="94"/>
      <c r="L77" s="94"/>
      <c r="M77" s="94"/>
      <c r="N77" s="94"/>
      <c r="O77" s="93"/>
    </row>
    <row r="78" spans="1:17" x14ac:dyDescent="0.25">
      <c r="A78" s="756" t="s">
        <v>67</v>
      </c>
      <c r="B78" s="755" t="s">
        <v>112</v>
      </c>
      <c r="C78" s="755" t="s">
        <v>66</v>
      </c>
      <c r="D78" s="755" t="s">
        <v>65</v>
      </c>
      <c r="E78" s="755" t="s">
        <v>81</v>
      </c>
      <c r="F78" s="1001" t="s">
        <v>80</v>
      </c>
      <c r="G78" s="1001" t="s">
        <v>79</v>
      </c>
      <c r="H78" s="1001" t="s">
        <v>78</v>
      </c>
      <c r="I78" s="1001" t="s">
        <v>111</v>
      </c>
      <c r="J78" s="1001" t="s">
        <v>110</v>
      </c>
      <c r="K78" s="1001" t="s">
        <v>109</v>
      </c>
      <c r="L78" s="1001" t="s">
        <v>108</v>
      </c>
      <c r="M78" s="1001" t="s">
        <v>40</v>
      </c>
      <c r="N78" s="1001" t="s">
        <v>58</v>
      </c>
      <c r="O78" s="93"/>
    </row>
    <row r="79" spans="1:17" ht="31.5" customHeight="1" x14ac:dyDescent="0.25">
      <c r="A79" s="986">
        <v>10</v>
      </c>
      <c r="B79" s="986" t="s">
        <v>583</v>
      </c>
      <c r="C79" s="986" t="s">
        <v>1733</v>
      </c>
      <c r="D79" s="1024">
        <v>2.25</v>
      </c>
      <c r="E79" s="986">
        <v>80</v>
      </c>
      <c r="F79" s="986" t="s">
        <v>68</v>
      </c>
      <c r="G79" s="986">
        <v>3</v>
      </c>
      <c r="H79" s="993" t="s">
        <v>68</v>
      </c>
      <c r="I79" s="996" t="s">
        <v>1732</v>
      </c>
      <c r="J79" s="1051">
        <f>0.08*0.003</f>
        <v>2.4000000000000001E-4</v>
      </c>
      <c r="K79" s="1051">
        <v>0.107</v>
      </c>
      <c r="L79" s="993">
        <v>7860</v>
      </c>
      <c r="M79" s="1059">
        <v>1</v>
      </c>
      <c r="N79" s="991">
        <f>IF(J79="",D79*M79,D79*J79*K79*L79*M79)</f>
        <v>0.45415079999999997</v>
      </c>
      <c r="O79" s="143"/>
    </row>
    <row r="80" spans="1:17" x14ac:dyDescent="0.25">
      <c r="A80" s="98"/>
      <c r="B80" s="95"/>
      <c r="C80" s="95"/>
      <c r="D80" s="95"/>
      <c r="E80" s="95"/>
      <c r="F80" s="95"/>
      <c r="G80" s="95"/>
      <c r="H80" s="95"/>
      <c r="I80" s="95"/>
      <c r="J80" s="754"/>
      <c r="K80" s="754"/>
      <c r="L80" s="95"/>
      <c r="M80" s="990" t="s">
        <v>58</v>
      </c>
      <c r="N80" s="750">
        <f>SUM(N79:N79)</f>
        <v>0.45415079999999997</v>
      </c>
      <c r="O80" s="93"/>
    </row>
    <row r="81" spans="1:15" x14ac:dyDescent="0.25">
      <c r="A81" s="107"/>
      <c r="B81" s="94"/>
      <c r="C81" s="94"/>
      <c r="D81" s="94"/>
      <c r="E81" s="94"/>
      <c r="F81" s="94"/>
      <c r="G81" s="94"/>
      <c r="H81" s="94"/>
      <c r="I81" s="94"/>
      <c r="J81" s="94"/>
      <c r="K81" s="94"/>
      <c r="L81" s="94"/>
      <c r="M81" s="94"/>
      <c r="N81" s="94"/>
      <c r="O81" s="93"/>
    </row>
    <row r="82" spans="1:15" x14ac:dyDescent="0.25">
      <c r="A82" s="1005" t="s">
        <v>67</v>
      </c>
      <c r="B82" s="1001" t="s">
        <v>106</v>
      </c>
      <c r="C82" s="1001" t="s">
        <v>66</v>
      </c>
      <c r="D82" s="1001" t="s">
        <v>65</v>
      </c>
      <c r="E82" s="1001" t="s">
        <v>64</v>
      </c>
      <c r="F82" s="1001" t="s">
        <v>40</v>
      </c>
      <c r="G82" s="1001" t="s">
        <v>105</v>
      </c>
      <c r="H82" s="1001" t="s">
        <v>104</v>
      </c>
      <c r="I82" s="1001" t="s">
        <v>58</v>
      </c>
      <c r="J82" s="95"/>
      <c r="K82" s="95"/>
      <c r="L82" s="95"/>
      <c r="M82" s="95"/>
      <c r="N82" s="95"/>
      <c r="O82" s="93"/>
    </row>
    <row r="83" spans="1:15" x14ac:dyDescent="0.25">
      <c r="A83" s="986">
        <v>10</v>
      </c>
      <c r="B83" s="1004" t="s">
        <v>516</v>
      </c>
      <c r="C83" s="989" t="s">
        <v>1725</v>
      </c>
      <c r="D83" s="1024">
        <v>1.3</v>
      </c>
      <c r="E83" s="986" t="s">
        <v>64</v>
      </c>
      <c r="F83" s="986">
        <v>0.16667000000000001</v>
      </c>
      <c r="G83" s="986"/>
      <c r="H83" s="986"/>
      <c r="I83" s="1040">
        <f>IF(H83="",D83*F83,D83*F83*H83)</f>
        <v>0.21667100000000003</v>
      </c>
      <c r="J83" s="142"/>
      <c r="K83" s="142"/>
      <c r="L83" s="142"/>
      <c r="M83" s="142"/>
      <c r="N83" s="142"/>
      <c r="O83" s="120"/>
    </row>
    <row r="84" spans="1:15" x14ac:dyDescent="0.25">
      <c r="A84" s="986">
        <v>20</v>
      </c>
      <c r="B84" s="1002" t="s">
        <v>541</v>
      </c>
      <c r="C84" s="989"/>
      <c r="D84" s="1024">
        <v>0.01</v>
      </c>
      <c r="E84" s="986" t="s">
        <v>101</v>
      </c>
      <c r="F84" s="986">
        <v>27.98</v>
      </c>
      <c r="G84" s="986" t="s">
        <v>724</v>
      </c>
      <c r="H84" s="986">
        <v>3</v>
      </c>
      <c r="I84" s="1040">
        <f>IF(H84="",D84*F84,D84*F84*H84)</f>
        <v>0.83939999999999992</v>
      </c>
      <c r="J84" s="94"/>
      <c r="K84" s="94"/>
      <c r="L84" s="94"/>
      <c r="M84" s="94"/>
      <c r="N84" s="94"/>
      <c r="O84" s="93"/>
    </row>
    <row r="85" spans="1:15" x14ac:dyDescent="0.25">
      <c r="A85" s="98"/>
      <c r="B85" s="95"/>
      <c r="C85" s="95"/>
      <c r="D85" s="95"/>
      <c r="E85" s="95"/>
      <c r="F85" s="95"/>
      <c r="G85" s="95"/>
      <c r="H85" s="751" t="s">
        <v>58</v>
      </c>
      <c r="I85" s="750">
        <f>SUM(I83:I84)</f>
        <v>1.056071</v>
      </c>
      <c r="J85" s="95"/>
      <c r="K85" s="95"/>
      <c r="L85" s="95"/>
      <c r="M85" s="95"/>
      <c r="N85" s="95"/>
      <c r="O85" s="93"/>
    </row>
    <row r="86" spans="1:15" ht="15.75" thickBot="1" x14ac:dyDescent="0.3">
      <c r="A86" s="92"/>
      <c r="B86" s="91"/>
      <c r="C86" s="91"/>
      <c r="D86" s="91"/>
      <c r="E86" s="91"/>
      <c r="F86" s="91"/>
      <c r="G86" s="91"/>
      <c r="H86" s="91"/>
      <c r="I86" s="91"/>
      <c r="J86" s="91"/>
      <c r="K86" s="91"/>
      <c r="L86" s="91"/>
      <c r="M86" s="91"/>
      <c r="N86" s="91"/>
      <c r="O86" s="90"/>
    </row>
    <row r="87" spans="1:15" ht="15.75" thickBot="1" x14ac:dyDescent="0.3"/>
    <row r="88" spans="1:15" x14ac:dyDescent="0.25">
      <c r="A88" s="141"/>
      <c r="B88" s="140"/>
      <c r="C88" s="140"/>
      <c r="D88" s="140"/>
      <c r="E88" s="140"/>
      <c r="F88" s="140"/>
      <c r="G88" s="140"/>
      <c r="H88" s="140"/>
      <c r="I88" s="140"/>
      <c r="J88" s="272"/>
      <c r="K88" s="140"/>
      <c r="L88" s="140"/>
      <c r="M88" s="140"/>
      <c r="N88" s="140"/>
      <c r="O88" s="139"/>
    </row>
    <row r="89" spans="1:15" x14ac:dyDescent="0.25">
      <c r="A89" s="757" t="s">
        <v>57</v>
      </c>
      <c r="B89" s="133" t="s">
        <v>523</v>
      </c>
      <c r="C89" s="94"/>
      <c r="D89" s="94"/>
      <c r="E89" s="94"/>
      <c r="F89" s="94"/>
      <c r="G89" s="94"/>
      <c r="H89" s="94"/>
      <c r="I89" s="94"/>
      <c r="J89" s="760" t="s">
        <v>51</v>
      </c>
      <c r="K89" s="138">
        <v>81</v>
      </c>
      <c r="L89" s="94"/>
      <c r="M89" s="757" t="s">
        <v>113</v>
      </c>
      <c r="N89" s="100">
        <f>FR_01005_m+FR_01005_p</f>
        <v>1.2183053750000001</v>
      </c>
      <c r="O89" s="93"/>
    </row>
    <row r="90" spans="1:15" x14ac:dyDescent="0.25">
      <c r="A90" s="757" t="s">
        <v>125</v>
      </c>
      <c r="B90" s="133" t="s">
        <v>1412</v>
      </c>
      <c r="C90" s="94"/>
      <c r="D90" s="757" t="s">
        <v>122</v>
      </c>
      <c r="E90" s="94"/>
      <c r="F90" s="94"/>
      <c r="G90" s="94"/>
      <c r="H90" s="94"/>
      <c r="I90" s="94"/>
      <c r="J90" s="94"/>
      <c r="K90" s="94"/>
      <c r="L90" s="94"/>
      <c r="M90" s="757" t="s">
        <v>124</v>
      </c>
      <c r="N90" s="136">
        <v>2</v>
      </c>
      <c r="O90" s="93"/>
    </row>
    <row r="91" spans="1:15" x14ac:dyDescent="0.25">
      <c r="A91" s="757" t="s">
        <v>123</v>
      </c>
      <c r="B91" s="270" t="str">
        <f>'FR Assemblies'!B4</f>
        <v>Frame</v>
      </c>
      <c r="C91" s="94"/>
      <c r="D91" s="757" t="s">
        <v>119</v>
      </c>
      <c r="E91" s="94"/>
      <c r="F91" s="94"/>
      <c r="G91" s="94"/>
      <c r="H91" s="94"/>
      <c r="I91" s="94"/>
      <c r="J91" s="758" t="s">
        <v>122</v>
      </c>
      <c r="K91" s="94"/>
      <c r="L91" s="94"/>
      <c r="M91" s="94"/>
      <c r="N91" s="94"/>
      <c r="O91" s="93"/>
    </row>
    <row r="92" spans="1:15" x14ac:dyDescent="0.25">
      <c r="A92" s="757" t="s">
        <v>114</v>
      </c>
      <c r="B92" s="744" t="s">
        <v>1730</v>
      </c>
      <c r="C92" s="94"/>
      <c r="D92" s="757" t="s">
        <v>116</v>
      </c>
      <c r="E92" s="94"/>
      <c r="F92" s="94"/>
      <c r="G92" s="94"/>
      <c r="H92" s="94"/>
      <c r="I92" s="94"/>
      <c r="J92" s="758" t="s">
        <v>119</v>
      </c>
      <c r="K92" s="94"/>
      <c r="L92" s="94"/>
      <c r="M92" s="757" t="s">
        <v>118</v>
      </c>
      <c r="N92" s="100">
        <f>N90*N89</f>
        <v>2.4366107500000003</v>
      </c>
      <c r="O92" s="93"/>
    </row>
    <row r="93" spans="1:15" x14ac:dyDescent="0.25">
      <c r="A93" s="757" t="s">
        <v>121</v>
      </c>
      <c r="B93" s="269" t="s">
        <v>1731</v>
      </c>
      <c r="C93" s="94"/>
      <c r="D93" s="94"/>
      <c r="E93" s="94"/>
      <c r="F93" s="94"/>
      <c r="G93" s="94"/>
      <c r="H93" s="94"/>
      <c r="I93" s="94"/>
      <c r="J93" s="758" t="s">
        <v>116</v>
      </c>
      <c r="K93" s="94"/>
      <c r="L93" s="94"/>
      <c r="M93" s="94"/>
      <c r="N93" s="94"/>
      <c r="O93" s="93"/>
    </row>
    <row r="94" spans="1:15" x14ac:dyDescent="0.25">
      <c r="A94" s="757" t="s">
        <v>117</v>
      </c>
      <c r="B94" s="133" t="s">
        <v>23</v>
      </c>
      <c r="C94" s="94"/>
      <c r="D94" s="94"/>
      <c r="E94" s="94"/>
      <c r="F94" s="94"/>
      <c r="G94" s="94"/>
      <c r="H94" s="94"/>
      <c r="I94" s="94"/>
      <c r="J94" s="94"/>
      <c r="K94" s="94"/>
      <c r="L94" s="94"/>
      <c r="M94" s="94"/>
      <c r="N94" s="94"/>
      <c r="O94" s="93"/>
    </row>
    <row r="95" spans="1:15" x14ac:dyDescent="0.25">
      <c r="A95" s="757" t="s">
        <v>115</v>
      </c>
      <c r="B95" s="133"/>
      <c r="C95" s="94"/>
      <c r="D95" s="94"/>
      <c r="E95" s="94"/>
      <c r="F95" s="94"/>
      <c r="G95" s="94"/>
      <c r="H95" s="94"/>
      <c r="I95" s="94"/>
      <c r="J95" s="94"/>
      <c r="K95" s="94"/>
      <c r="L95" s="94"/>
      <c r="M95" s="94"/>
      <c r="N95" s="94"/>
      <c r="O95" s="93"/>
    </row>
    <row r="96" spans="1:15" x14ac:dyDescent="0.25">
      <c r="A96" s="266"/>
      <c r="B96" s="265"/>
      <c r="C96" s="265"/>
      <c r="D96" s="265"/>
      <c r="E96" s="265"/>
      <c r="F96" s="94"/>
      <c r="G96" s="94"/>
      <c r="H96" s="94"/>
      <c r="I96" s="94"/>
      <c r="J96" s="94"/>
      <c r="K96" s="94"/>
      <c r="L96" s="94"/>
      <c r="M96" s="94"/>
      <c r="N96" s="94"/>
      <c r="O96" s="93"/>
    </row>
    <row r="97" spans="1:15" x14ac:dyDescent="0.25">
      <c r="A97" s="756" t="s">
        <v>67</v>
      </c>
      <c r="B97" s="755" t="s">
        <v>112</v>
      </c>
      <c r="C97" s="755" t="s">
        <v>66</v>
      </c>
      <c r="D97" s="755" t="s">
        <v>65</v>
      </c>
      <c r="E97" s="755" t="s">
        <v>81</v>
      </c>
      <c r="F97" s="1001" t="s">
        <v>80</v>
      </c>
      <c r="G97" s="1001" t="s">
        <v>79</v>
      </c>
      <c r="H97" s="1001" t="s">
        <v>78</v>
      </c>
      <c r="I97" s="1001" t="s">
        <v>111</v>
      </c>
      <c r="J97" s="1001" t="s">
        <v>110</v>
      </c>
      <c r="K97" s="1001" t="s">
        <v>109</v>
      </c>
      <c r="L97" s="1001" t="s">
        <v>108</v>
      </c>
      <c r="M97" s="1001" t="s">
        <v>40</v>
      </c>
      <c r="N97" s="1001" t="s">
        <v>58</v>
      </c>
      <c r="O97" s="93"/>
    </row>
    <row r="98" spans="1:15" ht="30" x14ac:dyDescent="0.25">
      <c r="A98" s="986">
        <v>10</v>
      </c>
      <c r="B98" s="986" t="s">
        <v>583</v>
      </c>
      <c r="C98" s="986" t="s">
        <v>1730</v>
      </c>
      <c r="D98" s="1024">
        <v>2.25</v>
      </c>
      <c r="E98" s="1025">
        <v>75</v>
      </c>
      <c r="F98" s="986" t="s">
        <v>68</v>
      </c>
      <c r="G98" s="986">
        <v>3</v>
      </c>
      <c r="H98" s="993" t="s">
        <v>68</v>
      </c>
      <c r="I98" s="996" t="s">
        <v>1729</v>
      </c>
      <c r="J98" s="1051">
        <f>0.003*0.075</f>
        <v>2.2499999999999999E-4</v>
      </c>
      <c r="K98" s="1051">
        <v>7.4999999999999997E-2</v>
      </c>
      <c r="L98" s="993">
        <v>7860</v>
      </c>
      <c r="M98" s="1059">
        <v>1</v>
      </c>
      <c r="N98" s="991">
        <f>IF(J98="",D98*M98,D98*J98*K98*L98*M98)</f>
        <v>0.29843437499999997</v>
      </c>
      <c r="O98" s="143"/>
    </row>
    <row r="99" spans="1:15" x14ac:dyDescent="0.25">
      <c r="A99" s="98"/>
      <c r="B99" s="95"/>
      <c r="C99" s="95"/>
      <c r="D99" s="95"/>
      <c r="E99" s="95"/>
      <c r="F99" s="95"/>
      <c r="G99" s="95"/>
      <c r="H99" s="95"/>
      <c r="I99" s="95"/>
      <c r="J99" s="754"/>
      <c r="K99" s="754"/>
      <c r="L99" s="95"/>
      <c r="M99" s="990" t="s">
        <v>58</v>
      </c>
      <c r="N99" s="750">
        <f>SUM(N98:N98)</f>
        <v>0.29843437499999997</v>
      </c>
      <c r="O99" s="93"/>
    </row>
    <row r="100" spans="1:15" x14ac:dyDescent="0.25">
      <c r="A100" s="107"/>
      <c r="B100" s="94"/>
      <c r="C100" s="94"/>
      <c r="D100" s="94"/>
      <c r="E100" s="94"/>
      <c r="F100" s="94"/>
      <c r="G100" s="94"/>
      <c r="H100" s="94"/>
      <c r="I100" s="94"/>
      <c r="J100" s="94"/>
      <c r="K100" s="94"/>
      <c r="L100" s="94"/>
      <c r="M100" s="94"/>
      <c r="N100" s="94"/>
      <c r="O100" s="93"/>
    </row>
    <row r="101" spans="1:15" x14ac:dyDescent="0.25">
      <c r="A101" s="1005" t="s">
        <v>67</v>
      </c>
      <c r="B101" s="1001" t="s">
        <v>106</v>
      </c>
      <c r="C101" s="1001" t="s">
        <v>66</v>
      </c>
      <c r="D101" s="1001" t="s">
        <v>65</v>
      </c>
      <c r="E101" s="1001" t="s">
        <v>64</v>
      </c>
      <c r="F101" s="1001" t="s">
        <v>40</v>
      </c>
      <c r="G101" s="1001" t="s">
        <v>105</v>
      </c>
      <c r="H101" s="1001" t="s">
        <v>104</v>
      </c>
      <c r="I101" s="1001" t="s">
        <v>58</v>
      </c>
      <c r="J101" s="95"/>
      <c r="K101" s="95"/>
      <c r="L101" s="95"/>
      <c r="M101" s="95"/>
      <c r="N101" s="95"/>
      <c r="O101" s="93"/>
    </row>
    <row r="102" spans="1:15" x14ac:dyDescent="0.25">
      <c r="A102" s="986">
        <v>10</v>
      </c>
      <c r="B102" s="1004" t="s">
        <v>516</v>
      </c>
      <c r="C102" s="989" t="s">
        <v>1725</v>
      </c>
      <c r="D102" s="1024">
        <v>1.3</v>
      </c>
      <c r="E102" s="986" t="s">
        <v>64</v>
      </c>
      <c r="F102" s="986">
        <v>0.16667000000000001</v>
      </c>
      <c r="G102" s="986"/>
      <c r="H102" s="986"/>
      <c r="I102" s="1040">
        <f>IF(H102="",D102*F102,D102*F102*H102)</f>
        <v>0.21667100000000003</v>
      </c>
      <c r="J102" s="142"/>
      <c r="K102" s="142"/>
      <c r="L102" s="142"/>
      <c r="M102" s="142"/>
      <c r="N102" s="142"/>
      <c r="O102" s="120"/>
    </row>
    <row r="103" spans="1:15" x14ac:dyDescent="0.25">
      <c r="A103" s="986">
        <v>20</v>
      </c>
      <c r="B103" s="1002" t="s">
        <v>541</v>
      </c>
      <c r="C103" s="989"/>
      <c r="D103" s="1024">
        <v>0.01</v>
      </c>
      <c r="E103" s="986" t="s">
        <v>101</v>
      </c>
      <c r="F103" s="986">
        <v>23.44</v>
      </c>
      <c r="G103" s="986" t="s">
        <v>724</v>
      </c>
      <c r="H103" s="986">
        <v>3</v>
      </c>
      <c r="I103" s="1040">
        <f>IF(H103="",D103*F103,D103*F103*H103)</f>
        <v>0.70320000000000005</v>
      </c>
      <c r="J103" s="94"/>
      <c r="K103" s="94"/>
      <c r="L103" s="94"/>
      <c r="M103" s="94"/>
      <c r="N103" s="94"/>
      <c r="O103" s="93"/>
    </row>
    <row r="104" spans="1:15" x14ac:dyDescent="0.25">
      <c r="A104" s="98"/>
      <c r="B104" s="95"/>
      <c r="C104" s="95"/>
      <c r="D104" s="95"/>
      <c r="E104" s="95"/>
      <c r="F104" s="95"/>
      <c r="G104" s="95"/>
      <c r="H104" s="751" t="s">
        <v>58</v>
      </c>
      <c r="I104" s="750">
        <f>SUM(I102:I103)</f>
        <v>0.91987100000000011</v>
      </c>
      <c r="J104" s="95"/>
      <c r="K104" s="95"/>
      <c r="L104" s="95"/>
      <c r="M104" s="95"/>
      <c r="N104" s="95"/>
      <c r="O104" s="93"/>
    </row>
    <row r="105" spans="1:15" ht="15.75" thickBot="1" x14ac:dyDescent="0.3">
      <c r="A105" s="92"/>
      <c r="B105" s="91"/>
      <c r="C105" s="91"/>
      <c r="D105" s="91"/>
      <c r="E105" s="91"/>
      <c r="F105" s="91"/>
      <c r="G105" s="91"/>
      <c r="H105" s="91"/>
      <c r="I105" s="91"/>
      <c r="J105" s="91"/>
      <c r="K105" s="91"/>
      <c r="L105" s="91"/>
      <c r="M105" s="91"/>
      <c r="N105" s="91"/>
      <c r="O105" s="90"/>
    </row>
    <row r="106" spans="1:15" ht="15.75" thickBot="1" x14ac:dyDescent="0.3"/>
    <row r="107" spans="1:15" x14ac:dyDescent="0.25">
      <c r="A107" s="141"/>
      <c r="B107" s="140"/>
      <c r="C107" s="140"/>
      <c r="D107" s="140"/>
      <c r="E107" s="140"/>
      <c r="F107" s="140"/>
      <c r="G107" s="140"/>
      <c r="H107" s="140"/>
      <c r="I107" s="140"/>
      <c r="J107" s="272"/>
      <c r="K107" s="140"/>
      <c r="L107" s="140"/>
      <c r="M107" s="140"/>
      <c r="N107" s="140"/>
      <c r="O107" s="139"/>
    </row>
    <row r="108" spans="1:15" x14ac:dyDescent="0.25">
      <c r="A108" s="757" t="s">
        <v>57</v>
      </c>
      <c r="B108" s="133" t="s">
        <v>523</v>
      </c>
      <c r="C108" s="94"/>
      <c r="D108" s="94"/>
      <c r="E108" s="94"/>
      <c r="F108" s="94"/>
      <c r="G108" s="94"/>
      <c r="H108" s="94"/>
      <c r="I108" s="94"/>
      <c r="J108" s="760" t="s">
        <v>51</v>
      </c>
      <c r="K108" s="138">
        <v>81</v>
      </c>
      <c r="L108" s="94"/>
      <c r="M108" s="757" t="s">
        <v>113</v>
      </c>
      <c r="N108" s="100">
        <f>FR_01006_m+FR_01006_p</f>
        <v>0.59441720000000009</v>
      </c>
      <c r="O108" s="93"/>
    </row>
    <row r="109" spans="1:15" x14ac:dyDescent="0.25">
      <c r="A109" s="757" t="s">
        <v>125</v>
      </c>
      <c r="B109" s="133" t="s">
        <v>1412</v>
      </c>
      <c r="C109" s="94"/>
      <c r="D109" s="757" t="s">
        <v>122</v>
      </c>
      <c r="E109" s="94"/>
      <c r="F109" s="94"/>
      <c r="G109" s="94"/>
      <c r="H109" s="94"/>
      <c r="I109" s="94"/>
      <c r="J109" s="94"/>
      <c r="K109" s="94"/>
      <c r="L109" s="94"/>
      <c r="M109" s="757" t="s">
        <v>124</v>
      </c>
      <c r="N109" s="136">
        <v>2</v>
      </c>
      <c r="O109" s="93"/>
    </row>
    <row r="110" spans="1:15" x14ac:dyDescent="0.25">
      <c r="A110" s="757" t="s">
        <v>123</v>
      </c>
      <c r="B110" s="270" t="str">
        <f>'FR Assemblies'!B4</f>
        <v>Frame</v>
      </c>
      <c r="C110" s="94"/>
      <c r="D110" s="757" t="s">
        <v>119</v>
      </c>
      <c r="E110" s="94"/>
      <c r="F110" s="94"/>
      <c r="G110" s="94"/>
      <c r="H110" s="94"/>
      <c r="I110" s="94"/>
      <c r="J110" s="758" t="s">
        <v>122</v>
      </c>
      <c r="K110" s="94"/>
      <c r="L110" s="94"/>
      <c r="M110" s="94"/>
      <c r="N110" s="94"/>
      <c r="O110" s="93"/>
    </row>
    <row r="111" spans="1:15" x14ac:dyDescent="0.25">
      <c r="A111" s="757" t="s">
        <v>114</v>
      </c>
      <c r="B111" s="744" t="s">
        <v>1727</v>
      </c>
      <c r="C111" s="94"/>
      <c r="D111" s="757" t="s">
        <v>116</v>
      </c>
      <c r="E111" s="94"/>
      <c r="F111" s="94"/>
      <c r="G111" s="94"/>
      <c r="H111" s="94"/>
      <c r="I111" s="94"/>
      <c r="J111" s="758" t="s">
        <v>119</v>
      </c>
      <c r="K111" s="94"/>
      <c r="L111" s="94"/>
      <c r="M111" s="757" t="s">
        <v>118</v>
      </c>
      <c r="N111" s="100">
        <f>N109*N108</f>
        <v>1.1888344000000002</v>
      </c>
      <c r="O111" s="93"/>
    </row>
    <row r="112" spans="1:15" x14ac:dyDescent="0.25">
      <c r="A112" s="757" t="s">
        <v>121</v>
      </c>
      <c r="B112" s="269" t="s">
        <v>1728</v>
      </c>
      <c r="C112" s="94"/>
      <c r="D112" s="94"/>
      <c r="E112" s="94"/>
      <c r="F112" s="94"/>
      <c r="G112" s="94"/>
      <c r="H112" s="94"/>
      <c r="I112" s="94"/>
      <c r="J112" s="758" t="s">
        <v>116</v>
      </c>
      <c r="K112" s="94"/>
      <c r="L112" s="94"/>
      <c r="M112" s="94"/>
      <c r="N112" s="94"/>
      <c r="O112" s="93"/>
    </row>
    <row r="113" spans="1:15" x14ac:dyDescent="0.25">
      <c r="A113" s="757" t="s">
        <v>117</v>
      </c>
      <c r="B113" s="133" t="s">
        <v>23</v>
      </c>
      <c r="C113" s="94"/>
      <c r="D113" s="94"/>
      <c r="E113" s="94"/>
      <c r="F113" s="94"/>
      <c r="G113" s="94"/>
      <c r="H113" s="94"/>
      <c r="I113" s="94"/>
      <c r="J113" s="94"/>
      <c r="K113" s="94"/>
      <c r="L113" s="94"/>
      <c r="M113" s="94"/>
      <c r="N113" s="94"/>
      <c r="O113" s="93"/>
    </row>
    <row r="114" spans="1:15" x14ac:dyDescent="0.25">
      <c r="A114" s="757" t="s">
        <v>115</v>
      </c>
      <c r="B114" s="133"/>
      <c r="C114" s="94"/>
      <c r="D114" s="94"/>
      <c r="E114" s="94"/>
      <c r="F114" s="94"/>
      <c r="G114" s="94"/>
      <c r="H114" s="94"/>
      <c r="I114" s="94"/>
      <c r="J114" s="94"/>
      <c r="K114" s="94"/>
      <c r="L114" s="94"/>
      <c r="M114" s="94"/>
      <c r="N114" s="94"/>
      <c r="O114" s="93"/>
    </row>
    <row r="115" spans="1:15" x14ac:dyDescent="0.25">
      <c r="A115" s="266"/>
      <c r="B115" s="265"/>
      <c r="C115" s="265"/>
      <c r="D115" s="265"/>
      <c r="E115" s="265"/>
      <c r="F115" s="94"/>
      <c r="G115" s="94"/>
      <c r="H115" s="94"/>
      <c r="I115" s="94"/>
      <c r="J115" s="94"/>
      <c r="K115" s="94"/>
      <c r="L115" s="94"/>
      <c r="M115" s="94"/>
      <c r="N115" s="94"/>
      <c r="O115" s="93"/>
    </row>
    <row r="116" spans="1:15" x14ac:dyDescent="0.25">
      <c r="A116" s="756" t="s">
        <v>67</v>
      </c>
      <c r="B116" s="755" t="s">
        <v>112</v>
      </c>
      <c r="C116" s="755" t="s">
        <v>66</v>
      </c>
      <c r="D116" s="755" t="s">
        <v>65</v>
      </c>
      <c r="E116" s="755" t="s">
        <v>81</v>
      </c>
      <c r="F116" s="1001" t="s">
        <v>80</v>
      </c>
      <c r="G116" s="1001" t="s">
        <v>79</v>
      </c>
      <c r="H116" s="1001" t="s">
        <v>78</v>
      </c>
      <c r="I116" s="1001" t="s">
        <v>111</v>
      </c>
      <c r="J116" s="1001" t="s">
        <v>110</v>
      </c>
      <c r="K116" s="1001" t="s">
        <v>109</v>
      </c>
      <c r="L116" s="1001" t="s">
        <v>108</v>
      </c>
      <c r="M116" s="1001" t="s">
        <v>40</v>
      </c>
      <c r="N116" s="1001" t="s">
        <v>58</v>
      </c>
      <c r="O116" s="93"/>
    </row>
    <row r="117" spans="1:15" ht="30" x14ac:dyDescent="0.25">
      <c r="A117" s="986">
        <v>10</v>
      </c>
      <c r="B117" s="986" t="s">
        <v>583</v>
      </c>
      <c r="C117" s="986" t="s">
        <v>1727</v>
      </c>
      <c r="D117" s="1024">
        <v>2.25</v>
      </c>
      <c r="E117" s="1025">
        <v>20</v>
      </c>
      <c r="F117" s="986" t="s">
        <v>68</v>
      </c>
      <c r="G117" s="986">
        <v>3</v>
      </c>
      <c r="H117" s="993" t="s">
        <v>68</v>
      </c>
      <c r="I117" s="996" t="s">
        <v>1726</v>
      </c>
      <c r="J117" s="1051">
        <f>0.02*0.003</f>
        <v>6.0000000000000002E-5</v>
      </c>
      <c r="K117" s="1051">
        <v>4.2000000000000003E-2</v>
      </c>
      <c r="L117" s="993">
        <v>7860</v>
      </c>
      <c r="M117" s="1051">
        <v>1</v>
      </c>
      <c r="N117" s="991">
        <f>IF(J117="",D117*M117,D117*J117*K117*L117*M117)</f>
        <v>4.4566200000000007E-2</v>
      </c>
      <c r="O117" s="143"/>
    </row>
    <row r="118" spans="1:15" x14ac:dyDescent="0.25">
      <c r="A118" s="98"/>
      <c r="B118" s="95"/>
      <c r="C118" s="95"/>
      <c r="D118" s="95"/>
      <c r="E118" s="95"/>
      <c r="F118" s="95"/>
      <c r="G118" s="95"/>
      <c r="H118" s="95"/>
      <c r="I118" s="95"/>
      <c r="J118" s="754"/>
      <c r="K118" s="754"/>
      <c r="L118" s="95"/>
      <c r="M118" s="990" t="s">
        <v>58</v>
      </c>
      <c r="N118" s="750">
        <f>SUM(N117:N117)</f>
        <v>4.4566200000000007E-2</v>
      </c>
      <c r="O118" s="93"/>
    </row>
    <row r="119" spans="1:15" x14ac:dyDescent="0.25">
      <c r="A119" s="107"/>
      <c r="B119" s="94"/>
      <c r="C119" s="94"/>
      <c r="D119" s="94"/>
      <c r="E119" s="94"/>
      <c r="F119" s="94"/>
      <c r="G119" s="94"/>
      <c r="H119" s="94"/>
      <c r="I119" s="94"/>
      <c r="J119" s="94"/>
      <c r="K119" s="94"/>
      <c r="L119" s="94"/>
      <c r="M119" s="94"/>
      <c r="N119" s="94"/>
      <c r="O119" s="93"/>
    </row>
    <row r="120" spans="1:15" x14ac:dyDescent="0.25">
      <c r="A120" s="1005" t="s">
        <v>67</v>
      </c>
      <c r="B120" s="1001" t="s">
        <v>106</v>
      </c>
      <c r="C120" s="1001" t="s">
        <v>66</v>
      </c>
      <c r="D120" s="1001" t="s">
        <v>65</v>
      </c>
      <c r="E120" s="1001" t="s">
        <v>64</v>
      </c>
      <c r="F120" s="1001" t="s">
        <v>40</v>
      </c>
      <c r="G120" s="1001" t="s">
        <v>105</v>
      </c>
      <c r="H120" s="1001" t="s">
        <v>104</v>
      </c>
      <c r="I120" s="1001" t="s">
        <v>58</v>
      </c>
      <c r="J120" s="95"/>
      <c r="K120" s="95"/>
      <c r="L120" s="95"/>
      <c r="M120" s="95"/>
      <c r="N120" s="95"/>
      <c r="O120" s="93"/>
    </row>
    <row r="121" spans="1:15" x14ac:dyDescent="0.25">
      <c r="A121" s="986">
        <v>10</v>
      </c>
      <c r="B121" s="1004" t="s">
        <v>516</v>
      </c>
      <c r="C121" s="989" t="s">
        <v>1725</v>
      </c>
      <c r="D121" s="1024">
        <v>1.3</v>
      </c>
      <c r="E121" s="986" t="s">
        <v>64</v>
      </c>
      <c r="F121" s="986">
        <v>0.16667000000000001</v>
      </c>
      <c r="G121" s="986"/>
      <c r="H121" s="986"/>
      <c r="I121" s="1040">
        <f>IF(H121="",D121*F121,D121*F121*H121)</f>
        <v>0.21667100000000003</v>
      </c>
      <c r="J121" s="142"/>
      <c r="K121" s="142"/>
      <c r="L121" s="142"/>
      <c r="M121" s="142"/>
      <c r="N121" s="142"/>
      <c r="O121" s="120"/>
    </row>
    <row r="122" spans="1:15" x14ac:dyDescent="0.25">
      <c r="A122" s="986">
        <v>20</v>
      </c>
      <c r="B122" s="1002" t="s">
        <v>541</v>
      </c>
      <c r="C122" s="989"/>
      <c r="D122" s="1024">
        <v>0.01</v>
      </c>
      <c r="E122" s="986" t="s">
        <v>101</v>
      </c>
      <c r="F122" s="1058">
        <v>11.106</v>
      </c>
      <c r="G122" s="986" t="s">
        <v>724</v>
      </c>
      <c r="H122" s="986">
        <v>3</v>
      </c>
      <c r="I122" s="1040">
        <f>IF(H122="",D122*F122,D122*F122*H122)</f>
        <v>0.33318000000000003</v>
      </c>
      <c r="J122" s="94"/>
      <c r="K122" s="94"/>
      <c r="L122" s="94"/>
      <c r="M122" s="94"/>
      <c r="N122" s="94"/>
      <c r="O122" s="93"/>
    </row>
    <row r="123" spans="1:15" x14ac:dyDescent="0.25">
      <c r="A123" s="98"/>
      <c r="B123" s="95"/>
      <c r="C123" s="95"/>
      <c r="D123" s="95"/>
      <c r="E123" s="95"/>
      <c r="F123" s="95"/>
      <c r="G123" s="95"/>
      <c r="H123" s="751" t="s">
        <v>58</v>
      </c>
      <c r="I123" s="750">
        <f>SUM(I121:I122)</f>
        <v>0.54985100000000009</v>
      </c>
      <c r="J123" s="95"/>
      <c r="K123" s="95"/>
      <c r="L123" s="95"/>
      <c r="M123" s="95"/>
      <c r="N123" s="95"/>
      <c r="O123" s="93"/>
    </row>
    <row r="124" spans="1:15" ht="15.75" thickBot="1" x14ac:dyDescent="0.3">
      <c r="A124" s="92"/>
      <c r="B124" s="91"/>
      <c r="C124" s="91"/>
      <c r="D124" s="91"/>
      <c r="E124" s="91"/>
      <c r="F124" s="91"/>
      <c r="G124" s="91"/>
      <c r="H124" s="91"/>
      <c r="I124" s="91"/>
      <c r="J124" s="91"/>
      <c r="K124" s="91"/>
      <c r="L124" s="91"/>
      <c r="M124" s="91"/>
      <c r="N124" s="91"/>
      <c r="O124" s="90"/>
    </row>
    <row r="125" spans="1:15" ht="15.75" thickBot="1" x14ac:dyDescent="0.3"/>
    <row r="126" spans="1:15" x14ac:dyDescent="0.25">
      <c r="A126" s="141"/>
      <c r="B126" s="140"/>
      <c r="C126" s="140"/>
      <c r="D126" s="140"/>
      <c r="E126" s="140"/>
      <c r="F126" s="140"/>
      <c r="G126" s="140"/>
      <c r="H126" s="140"/>
      <c r="I126" s="140"/>
      <c r="J126" s="272"/>
      <c r="K126" s="140"/>
      <c r="L126" s="140"/>
      <c r="M126" s="140"/>
      <c r="N126" s="140"/>
      <c r="O126" s="139"/>
    </row>
    <row r="127" spans="1:15" x14ac:dyDescent="0.25">
      <c r="A127" s="757" t="s">
        <v>57</v>
      </c>
      <c r="B127" s="133" t="s">
        <v>523</v>
      </c>
      <c r="C127" s="94"/>
      <c r="D127" s="94"/>
      <c r="E127" s="94"/>
      <c r="F127" s="94"/>
      <c r="G127" s="94"/>
      <c r="H127" s="94"/>
      <c r="I127" s="94"/>
      <c r="J127" s="760" t="s">
        <v>51</v>
      </c>
      <c r="K127" s="138">
        <v>81</v>
      </c>
      <c r="L127" s="94"/>
      <c r="M127" s="757" t="s">
        <v>113</v>
      </c>
      <c r="N127" s="100">
        <f>FR_01007_m+FR_01007_p</f>
        <v>0.40949756000000004</v>
      </c>
      <c r="O127" s="93"/>
    </row>
    <row r="128" spans="1:15" x14ac:dyDescent="0.25">
      <c r="A128" s="757" t="s">
        <v>125</v>
      </c>
      <c r="B128" s="133" t="s">
        <v>1412</v>
      </c>
      <c r="C128" s="94"/>
      <c r="D128" s="757" t="s">
        <v>122</v>
      </c>
      <c r="E128" s="94"/>
      <c r="F128" s="94"/>
      <c r="G128" s="94"/>
      <c r="H128" s="94"/>
      <c r="I128" s="94"/>
      <c r="J128" s="94"/>
      <c r="K128" s="94"/>
      <c r="L128" s="94"/>
      <c r="M128" s="757" t="s">
        <v>124</v>
      </c>
      <c r="N128" s="136">
        <v>2</v>
      </c>
      <c r="O128" s="93"/>
    </row>
    <row r="129" spans="1:15" x14ac:dyDescent="0.25">
      <c r="A129" s="757" t="s">
        <v>123</v>
      </c>
      <c r="B129" s="270" t="str">
        <f>'FR Assemblies'!B4</f>
        <v>Frame</v>
      </c>
      <c r="C129" s="94"/>
      <c r="D129" s="757" t="s">
        <v>119</v>
      </c>
      <c r="E129" s="94"/>
      <c r="F129" s="94"/>
      <c r="G129" s="94"/>
      <c r="H129" s="94"/>
      <c r="I129" s="94"/>
      <c r="J129" s="758" t="s">
        <v>122</v>
      </c>
      <c r="K129" s="94"/>
      <c r="L129" s="94"/>
      <c r="M129" s="94"/>
      <c r="N129" s="94"/>
      <c r="O129" s="93"/>
    </row>
    <row r="130" spans="1:15" x14ac:dyDescent="0.25">
      <c r="A130" s="757" t="s">
        <v>114</v>
      </c>
      <c r="B130" s="744" t="s">
        <v>1724</v>
      </c>
      <c r="C130" s="94"/>
      <c r="D130" s="757" t="s">
        <v>116</v>
      </c>
      <c r="E130" s="94"/>
      <c r="F130" s="94"/>
      <c r="G130" s="94"/>
      <c r="H130" s="94"/>
      <c r="I130" s="94"/>
      <c r="J130" s="758" t="s">
        <v>119</v>
      </c>
      <c r="K130" s="94"/>
      <c r="L130" s="94"/>
      <c r="M130" s="757" t="s">
        <v>118</v>
      </c>
      <c r="N130" s="100">
        <f>N128*N127</f>
        <v>0.81899512000000008</v>
      </c>
      <c r="O130" s="93"/>
    </row>
    <row r="131" spans="1:15" x14ac:dyDescent="0.25">
      <c r="A131" s="757" t="s">
        <v>121</v>
      </c>
      <c r="B131" s="269" t="s">
        <v>1723</v>
      </c>
      <c r="C131" s="94"/>
      <c r="D131" s="94"/>
      <c r="E131" s="94"/>
      <c r="F131" s="94"/>
      <c r="G131" s="94"/>
      <c r="H131" s="94"/>
      <c r="I131" s="94"/>
      <c r="J131" s="758" t="s">
        <v>116</v>
      </c>
      <c r="K131" s="94"/>
      <c r="L131" s="94"/>
      <c r="M131" s="94"/>
      <c r="N131" s="94"/>
      <c r="O131" s="93"/>
    </row>
    <row r="132" spans="1:15" x14ac:dyDescent="0.25">
      <c r="A132" s="757" t="s">
        <v>117</v>
      </c>
      <c r="B132" s="133" t="s">
        <v>23</v>
      </c>
      <c r="C132" s="94"/>
      <c r="D132" s="94"/>
      <c r="E132" s="94"/>
      <c r="F132" s="94"/>
      <c r="G132" s="94"/>
      <c r="H132" s="94"/>
      <c r="I132" s="94"/>
      <c r="J132" s="94"/>
      <c r="K132" s="94"/>
      <c r="L132" s="94"/>
      <c r="M132" s="94"/>
      <c r="N132" s="94"/>
      <c r="O132" s="93"/>
    </row>
    <row r="133" spans="1:15" x14ac:dyDescent="0.25">
      <c r="A133" s="757" t="s">
        <v>115</v>
      </c>
      <c r="B133" s="133"/>
      <c r="C133" s="94"/>
      <c r="D133" s="94"/>
      <c r="E133" s="94"/>
      <c r="F133" s="94"/>
      <c r="G133" s="94"/>
      <c r="H133" s="94"/>
      <c r="I133" s="94"/>
      <c r="J133" s="94"/>
      <c r="K133" s="94"/>
      <c r="L133" s="94"/>
      <c r="M133" s="94"/>
      <c r="N133" s="94"/>
      <c r="O133" s="93"/>
    </row>
    <row r="134" spans="1:15" x14ac:dyDescent="0.25">
      <c r="A134" s="266"/>
      <c r="B134" s="265"/>
      <c r="C134" s="265"/>
      <c r="D134" s="265"/>
      <c r="E134" s="265"/>
      <c r="F134" s="94"/>
      <c r="G134" s="94"/>
      <c r="H134" s="94"/>
      <c r="I134" s="94"/>
      <c r="J134" s="94"/>
      <c r="K134" s="94"/>
      <c r="L134" s="94"/>
      <c r="M134" s="94"/>
      <c r="N134" s="94"/>
      <c r="O134" s="93"/>
    </row>
    <row r="135" spans="1:15" x14ac:dyDescent="0.25">
      <c r="A135" s="756" t="s">
        <v>67</v>
      </c>
      <c r="B135" s="755" t="s">
        <v>112</v>
      </c>
      <c r="C135" s="755" t="s">
        <v>66</v>
      </c>
      <c r="D135" s="755" t="s">
        <v>65</v>
      </c>
      <c r="E135" s="755" t="s">
        <v>81</v>
      </c>
      <c r="F135" s="1001" t="s">
        <v>80</v>
      </c>
      <c r="G135" s="1001" t="s">
        <v>79</v>
      </c>
      <c r="H135" s="1001" t="s">
        <v>78</v>
      </c>
      <c r="I135" s="1001" t="s">
        <v>111</v>
      </c>
      <c r="J135" s="1001" t="s">
        <v>110</v>
      </c>
      <c r="K135" s="1001" t="s">
        <v>109</v>
      </c>
      <c r="L135" s="1001" t="s">
        <v>108</v>
      </c>
      <c r="M135" s="1001" t="s">
        <v>40</v>
      </c>
      <c r="N135" s="1001" t="s">
        <v>58</v>
      </c>
      <c r="O135" s="93"/>
    </row>
    <row r="136" spans="1:15" ht="30" x14ac:dyDescent="0.25">
      <c r="A136" s="986">
        <v>10</v>
      </c>
      <c r="B136" s="986" t="s">
        <v>583</v>
      </c>
      <c r="C136" s="986" t="s">
        <v>1719</v>
      </c>
      <c r="D136" s="1024">
        <v>2.25</v>
      </c>
      <c r="E136" s="986">
        <v>28</v>
      </c>
      <c r="F136" s="986" t="s">
        <v>68</v>
      </c>
      <c r="G136" s="986">
        <v>1.5</v>
      </c>
      <c r="H136" s="993" t="s">
        <v>68</v>
      </c>
      <c r="I136" s="996" t="s">
        <v>1718</v>
      </c>
      <c r="J136" s="1051">
        <f>0.028*0.0015</f>
        <v>4.2000000000000004E-5</v>
      </c>
      <c r="K136" s="1051">
        <v>2.8000000000000001E-2</v>
      </c>
      <c r="L136" s="1051">
        <v>7860</v>
      </c>
      <c r="M136" s="1051">
        <v>1</v>
      </c>
      <c r="N136" s="991">
        <f>IF(J136="",D136*M136,D136*J136*K136*L136*M136)</f>
        <v>2.079756E-2</v>
      </c>
      <c r="O136" s="143"/>
    </row>
    <row r="137" spans="1:15" x14ac:dyDescent="0.25">
      <c r="A137" s="98"/>
      <c r="B137" s="95"/>
      <c r="C137" s="95"/>
      <c r="D137" s="95"/>
      <c r="E137" s="95"/>
      <c r="F137" s="95"/>
      <c r="G137" s="95"/>
      <c r="H137" s="95"/>
      <c r="I137" s="95"/>
      <c r="J137" s="754"/>
      <c r="K137" s="754"/>
      <c r="L137" s="95"/>
      <c r="M137" s="990" t="s">
        <v>58</v>
      </c>
      <c r="N137" s="750">
        <f>SUM(N136:N136)</f>
        <v>2.079756E-2</v>
      </c>
      <c r="O137" s="93"/>
    </row>
    <row r="138" spans="1:15" x14ac:dyDescent="0.25">
      <c r="A138" s="107"/>
      <c r="B138" s="94"/>
      <c r="C138" s="94"/>
      <c r="D138" s="94"/>
      <c r="E138" s="94"/>
      <c r="F138" s="94"/>
      <c r="G138" s="94"/>
      <c r="H138" s="94"/>
      <c r="I138" s="94"/>
      <c r="J138" s="94"/>
      <c r="K138" s="94"/>
      <c r="L138" s="94"/>
      <c r="M138" s="94"/>
      <c r="N138" s="94"/>
      <c r="O138" s="93"/>
    </row>
    <row r="139" spans="1:15" x14ac:dyDescent="0.25">
      <c r="A139" s="1005" t="s">
        <v>67</v>
      </c>
      <c r="B139" s="1001" t="s">
        <v>106</v>
      </c>
      <c r="C139" s="1001" t="s">
        <v>66</v>
      </c>
      <c r="D139" s="1001" t="s">
        <v>65</v>
      </c>
      <c r="E139" s="1001" t="s">
        <v>64</v>
      </c>
      <c r="F139" s="1001" t="s">
        <v>40</v>
      </c>
      <c r="G139" s="1001" t="s">
        <v>105</v>
      </c>
      <c r="H139" s="1001" t="s">
        <v>104</v>
      </c>
      <c r="I139" s="1001" t="s">
        <v>58</v>
      </c>
      <c r="J139" s="95"/>
      <c r="K139" s="95"/>
      <c r="L139" s="95"/>
      <c r="M139" s="95"/>
      <c r="N139" s="95"/>
      <c r="O139" s="93"/>
    </row>
    <row r="140" spans="1:15" x14ac:dyDescent="0.25">
      <c r="A140" s="986">
        <v>10</v>
      </c>
      <c r="B140" s="783" t="s">
        <v>516</v>
      </c>
      <c r="C140" s="989" t="s">
        <v>1722</v>
      </c>
      <c r="D140" s="1024">
        <v>1.3</v>
      </c>
      <c r="E140" s="986" t="s">
        <v>64</v>
      </c>
      <c r="F140" s="986">
        <v>0.125</v>
      </c>
      <c r="G140" s="986"/>
      <c r="H140" s="986"/>
      <c r="I140" s="1040">
        <f>IF(H140="",D140*F140,D140*F140*H140)</f>
        <v>0.16250000000000001</v>
      </c>
      <c r="J140" s="142"/>
      <c r="K140" s="142"/>
      <c r="L140" s="142"/>
      <c r="M140" s="142"/>
      <c r="N140" s="142"/>
      <c r="O140" s="120"/>
    </row>
    <row r="141" spans="1:15" x14ac:dyDescent="0.25">
      <c r="A141" s="853">
        <v>20</v>
      </c>
      <c r="B141" s="1002" t="s">
        <v>541</v>
      </c>
      <c r="C141" s="852"/>
      <c r="D141" s="1024">
        <v>0.01</v>
      </c>
      <c r="E141" s="986" t="s">
        <v>101</v>
      </c>
      <c r="F141" s="986">
        <v>7.54</v>
      </c>
      <c r="G141" s="986" t="s">
        <v>724</v>
      </c>
      <c r="H141" s="986">
        <v>3</v>
      </c>
      <c r="I141" s="1040">
        <f>IF(H141="",D141*F141,D141*F141*H141)</f>
        <v>0.22620000000000001</v>
      </c>
      <c r="J141" s="94"/>
      <c r="K141" s="94"/>
      <c r="L141" s="94"/>
      <c r="M141" s="94"/>
      <c r="N141" s="94"/>
      <c r="O141" s="93"/>
    </row>
    <row r="142" spans="1:15" x14ac:dyDescent="0.25">
      <c r="A142" s="98"/>
      <c r="B142" s="95"/>
      <c r="C142" s="95"/>
      <c r="D142" s="95"/>
      <c r="E142" s="95"/>
      <c r="F142" s="95"/>
      <c r="G142" s="95"/>
      <c r="H142" s="751" t="s">
        <v>58</v>
      </c>
      <c r="I142" s="750">
        <f>SUM(I140:I141)</f>
        <v>0.38870000000000005</v>
      </c>
      <c r="J142" s="95"/>
      <c r="K142" s="95"/>
      <c r="L142" s="95"/>
      <c r="M142" s="95"/>
      <c r="N142" s="95"/>
      <c r="O142" s="93"/>
    </row>
    <row r="143" spans="1:15" ht="15.75" thickBot="1" x14ac:dyDescent="0.3">
      <c r="A143" s="92"/>
      <c r="B143" s="91"/>
      <c r="C143" s="91"/>
      <c r="D143" s="91"/>
      <c r="E143" s="91"/>
      <c r="F143" s="91"/>
      <c r="G143" s="91"/>
      <c r="H143" s="91"/>
      <c r="I143" s="91"/>
      <c r="J143" s="91"/>
      <c r="K143" s="91"/>
      <c r="L143" s="91"/>
      <c r="M143" s="91"/>
      <c r="N143" s="91"/>
      <c r="O143" s="90"/>
    </row>
    <row r="144" spans="1:15" ht="15.75" thickBot="1" x14ac:dyDescent="0.3"/>
    <row r="145" spans="1:15" x14ac:dyDescent="0.25">
      <c r="A145" s="141"/>
      <c r="B145" s="140"/>
      <c r="C145" s="140"/>
      <c r="D145" s="140"/>
      <c r="E145" s="140"/>
      <c r="F145" s="140"/>
      <c r="G145" s="140"/>
      <c r="H145" s="140"/>
      <c r="I145" s="140"/>
      <c r="J145" s="272"/>
      <c r="K145" s="140"/>
      <c r="L145" s="140"/>
      <c r="M145" s="140"/>
      <c r="N145" s="140"/>
      <c r="O145" s="139"/>
    </row>
    <row r="146" spans="1:15" x14ac:dyDescent="0.25">
      <c r="A146" s="757" t="s">
        <v>57</v>
      </c>
      <c r="B146" s="133" t="s">
        <v>523</v>
      </c>
      <c r="C146" s="94"/>
      <c r="D146" s="94"/>
      <c r="E146" s="94"/>
      <c r="F146" s="94"/>
      <c r="G146" s="94"/>
      <c r="H146" s="94"/>
      <c r="I146" s="94"/>
      <c r="J146" s="760" t="s">
        <v>51</v>
      </c>
      <c r="K146" s="138">
        <v>81</v>
      </c>
      <c r="L146" s="94"/>
      <c r="M146" s="757" t="s">
        <v>113</v>
      </c>
      <c r="N146" s="100">
        <f>FR_01008_m+FR_01008_p</f>
        <v>0.42839755999999996</v>
      </c>
      <c r="O146" s="93"/>
    </row>
    <row r="147" spans="1:15" x14ac:dyDescent="0.25">
      <c r="A147" s="757" t="s">
        <v>125</v>
      </c>
      <c r="B147" s="133" t="s">
        <v>1412</v>
      </c>
      <c r="C147" s="94"/>
      <c r="D147" s="757" t="s">
        <v>122</v>
      </c>
      <c r="E147" s="94"/>
      <c r="F147" s="94"/>
      <c r="G147" s="94"/>
      <c r="H147" s="94"/>
      <c r="I147" s="94"/>
      <c r="J147" s="94"/>
      <c r="K147" s="94"/>
      <c r="L147" s="94"/>
      <c r="M147" s="757" t="s">
        <v>124</v>
      </c>
      <c r="N147" s="136">
        <v>2</v>
      </c>
      <c r="O147" s="93"/>
    </row>
    <row r="148" spans="1:15" x14ac:dyDescent="0.25">
      <c r="A148" s="757" t="s">
        <v>123</v>
      </c>
      <c r="B148" s="270" t="str">
        <f>'FR Assemblies'!B4</f>
        <v>Frame</v>
      </c>
      <c r="C148" s="94"/>
      <c r="D148" s="757" t="s">
        <v>119</v>
      </c>
      <c r="E148" s="94"/>
      <c r="F148" s="94"/>
      <c r="G148" s="94"/>
      <c r="H148" s="94"/>
      <c r="I148" s="94"/>
      <c r="J148" s="758" t="s">
        <v>122</v>
      </c>
      <c r="K148" s="94"/>
      <c r="L148" s="94"/>
      <c r="M148" s="94"/>
      <c r="N148" s="94"/>
      <c r="O148" s="93"/>
    </row>
    <row r="149" spans="1:15" x14ac:dyDescent="0.25">
      <c r="A149" s="757" t="s">
        <v>114</v>
      </c>
      <c r="B149" s="744" t="s">
        <v>1721</v>
      </c>
      <c r="C149" s="94"/>
      <c r="D149" s="757" t="s">
        <v>116</v>
      </c>
      <c r="E149" s="94"/>
      <c r="F149" s="94"/>
      <c r="G149" s="94"/>
      <c r="H149" s="94"/>
      <c r="I149" s="94"/>
      <c r="J149" s="758" t="s">
        <v>119</v>
      </c>
      <c r="K149" s="94"/>
      <c r="L149" s="94"/>
      <c r="M149" s="757" t="s">
        <v>118</v>
      </c>
      <c r="N149" s="100">
        <f>N147*N146</f>
        <v>0.85679511999999991</v>
      </c>
      <c r="O149" s="93"/>
    </row>
    <row r="150" spans="1:15" x14ac:dyDescent="0.25">
      <c r="A150" s="757" t="s">
        <v>121</v>
      </c>
      <c r="B150" s="269" t="s">
        <v>1720</v>
      </c>
      <c r="C150" s="94"/>
      <c r="D150" s="94"/>
      <c r="E150" s="94"/>
      <c r="F150" s="94"/>
      <c r="G150" s="94"/>
      <c r="H150" s="94"/>
      <c r="I150" s="94"/>
      <c r="J150" s="758" t="s">
        <v>116</v>
      </c>
      <c r="K150" s="94"/>
      <c r="L150" s="94"/>
      <c r="M150" s="94"/>
      <c r="N150" s="94"/>
      <c r="O150" s="93"/>
    </row>
    <row r="151" spans="1:15" x14ac:dyDescent="0.25">
      <c r="A151" s="757" t="s">
        <v>117</v>
      </c>
      <c r="B151" s="133" t="s">
        <v>23</v>
      </c>
      <c r="C151" s="94"/>
      <c r="D151" s="94"/>
      <c r="E151" s="94"/>
      <c r="F151" s="94"/>
      <c r="G151" s="94"/>
      <c r="H151" s="94"/>
      <c r="I151" s="94"/>
      <c r="J151" s="94"/>
      <c r="K151" s="94"/>
      <c r="L151" s="94"/>
      <c r="M151" s="94"/>
      <c r="N151" s="94"/>
      <c r="O151" s="93"/>
    </row>
    <row r="152" spans="1:15" x14ac:dyDescent="0.25">
      <c r="A152" s="757" t="s">
        <v>115</v>
      </c>
      <c r="B152" s="133"/>
      <c r="C152" s="94"/>
      <c r="D152" s="94"/>
      <c r="E152" s="94"/>
      <c r="F152" s="94"/>
      <c r="G152" s="94"/>
      <c r="H152" s="94"/>
      <c r="I152" s="94"/>
      <c r="J152" s="94"/>
      <c r="K152" s="94"/>
      <c r="L152" s="94"/>
      <c r="M152" s="94"/>
      <c r="N152" s="94"/>
      <c r="O152" s="93"/>
    </row>
    <row r="153" spans="1:15" x14ac:dyDescent="0.25">
      <c r="A153" s="266"/>
      <c r="B153" s="265"/>
      <c r="C153" s="265"/>
      <c r="D153" s="265"/>
      <c r="E153" s="265"/>
      <c r="F153" s="94"/>
      <c r="G153" s="94"/>
      <c r="H153" s="94"/>
      <c r="I153" s="94"/>
      <c r="J153" s="94"/>
      <c r="K153" s="94"/>
      <c r="L153" s="94"/>
      <c r="M153" s="94"/>
      <c r="N153" s="94"/>
      <c r="O153" s="93"/>
    </row>
    <row r="154" spans="1:15" x14ac:dyDescent="0.25">
      <c r="A154" s="756" t="s">
        <v>67</v>
      </c>
      <c r="B154" s="755" t="s">
        <v>112</v>
      </c>
      <c r="C154" s="755" t="s">
        <v>66</v>
      </c>
      <c r="D154" s="755" t="s">
        <v>65</v>
      </c>
      <c r="E154" s="755" t="s">
        <v>81</v>
      </c>
      <c r="F154" s="1001" t="s">
        <v>80</v>
      </c>
      <c r="G154" s="1001" t="s">
        <v>79</v>
      </c>
      <c r="H154" s="1001" t="s">
        <v>78</v>
      </c>
      <c r="I154" s="1001" t="s">
        <v>111</v>
      </c>
      <c r="J154" s="1001" t="s">
        <v>110</v>
      </c>
      <c r="K154" s="1001" t="s">
        <v>109</v>
      </c>
      <c r="L154" s="1001" t="s">
        <v>108</v>
      </c>
      <c r="M154" s="1001" t="s">
        <v>40</v>
      </c>
      <c r="N154" s="1001" t="s">
        <v>58</v>
      </c>
      <c r="O154" s="93"/>
    </row>
    <row r="155" spans="1:15" ht="30" x14ac:dyDescent="0.25">
      <c r="A155" s="986">
        <v>10</v>
      </c>
      <c r="B155" s="986" t="s">
        <v>583</v>
      </c>
      <c r="C155" s="986" t="s">
        <v>1719</v>
      </c>
      <c r="D155" s="1024">
        <v>2.25</v>
      </c>
      <c r="E155" s="986">
        <v>28</v>
      </c>
      <c r="F155" s="986" t="s">
        <v>68</v>
      </c>
      <c r="G155" s="986">
        <v>1.5</v>
      </c>
      <c r="H155" s="993" t="s">
        <v>68</v>
      </c>
      <c r="I155" s="996" t="s">
        <v>1718</v>
      </c>
      <c r="J155" s="1051">
        <f>0.028*0.0015</f>
        <v>4.2000000000000004E-5</v>
      </c>
      <c r="K155" s="1051">
        <v>2.8000000000000001E-2</v>
      </c>
      <c r="L155" s="1051">
        <v>7860</v>
      </c>
      <c r="M155" s="1051">
        <v>1</v>
      </c>
      <c r="N155" s="991">
        <f>IF(J155="",D155*M155,D155*J155*K155*L155*M155)</f>
        <v>2.079756E-2</v>
      </c>
      <c r="O155" s="143"/>
    </row>
    <row r="156" spans="1:15" x14ac:dyDescent="0.25">
      <c r="A156" s="98"/>
      <c r="B156" s="95"/>
      <c r="C156" s="95"/>
      <c r="D156" s="95"/>
      <c r="E156" s="95"/>
      <c r="F156" s="95"/>
      <c r="G156" s="95"/>
      <c r="H156" s="95"/>
      <c r="I156" s="95"/>
      <c r="J156" s="754"/>
      <c r="K156" s="754"/>
      <c r="L156" s="95"/>
      <c r="M156" s="990" t="s">
        <v>58</v>
      </c>
      <c r="N156" s="750">
        <f>SUM(N155:N155)</f>
        <v>2.079756E-2</v>
      </c>
      <c r="O156" s="93"/>
    </row>
    <row r="157" spans="1:15" x14ac:dyDescent="0.25">
      <c r="A157" s="107"/>
      <c r="B157" s="94"/>
      <c r="C157" s="94"/>
      <c r="D157" s="94"/>
      <c r="E157" s="94"/>
      <c r="F157" s="94"/>
      <c r="G157" s="94"/>
      <c r="H157" s="94"/>
      <c r="I157" s="94"/>
      <c r="J157" s="94"/>
      <c r="K157" s="94"/>
      <c r="L157" s="94"/>
      <c r="M157" s="94"/>
      <c r="N157" s="94"/>
      <c r="O157" s="93"/>
    </row>
    <row r="158" spans="1:15" x14ac:dyDescent="0.25">
      <c r="A158" s="1005" t="s">
        <v>67</v>
      </c>
      <c r="B158" s="1001" t="s">
        <v>106</v>
      </c>
      <c r="C158" s="1001" t="s">
        <v>66</v>
      </c>
      <c r="D158" s="1001" t="s">
        <v>65</v>
      </c>
      <c r="E158" s="1001" t="s">
        <v>64</v>
      </c>
      <c r="F158" s="1001" t="s">
        <v>40</v>
      </c>
      <c r="G158" s="1001" t="s">
        <v>105</v>
      </c>
      <c r="H158" s="1001" t="s">
        <v>104</v>
      </c>
      <c r="I158" s="1001" t="s">
        <v>58</v>
      </c>
      <c r="J158" s="95"/>
      <c r="K158" s="95"/>
      <c r="L158" s="95"/>
      <c r="M158" s="95"/>
      <c r="N158" s="95"/>
      <c r="O158" s="93"/>
    </row>
    <row r="159" spans="1:15" x14ac:dyDescent="0.25">
      <c r="A159" s="986">
        <v>10</v>
      </c>
      <c r="B159" s="1004" t="s">
        <v>516</v>
      </c>
      <c r="C159" s="989" t="s">
        <v>802</v>
      </c>
      <c r="D159" s="1024">
        <v>1.3</v>
      </c>
      <c r="E159" s="986" t="s">
        <v>64</v>
      </c>
      <c r="F159" s="986">
        <v>0.125</v>
      </c>
      <c r="G159" s="986"/>
      <c r="H159" s="986"/>
      <c r="I159" s="1040">
        <f>IF(H159="",D159*F159,D159*F159*H159)</f>
        <v>0.16250000000000001</v>
      </c>
      <c r="J159" s="142"/>
      <c r="K159" s="142"/>
      <c r="L159" s="142"/>
      <c r="M159" s="142"/>
      <c r="N159" s="142"/>
      <c r="O159" s="120"/>
    </row>
    <row r="160" spans="1:15" x14ac:dyDescent="0.25">
      <c r="A160" s="986">
        <v>20</v>
      </c>
      <c r="B160" s="1002" t="s">
        <v>541</v>
      </c>
      <c r="C160" s="989"/>
      <c r="D160" s="1024">
        <v>0.01</v>
      </c>
      <c r="E160" s="986" t="s">
        <v>101</v>
      </c>
      <c r="F160" s="986">
        <v>8.17</v>
      </c>
      <c r="G160" s="986" t="s">
        <v>724</v>
      </c>
      <c r="H160" s="986">
        <v>3</v>
      </c>
      <c r="I160" s="1040">
        <f>IF(H160="",D160*F160,D160*F160*H160)</f>
        <v>0.24509999999999998</v>
      </c>
      <c r="J160" s="94"/>
      <c r="K160" s="94"/>
      <c r="L160" s="94"/>
      <c r="M160" s="94"/>
      <c r="N160" s="94"/>
      <c r="O160" s="93"/>
    </row>
    <row r="161" spans="1:15" x14ac:dyDescent="0.25">
      <c r="A161" s="98"/>
      <c r="B161" s="95"/>
      <c r="C161" s="95"/>
      <c r="D161" s="95"/>
      <c r="E161" s="95"/>
      <c r="F161" s="95"/>
      <c r="G161" s="95"/>
      <c r="H161" s="751" t="s">
        <v>58</v>
      </c>
      <c r="I161" s="750">
        <f>SUM(I159:I160)</f>
        <v>0.40759999999999996</v>
      </c>
      <c r="J161" s="95"/>
      <c r="K161" s="95"/>
      <c r="L161" s="95"/>
      <c r="M161" s="95"/>
      <c r="N161" s="95"/>
      <c r="O161" s="93"/>
    </row>
    <row r="162" spans="1:15" ht="15.75" thickBot="1" x14ac:dyDescent="0.3">
      <c r="A162" s="92"/>
      <c r="B162" s="91"/>
      <c r="C162" s="91"/>
      <c r="D162" s="91"/>
      <c r="E162" s="91"/>
      <c r="F162" s="91"/>
      <c r="G162" s="91"/>
      <c r="H162" s="91"/>
      <c r="I162" s="91"/>
      <c r="J162" s="91"/>
      <c r="K162" s="91"/>
      <c r="L162" s="91"/>
      <c r="M162" s="91"/>
      <c r="N162" s="91"/>
      <c r="O162" s="90"/>
    </row>
    <row r="163" spans="1:15" ht="15.75" thickBot="1" x14ac:dyDescent="0.3"/>
    <row r="164" spans="1:15" x14ac:dyDescent="0.25">
      <c r="A164" s="141"/>
      <c r="B164" s="140"/>
      <c r="C164" s="140"/>
      <c r="D164" s="140"/>
      <c r="E164" s="140"/>
      <c r="F164" s="140"/>
      <c r="G164" s="140"/>
      <c r="H164" s="140"/>
      <c r="I164" s="140"/>
      <c r="J164" s="272"/>
      <c r="K164" s="140"/>
      <c r="L164" s="140"/>
      <c r="M164" s="140"/>
      <c r="N164" s="140"/>
      <c r="O164" s="139"/>
    </row>
    <row r="165" spans="1:15" x14ac:dyDescent="0.25">
      <c r="A165" s="757" t="s">
        <v>57</v>
      </c>
      <c r="B165" s="133" t="s">
        <v>523</v>
      </c>
      <c r="C165" s="94"/>
      <c r="D165" s="94"/>
      <c r="E165" s="94"/>
      <c r="F165" s="94"/>
      <c r="G165" s="94"/>
      <c r="H165" s="94"/>
      <c r="I165" s="94"/>
      <c r="J165" s="760" t="s">
        <v>51</v>
      </c>
      <c r="K165" s="138">
        <v>81</v>
      </c>
      <c r="L165" s="94"/>
      <c r="M165" s="757" t="s">
        <v>113</v>
      </c>
      <c r="N165" s="100">
        <f>FR_01009_m+FR_01009_p</f>
        <v>0.45336416000000002</v>
      </c>
      <c r="O165" s="93"/>
    </row>
    <row r="166" spans="1:15" x14ac:dyDescent="0.25">
      <c r="A166" s="757" t="s">
        <v>125</v>
      </c>
      <c r="B166" s="133" t="s">
        <v>1412</v>
      </c>
      <c r="C166" s="94"/>
      <c r="D166" s="757" t="s">
        <v>122</v>
      </c>
      <c r="E166" s="94"/>
      <c r="F166" s="94"/>
      <c r="G166" s="94"/>
      <c r="H166" s="94"/>
      <c r="I166" s="94"/>
      <c r="J166" s="94"/>
      <c r="K166" s="94"/>
      <c r="L166" s="94"/>
      <c r="M166" s="757" t="s">
        <v>124</v>
      </c>
      <c r="N166" s="136">
        <v>4</v>
      </c>
      <c r="O166" s="93"/>
    </row>
    <row r="167" spans="1:15" x14ac:dyDescent="0.25">
      <c r="A167" s="757" t="s">
        <v>123</v>
      </c>
      <c r="B167" s="270" t="str">
        <f>'FR Assemblies'!B4</f>
        <v>Frame</v>
      </c>
      <c r="C167" s="94"/>
      <c r="D167" s="757" t="s">
        <v>119</v>
      </c>
      <c r="E167" s="94"/>
      <c r="F167" s="94"/>
      <c r="G167" s="94"/>
      <c r="H167" s="94"/>
      <c r="I167" s="94"/>
      <c r="J167" s="758" t="s">
        <v>122</v>
      </c>
      <c r="K167" s="94"/>
      <c r="L167" s="94"/>
      <c r="M167" s="94"/>
      <c r="N167" s="94"/>
      <c r="O167" s="93"/>
    </row>
    <row r="168" spans="1:15" x14ac:dyDescent="0.25">
      <c r="A168" s="757" t="s">
        <v>114</v>
      </c>
      <c r="B168" s="744" t="s">
        <v>1717</v>
      </c>
      <c r="C168" s="94"/>
      <c r="D168" s="757" t="s">
        <v>116</v>
      </c>
      <c r="E168" s="94"/>
      <c r="F168" s="94"/>
      <c r="G168" s="94"/>
      <c r="H168" s="94"/>
      <c r="I168" s="94"/>
      <c r="J168" s="758" t="s">
        <v>119</v>
      </c>
      <c r="K168" s="94"/>
      <c r="L168" s="94"/>
      <c r="M168" s="757" t="s">
        <v>118</v>
      </c>
      <c r="N168" s="100">
        <f>N166*N165</f>
        <v>1.8134566400000001</v>
      </c>
      <c r="O168" s="93"/>
    </row>
    <row r="169" spans="1:15" x14ac:dyDescent="0.25">
      <c r="A169" s="757" t="s">
        <v>121</v>
      </c>
      <c r="B169" s="269" t="s">
        <v>1716</v>
      </c>
      <c r="C169" s="94"/>
      <c r="D169" s="94"/>
      <c r="E169" s="94"/>
      <c r="F169" s="94"/>
      <c r="G169" s="94"/>
      <c r="H169" s="94"/>
      <c r="I169" s="94"/>
      <c r="J169" s="758" t="s">
        <v>116</v>
      </c>
      <c r="K169" s="94"/>
      <c r="L169" s="94"/>
      <c r="M169" s="94"/>
      <c r="N169" s="94"/>
      <c r="O169" s="93"/>
    </row>
    <row r="170" spans="1:15" x14ac:dyDescent="0.25">
      <c r="A170" s="757" t="s">
        <v>117</v>
      </c>
      <c r="B170" s="133" t="s">
        <v>23</v>
      </c>
      <c r="C170" s="94"/>
      <c r="D170" s="94"/>
      <c r="E170" s="94"/>
      <c r="F170" s="94"/>
      <c r="G170" s="94"/>
      <c r="H170" s="94"/>
      <c r="I170" s="94"/>
      <c r="J170" s="94"/>
      <c r="K170" s="94"/>
      <c r="L170" s="94"/>
      <c r="M170" s="94"/>
      <c r="N170" s="94"/>
      <c r="O170" s="93"/>
    </row>
    <row r="171" spans="1:15" x14ac:dyDescent="0.25">
      <c r="A171" s="757" t="s">
        <v>115</v>
      </c>
      <c r="B171" s="133"/>
      <c r="C171" s="94"/>
      <c r="D171" s="94"/>
      <c r="E171" s="94"/>
      <c r="F171" s="94"/>
      <c r="G171" s="94"/>
      <c r="H171" s="94"/>
      <c r="I171" s="94"/>
      <c r="J171" s="94"/>
      <c r="K171" s="94"/>
      <c r="L171" s="94"/>
      <c r="M171" s="94"/>
      <c r="N171" s="94"/>
      <c r="O171" s="93"/>
    </row>
    <row r="172" spans="1:15" x14ac:dyDescent="0.25">
      <c r="A172" s="266"/>
      <c r="B172" s="265"/>
      <c r="C172" s="265"/>
      <c r="D172" s="265"/>
      <c r="E172" s="265"/>
      <c r="F172" s="94"/>
      <c r="G172" s="94"/>
      <c r="H172" s="94"/>
      <c r="I172" s="94"/>
      <c r="J172" s="94"/>
      <c r="K172" s="94"/>
      <c r="L172" s="94"/>
      <c r="M172" s="94"/>
      <c r="N172" s="94"/>
      <c r="O172" s="93"/>
    </row>
    <row r="173" spans="1:15" x14ac:dyDescent="0.25">
      <c r="A173" s="756" t="s">
        <v>67</v>
      </c>
      <c r="B173" s="755" t="s">
        <v>112</v>
      </c>
      <c r="C173" s="755" t="s">
        <v>66</v>
      </c>
      <c r="D173" s="755" t="s">
        <v>65</v>
      </c>
      <c r="E173" s="755" t="s">
        <v>81</v>
      </c>
      <c r="F173" s="1001" t="s">
        <v>80</v>
      </c>
      <c r="G173" s="1001" t="s">
        <v>79</v>
      </c>
      <c r="H173" s="1001" t="s">
        <v>78</v>
      </c>
      <c r="I173" s="1001" t="s">
        <v>111</v>
      </c>
      <c r="J173" s="1001" t="s">
        <v>110</v>
      </c>
      <c r="K173" s="1001" t="s">
        <v>109</v>
      </c>
      <c r="L173" s="1001" t="s">
        <v>108</v>
      </c>
      <c r="M173" s="1001" t="s">
        <v>40</v>
      </c>
      <c r="N173" s="1001" t="s">
        <v>58</v>
      </c>
      <c r="O173" s="93"/>
    </row>
    <row r="174" spans="1:15" ht="30" x14ac:dyDescent="0.25">
      <c r="A174" s="986">
        <v>10</v>
      </c>
      <c r="B174" s="986" t="s">
        <v>583</v>
      </c>
      <c r="C174" s="986" t="s">
        <v>1715</v>
      </c>
      <c r="D174" s="1024">
        <v>2.25</v>
      </c>
      <c r="E174" s="986">
        <v>32</v>
      </c>
      <c r="F174" s="986" t="s">
        <v>68</v>
      </c>
      <c r="G174" s="986">
        <v>1.5</v>
      </c>
      <c r="H174" s="993" t="s">
        <v>68</v>
      </c>
      <c r="I174" s="996" t="s">
        <v>1714</v>
      </c>
      <c r="J174" s="1056">
        <f>0.032*0.0015</f>
        <v>4.8000000000000001E-5</v>
      </c>
      <c r="K174" s="1057">
        <v>3.2000000000000001E-2</v>
      </c>
      <c r="L174" s="993">
        <v>7860</v>
      </c>
      <c r="M174" s="1051">
        <v>1</v>
      </c>
      <c r="N174" s="991">
        <f>IF(J174="",D174*M174,D174*J174*K174*L174*M174)</f>
        <v>2.716416E-2</v>
      </c>
      <c r="O174" s="143"/>
    </row>
    <row r="175" spans="1:15" x14ac:dyDescent="0.25">
      <c r="A175" s="98"/>
      <c r="B175" s="95"/>
      <c r="C175" s="95"/>
      <c r="D175" s="95"/>
      <c r="E175" s="95"/>
      <c r="F175" s="95"/>
      <c r="G175" s="95"/>
      <c r="H175" s="95"/>
      <c r="I175" s="95"/>
      <c r="J175" s="754"/>
      <c r="K175" s="754"/>
      <c r="L175" s="95"/>
      <c r="M175" s="990" t="s">
        <v>58</v>
      </c>
      <c r="N175" s="750">
        <f>SUM(N174:N174)</f>
        <v>2.716416E-2</v>
      </c>
      <c r="O175" s="93"/>
    </row>
    <row r="176" spans="1:15" x14ac:dyDescent="0.25">
      <c r="A176" s="107"/>
      <c r="B176" s="94"/>
      <c r="C176" s="94"/>
      <c r="D176" s="94"/>
      <c r="E176" s="94"/>
      <c r="F176" s="94"/>
      <c r="G176" s="94"/>
      <c r="H176" s="94"/>
      <c r="I176" s="94"/>
      <c r="J176" s="94"/>
      <c r="K176" s="94"/>
      <c r="L176" s="94"/>
      <c r="M176" s="94"/>
      <c r="N176" s="94"/>
      <c r="O176" s="93"/>
    </row>
    <row r="177" spans="1:15" x14ac:dyDescent="0.25">
      <c r="A177" s="1005" t="s">
        <v>67</v>
      </c>
      <c r="B177" s="1001" t="s">
        <v>106</v>
      </c>
      <c r="C177" s="1001" t="s">
        <v>66</v>
      </c>
      <c r="D177" s="1001" t="s">
        <v>65</v>
      </c>
      <c r="E177" s="1001" t="s">
        <v>64</v>
      </c>
      <c r="F177" s="1001" t="s">
        <v>40</v>
      </c>
      <c r="G177" s="1001" t="s">
        <v>105</v>
      </c>
      <c r="H177" s="1001" t="s">
        <v>104</v>
      </c>
      <c r="I177" s="1001" t="s">
        <v>58</v>
      </c>
      <c r="J177" s="95"/>
      <c r="K177" s="95"/>
      <c r="L177" s="95"/>
      <c r="M177" s="95"/>
      <c r="N177" s="95"/>
      <c r="O177" s="93"/>
    </row>
    <row r="178" spans="1:15" x14ac:dyDescent="0.25">
      <c r="A178" s="986">
        <v>10</v>
      </c>
      <c r="B178" s="1004" t="s">
        <v>516</v>
      </c>
      <c r="C178" s="989" t="s">
        <v>802</v>
      </c>
      <c r="D178" s="1024">
        <v>1.3</v>
      </c>
      <c r="E178" s="986" t="s">
        <v>64</v>
      </c>
      <c r="F178" s="986">
        <v>0.125</v>
      </c>
      <c r="G178" s="986"/>
      <c r="H178" s="986"/>
      <c r="I178" s="1040">
        <f>IF(H178="",D178*F178,D178*F178*H178)</f>
        <v>0.16250000000000001</v>
      </c>
      <c r="J178" s="142"/>
      <c r="K178" s="142"/>
      <c r="L178" s="142"/>
      <c r="M178" s="142"/>
      <c r="N178" s="142"/>
      <c r="O178" s="120"/>
    </row>
    <row r="179" spans="1:15" x14ac:dyDescent="0.25">
      <c r="A179" s="986">
        <v>20</v>
      </c>
      <c r="B179" s="1002" t="s">
        <v>541</v>
      </c>
      <c r="C179" s="989"/>
      <c r="D179" s="1024">
        <v>0.01</v>
      </c>
      <c r="E179" s="986" t="s">
        <v>101</v>
      </c>
      <c r="F179" s="986">
        <v>8.7899999999999991</v>
      </c>
      <c r="G179" s="986" t="s">
        <v>724</v>
      </c>
      <c r="H179" s="986">
        <v>3</v>
      </c>
      <c r="I179" s="1040">
        <f>IF(H179="",D179*F179,D179*F179*H179)</f>
        <v>0.26369999999999999</v>
      </c>
      <c r="J179" s="94"/>
      <c r="K179" s="94"/>
      <c r="L179" s="94"/>
      <c r="M179" s="94"/>
      <c r="N179" s="94"/>
      <c r="O179" s="93"/>
    </row>
    <row r="180" spans="1:15" x14ac:dyDescent="0.25">
      <c r="A180" s="98"/>
      <c r="B180" s="95"/>
      <c r="C180" s="95"/>
      <c r="D180" s="95"/>
      <c r="E180" s="95"/>
      <c r="F180" s="95"/>
      <c r="G180" s="95"/>
      <c r="H180" s="751" t="s">
        <v>58</v>
      </c>
      <c r="I180" s="750">
        <f>SUM(I178:I179)</f>
        <v>0.42620000000000002</v>
      </c>
      <c r="J180" s="95"/>
      <c r="K180" s="95"/>
      <c r="L180" s="95"/>
      <c r="M180" s="95"/>
      <c r="N180" s="95"/>
      <c r="O180" s="93"/>
    </row>
    <row r="181" spans="1:15" ht="15.75" thickBot="1" x14ac:dyDescent="0.3">
      <c r="A181" s="92"/>
      <c r="B181" s="91"/>
      <c r="C181" s="91"/>
      <c r="D181" s="91"/>
      <c r="E181" s="91"/>
      <c r="F181" s="91"/>
      <c r="G181" s="91"/>
      <c r="H181" s="91"/>
      <c r="I181" s="91"/>
      <c r="J181" s="91"/>
      <c r="K181" s="91"/>
      <c r="L181" s="91"/>
      <c r="M181" s="91"/>
      <c r="N181" s="91"/>
      <c r="O181" s="90"/>
    </row>
    <row r="182" spans="1:15" ht="15.75" thickBot="1" x14ac:dyDescent="0.3"/>
    <row r="183" spans="1:15" x14ac:dyDescent="0.25">
      <c r="A183" s="141"/>
      <c r="B183" s="140"/>
      <c r="C183" s="140"/>
      <c r="D183" s="140"/>
      <c r="E183" s="140"/>
      <c r="F183" s="140"/>
      <c r="G183" s="140"/>
      <c r="H183" s="140"/>
      <c r="I183" s="140"/>
      <c r="J183" s="272"/>
      <c r="K183" s="140"/>
      <c r="L183" s="140"/>
      <c r="M183" s="140"/>
      <c r="N183" s="140"/>
      <c r="O183" s="139"/>
    </row>
    <row r="184" spans="1:15" x14ac:dyDescent="0.25">
      <c r="A184" s="757" t="s">
        <v>57</v>
      </c>
      <c r="B184" s="133" t="s">
        <v>523</v>
      </c>
      <c r="C184" s="94"/>
      <c r="D184" s="94"/>
      <c r="E184" s="94"/>
      <c r="F184" s="94"/>
      <c r="G184" s="94"/>
      <c r="H184" s="94"/>
      <c r="I184" s="94"/>
      <c r="J184" s="760" t="s">
        <v>51</v>
      </c>
      <c r="K184" s="138">
        <v>81</v>
      </c>
      <c r="L184" s="94"/>
      <c r="M184" s="757" t="s">
        <v>113</v>
      </c>
      <c r="N184" s="100">
        <f>FR_02001_m+FR_02001_p</f>
        <v>45.581253335</v>
      </c>
      <c r="O184" s="93"/>
    </row>
    <row r="185" spans="1:15" x14ac:dyDescent="0.25">
      <c r="A185" s="757" t="s">
        <v>125</v>
      </c>
      <c r="B185" s="133" t="s">
        <v>1412</v>
      </c>
      <c r="C185" s="94"/>
      <c r="D185" s="757" t="s">
        <v>122</v>
      </c>
      <c r="E185" s="94"/>
      <c r="F185" s="94"/>
      <c r="G185" s="94"/>
      <c r="H185" s="94"/>
      <c r="I185" s="94"/>
      <c r="J185" s="94"/>
      <c r="K185" s="94"/>
      <c r="L185" s="94"/>
      <c r="M185" s="757" t="s">
        <v>124</v>
      </c>
      <c r="N185" s="136">
        <v>1</v>
      </c>
      <c r="O185" s="93"/>
    </row>
    <row r="186" spans="1:15" x14ac:dyDescent="0.25">
      <c r="A186" s="757" t="s">
        <v>123</v>
      </c>
      <c r="B186" s="270" t="str">
        <f>'FR Assemblies'!B40</f>
        <v>Impact Attenuator</v>
      </c>
      <c r="C186" s="94"/>
      <c r="D186" s="757" t="s">
        <v>119</v>
      </c>
      <c r="E186" s="94"/>
      <c r="F186" s="94"/>
      <c r="G186" s="94"/>
      <c r="H186" s="94"/>
      <c r="I186" s="94"/>
      <c r="J186" s="758" t="s">
        <v>122</v>
      </c>
      <c r="K186" s="94"/>
      <c r="L186" s="94"/>
      <c r="M186" s="94"/>
      <c r="N186" s="94"/>
      <c r="O186" s="93"/>
    </row>
    <row r="187" spans="1:15" x14ac:dyDescent="0.25">
      <c r="A187" s="757" t="s">
        <v>114</v>
      </c>
      <c r="B187" s="744" t="s">
        <v>1713</v>
      </c>
      <c r="C187" s="94"/>
      <c r="D187" s="757" t="s">
        <v>116</v>
      </c>
      <c r="E187" s="94"/>
      <c r="F187" s="94"/>
      <c r="G187" s="94"/>
      <c r="H187" s="94"/>
      <c r="I187" s="94"/>
      <c r="J187" s="758" t="s">
        <v>119</v>
      </c>
      <c r="K187" s="94"/>
      <c r="L187" s="94"/>
      <c r="M187" s="757" t="s">
        <v>118</v>
      </c>
      <c r="N187" s="100">
        <f>N185*N184</f>
        <v>45.581253335</v>
      </c>
      <c r="O187" s="93"/>
    </row>
    <row r="188" spans="1:15" x14ac:dyDescent="0.25">
      <c r="A188" s="757" t="s">
        <v>121</v>
      </c>
      <c r="B188" s="269" t="s">
        <v>1712</v>
      </c>
      <c r="C188" s="94"/>
      <c r="D188" s="94"/>
      <c r="E188" s="94"/>
      <c r="F188" s="94"/>
      <c r="G188" s="94"/>
      <c r="H188" s="94"/>
      <c r="I188" s="94"/>
      <c r="J188" s="758" t="s">
        <v>116</v>
      </c>
      <c r="K188" s="94"/>
      <c r="L188" s="94"/>
      <c r="M188" s="94"/>
      <c r="N188" s="94"/>
      <c r="O188" s="93"/>
    </row>
    <row r="189" spans="1:15" x14ac:dyDescent="0.25">
      <c r="A189" s="757" t="s">
        <v>117</v>
      </c>
      <c r="B189" s="133" t="s">
        <v>23</v>
      </c>
      <c r="C189" s="94"/>
      <c r="D189" s="94"/>
      <c r="E189" s="94"/>
      <c r="F189" s="94"/>
      <c r="G189" s="94"/>
      <c r="H189" s="94"/>
      <c r="I189" s="94"/>
      <c r="J189" s="94"/>
      <c r="K189" s="94"/>
      <c r="L189" s="94"/>
      <c r="M189" s="94"/>
      <c r="N189" s="94"/>
      <c r="O189" s="93"/>
    </row>
    <row r="190" spans="1:15" x14ac:dyDescent="0.25">
      <c r="A190" s="757" t="s">
        <v>115</v>
      </c>
      <c r="B190" s="782" t="s">
        <v>1711</v>
      </c>
      <c r="C190" s="94"/>
      <c r="D190" s="94"/>
      <c r="E190" s="94"/>
      <c r="F190" s="94"/>
      <c r="G190" s="94"/>
      <c r="H190" s="94"/>
      <c r="I190" s="94"/>
      <c r="J190" s="94"/>
      <c r="K190" s="94"/>
      <c r="L190" s="94"/>
      <c r="M190" s="94"/>
      <c r="N190" s="94"/>
      <c r="O190" s="93"/>
    </row>
    <row r="191" spans="1:15" x14ac:dyDescent="0.25">
      <c r="A191" s="266"/>
      <c r="B191" s="265"/>
      <c r="C191" s="265"/>
      <c r="D191" s="265"/>
      <c r="E191" s="265"/>
      <c r="F191" s="94"/>
      <c r="G191" s="94"/>
      <c r="H191" s="94"/>
      <c r="I191" s="94"/>
      <c r="J191" s="94"/>
      <c r="K191" s="94"/>
      <c r="L191" s="94"/>
      <c r="M191" s="94"/>
      <c r="N191" s="94"/>
      <c r="O191" s="93"/>
    </row>
    <row r="192" spans="1:15" x14ac:dyDescent="0.25">
      <c r="A192" s="756" t="s">
        <v>67</v>
      </c>
      <c r="B192" s="755" t="s">
        <v>112</v>
      </c>
      <c r="C192" s="755" t="s">
        <v>66</v>
      </c>
      <c r="D192" s="755" t="s">
        <v>65</v>
      </c>
      <c r="E192" s="755" t="s">
        <v>81</v>
      </c>
      <c r="F192" s="1001" t="s">
        <v>80</v>
      </c>
      <c r="G192" s="1001" t="s">
        <v>79</v>
      </c>
      <c r="H192" s="1001" t="s">
        <v>78</v>
      </c>
      <c r="I192" s="1001" t="s">
        <v>111</v>
      </c>
      <c r="J192" s="1001" t="s">
        <v>110</v>
      </c>
      <c r="K192" s="1001" t="s">
        <v>109</v>
      </c>
      <c r="L192" s="1001" t="s">
        <v>108</v>
      </c>
      <c r="M192" s="1001" t="s">
        <v>40</v>
      </c>
      <c r="N192" s="1001" t="s">
        <v>58</v>
      </c>
      <c r="O192" s="93"/>
    </row>
    <row r="193" spans="1:15" ht="30" x14ac:dyDescent="0.25">
      <c r="A193" s="986">
        <v>10</v>
      </c>
      <c r="B193" s="999" t="s">
        <v>1706</v>
      </c>
      <c r="C193" s="1002" t="s">
        <v>1710</v>
      </c>
      <c r="D193" s="950">
        <v>15</v>
      </c>
      <c r="E193" s="986">
        <v>355</v>
      </c>
      <c r="F193" s="986" t="s">
        <v>68</v>
      </c>
      <c r="G193" s="986">
        <v>305</v>
      </c>
      <c r="H193" s="993" t="s">
        <v>68</v>
      </c>
      <c r="I193" s="996" t="s">
        <v>1709</v>
      </c>
      <c r="J193" s="1056">
        <v>0.108275</v>
      </c>
      <c r="K193" s="1056">
        <v>8.4699999999999998E-2</v>
      </c>
      <c r="L193" s="993">
        <v>45</v>
      </c>
      <c r="M193" s="1051">
        <v>1</v>
      </c>
      <c r="N193" s="991">
        <f>IF(J193="",D193*M193,D193*J193*K193*L193*M193)</f>
        <v>6.1903524374999996</v>
      </c>
      <c r="O193" s="143"/>
    </row>
    <row r="194" spans="1:15" ht="30" x14ac:dyDescent="0.25">
      <c r="A194" s="986">
        <v>20</v>
      </c>
      <c r="B194" s="999" t="s">
        <v>1706</v>
      </c>
      <c r="C194" s="1002" t="s">
        <v>1708</v>
      </c>
      <c r="D194" s="950">
        <v>15</v>
      </c>
      <c r="E194" s="986">
        <v>305</v>
      </c>
      <c r="F194" s="986" t="s">
        <v>68</v>
      </c>
      <c r="G194" s="986">
        <v>237</v>
      </c>
      <c r="H194" s="993" t="s">
        <v>68</v>
      </c>
      <c r="I194" s="996" t="s">
        <v>1707</v>
      </c>
      <c r="J194" s="1056">
        <v>7.2285000000000002E-2</v>
      </c>
      <c r="K194" s="1056">
        <v>8.4699999999999998E-2</v>
      </c>
      <c r="L194" s="993">
        <v>45</v>
      </c>
      <c r="M194" s="1051">
        <v>1</v>
      </c>
      <c r="N194" s="991">
        <f>IF(J194="",D194*M194,D194*J194*K194*L194*M194)</f>
        <v>4.1327141625000001</v>
      </c>
      <c r="O194" s="143"/>
    </row>
    <row r="195" spans="1:15" ht="30" x14ac:dyDescent="0.25">
      <c r="A195" s="986">
        <v>30</v>
      </c>
      <c r="B195" s="999" t="s">
        <v>1706</v>
      </c>
      <c r="C195" s="1002" t="s">
        <v>1705</v>
      </c>
      <c r="D195" s="950">
        <v>15</v>
      </c>
      <c r="E195" s="986">
        <v>254</v>
      </c>
      <c r="F195" s="986" t="s">
        <v>68</v>
      </c>
      <c r="G195" s="986">
        <v>169</v>
      </c>
      <c r="H195" s="993" t="s">
        <v>68</v>
      </c>
      <c r="I195" s="996" t="s">
        <v>1704</v>
      </c>
      <c r="J195" s="1056">
        <v>4.2925999999999999E-2</v>
      </c>
      <c r="K195" s="1056">
        <v>8.4699999999999998E-2</v>
      </c>
      <c r="L195" s="993">
        <v>45</v>
      </c>
      <c r="M195" s="1051">
        <v>1</v>
      </c>
      <c r="N195" s="991">
        <f>IF(J195="",D195*M195,D195*J195*K195*L195*M195)</f>
        <v>2.454186735</v>
      </c>
      <c r="O195" s="143"/>
    </row>
    <row r="196" spans="1:15" x14ac:dyDescent="0.25">
      <c r="A196" s="986">
        <v>40</v>
      </c>
      <c r="B196" s="1002" t="s">
        <v>383</v>
      </c>
      <c r="C196" s="1055" t="s">
        <v>1703</v>
      </c>
      <c r="D196" s="1054"/>
      <c r="E196" s="986"/>
      <c r="F196" s="986"/>
      <c r="G196" s="986"/>
      <c r="H196" s="993"/>
      <c r="I196" s="1053"/>
      <c r="J196" s="1052"/>
      <c r="K196" s="993"/>
      <c r="L196" s="993"/>
      <c r="M196" s="1051"/>
      <c r="N196" s="991">
        <f>IF(J196="",D196*M196,D196*J196*K196*L196*M196)</f>
        <v>0</v>
      </c>
      <c r="O196" s="143"/>
    </row>
    <row r="197" spans="1:15" x14ac:dyDescent="0.25">
      <c r="A197" s="98"/>
      <c r="B197" s="95"/>
      <c r="C197" s="95"/>
      <c r="D197" s="95"/>
      <c r="E197" s="95"/>
      <c r="F197" s="95"/>
      <c r="G197" s="95"/>
      <c r="H197" s="95"/>
      <c r="I197" s="95"/>
      <c r="J197" s="754"/>
      <c r="K197" s="754"/>
      <c r="L197" s="95"/>
      <c r="M197" s="990" t="s">
        <v>58</v>
      </c>
      <c r="N197" s="750">
        <f>SUM(N193:N196)</f>
        <v>12.777253335000001</v>
      </c>
      <c r="O197" s="93"/>
    </row>
    <row r="198" spans="1:15" x14ac:dyDescent="0.25">
      <c r="A198" s="107"/>
      <c r="B198" s="94"/>
      <c r="C198" s="94"/>
      <c r="D198" s="94"/>
      <c r="E198" s="94"/>
      <c r="F198" s="94"/>
      <c r="G198" s="94"/>
      <c r="H198" s="94"/>
      <c r="I198" s="94"/>
      <c r="J198" s="94"/>
      <c r="K198" s="94"/>
      <c r="L198" s="94"/>
      <c r="M198" s="94"/>
      <c r="N198" s="94"/>
      <c r="O198" s="93"/>
    </row>
    <row r="199" spans="1:15" x14ac:dyDescent="0.25">
      <c r="A199" s="1005" t="s">
        <v>67</v>
      </c>
      <c r="B199" s="1001" t="s">
        <v>106</v>
      </c>
      <c r="C199" s="1001" t="s">
        <v>66</v>
      </c>
      <c r="D199" s="1001" t="s">
        <v>65</v>
      </c>
      <c r="E199" s="1001" t="s">
        <v>64</v>
      </c>
      <c r="F199" s="1001" t="s">
        <v>40</v>
      </c>
      <c r="G199" s="1001" t="s">
        <v>105</v>
      </c>
      <c r="H199" s="1001" t="s">
        <v>104</v>
      </c>
      <c r="I199" s="1001" t="s">
        <v>58</v>
      </c>
      <c r="J199" s="95"/>
      <c r="K199" s="95"/>
      <c r="L199" s="95"/>
      <c r="M199" s="95"/>
      <c r="N199" s="95"/>
      <c r="O199" s="93"/>
    </row>
    <row r="200" spans="1:15" x14ac:dyDescent="0.25">
      <c r="A200" s="986">
        <v>10</v>
      </c>
      <c r="B200" s="1002" t="s">
        <v>1698</v>
      </c>
      <c r="C200" s="1002" t="s">
        <v>1702</v>
      </c>
      <c r="D200" s="950">
        <v>1.4</v>
      </c>
      <c r="E200" s="986" t="s">
        <v>999</v>
      </c>
      <c r="F200" s="986">
        <v>4</v>
      </c>
      <c r="G200" s="1002" t="s">
        <v>1696</v>
      </c>
      <c r="H200" s="986">
        <v>0.33</v>
      </c>
      <c r="I200" s="1040">
        <f t="shared" ref="I200:I207" si="0">IF(H200="",D200*F200,D200*F200*H200)</f>
        <v>1.8479999999999999</v>
      </c>
      <c r="J200" s="142"/>
      <c r="K200" s="142"/>
      <c r="L200" s="142"/>
      <c r="M200" s="142"/>
      <c r="N200" s="142"/>
      <c r="O200" s="120"/>
    </row>
    <row r="201" spans="1:15" x14ac:dyDescent="0.25">
      <c r="A201" s="986">
        <v>20</v>
      </c>
      <c r="B201" s="1002" t="s">
        <v>1166</v>
      </c>
      <c r="C201" s="989" t="s">
        <v>1701</v>
      </c>
      <c r="D201" s="950">
        <v>0.02</v>
      </c>
      <c r="E201" s="986" t="s">
        <v>354</v>
      </c>
      <c r="F201" s="986">
        <v>710</v>
      </c>
      <c r="G201" s="1050"/>
      <c r="H201" s="986">
        <v>1</v>
      </c>
      <c r="I201" s="1040">
        <f t="shared" si="0"/>
        <v>14.200000000000001</v>
      </c>
      <c r="J201" s="142"/>
      <c r="K201" s="142"/>
      <c r="L201" s="142"/>
      <c r="M201" s="142"/>
      <c r="N201" s="142"/>
      <c r="O201" s="120"/>
    </row>
    <row r="202" spans="1:15" x14ac:dyDescent="0.25">
      <c r="A202" s="986">
        <v>30</v>
      </c>
      <c r="B202" s="1002" t="s">
        <v>1698</v>
      </c>
      <c r="C202" s="1002" t="s">
        <v>1700</v>
      </c>
      <c r="D202" s="950">
        <v>1.4</v>
      </c>
      <c r="E202" s="986" t="s">
        <v>999</v>
      </c>
      <c r="F202" s="986">
        <v>4</v>
      </c>
      <c r="G202" s="1002" t="s">
        <v>1696</v>
      </c>
      <c r="H202" s="986">
        <v>0.33</v>
      </c>
      <c r="I202" s="1040">
        <f t="shared" si="0"/>
        <v>1.8479999999999999</v>
      </c>
      <c r="J202" s="142"/>
      <c r="K202" s="142"/>
      <c r="L202" s="142"/>
      <c r="M202" s="142"/>
      <c r="N202" s="142"/>
      <c r="O202" s="120"/>
    </row>
    <row r="203" spans="1:15" x14ac:dyDescent="0.25">
      <c r="A203" s="986">
        <v>40</v>
      </c>
      <c r="B203" s="1002" t="s">
        <v>1166</v>
      </c>
      <c r="C203" s="989" t="s">
        <v>1699</v>
      </c>
      <c r="D203" s="950">
        <v>0.02</v>
      </c>
      <c r="E203" s="986" t="s">
        <v>354</v>
      </c>
      <c r="F203" s="986">
        <v>430</v>
      </c>
      <c r="G203" s="1050"/>
      <c r="H203" s="986">
        <v>1</v>
      </c>
      <c r="I203" s="1040">
        <f t="shared" si="0"/>
        <v>8.6</v>
      </c>
      <c r="J203" s="142"/>
      <c r="K203" s="142"/>
      <c r="L203" s="142"/>
      <c r="M203" s="142"/>
      <c r="N203" s="142"/>
      <c r="O203" s="120"/>
    </row>
    <row r="204" spans="1:15" x14ac:dyDescent="0.25">
      <c r="A204" s="986">
        <v>50</v>
      </c>
      <c r="B204" s="1002" t="s">
        <v>1698</v>
      </c>
      <c r="C204" s="1002" t="s">
        <v>1697</v>
      </c>
      <c r="D204" s="950">
        <v>1.4</v>
      </c>
      <c r="E204" s="986" t="s">
        <v>999</v>
      </c>
      <c r="F204" s="986">
        <v>4</v>
      </c>
      <c r="G204" s="1002" t="s">
        <v>1696</v>
      </c>
      <c r="H204" s="986">
        <v>0.33</v>
      </c>
      <c r="I204" s="1040">
        <f t="shared" si="0"/>
        <v>1.8479999999999999</v>
      </c>
      <c r="J204" s="142"/>
      <c r="K204" s="142"/>
      <c r="L204" s="142"/>
      <c r="M204" s="142"/>
      <c r="N204" s="142"/>
      <c r="O204" s="120"/>
    </row>
    <row r="205" spans="1:15" x14ac:dyDescent="0.25">
      <c r="A205" s="986">
        <v>60</v>
      </c>
      <c r="B205" s="1002" t="s">
        <v>145</v>
      </c>
      <c r="C205" s="989" t="s">
        <v>1695</v>
      </c>
      <c r="D205" s="950">
        <v>0.13</v>
      </c>
      <c r="E205" s="986" t="s">
        <v>64</v>
      </c>
      <c r="F205" s="986">
        <v>2</v>
      </c>
      <c r="G205" s="986"/>
      <c r="H205" s="986">
        <v>1</v>
      </c>
      <c r="I205" s="1040">
        <f t="shared" si="0"/>
        <v>0.26</v>
      </c>
      <c r="J205" s="142"/>
      <c r="K205" s="142"/>
      <c r="L205" s="142"/>
      <c r="M205" s="142"/>
      <c r="N205" s="142"/>
      <c r="O205" s="120"/>
    </row>
    <row r="206" spans="1:15" x14ac:dyDescent="0.25">
      <c r="A206" s="986">
        <v>70</v>
      </c>
      <c r="B206" s="1002" t="s">
        <v>296</v>
      </c>
      <c r="C206" s="1002" t="s">
        <v>1694</v>
      </c>
      <c r="D206" s="950">
        <v>0.35</v>
      </c>
      <c r="E206" s="986" t="s">
        <v>294</v>
      </c>
      <c r="F206" s="986">
        <v>4</v>
      </c>
      <c r="G206" s="986"/>
      <c r="H206" s="986">
        <v>1</v>
      </c>
      <c r="I206" s="1040">
        <f t="shared" si="0"/>
        <v>1.4</v>
      </c>
      <c r="J206" s="142"/>
      <c r="K206" s="142"/>
      <c r="L206" s="142"/>
      <c r="M206" s="142"/>
      <c r="N206" s="142"/>
      <c r="O206" s="120"/>
    </row>
    <row r="207" spans="1:15" ht="45" x14ac:dyDescent="0.25">
      <c r="A207" s="986">
        <v>80</v>
      </c>
      <c r="B207" s="1002" t="s">
        <v>296</v>
      </c>
      <c r="C207" s="1004" t="s">
        <v>1693</v>
      </c>
      <c r="D207" s="950">
        <v>0.35</v>
      </c>
      <c r="E207" s="986" t="s">
        <v>294</v>
      </c>
      <c r="F207" s="986">
        <v>8</v>
      </c>
      <c r="G207" s="986"/>
      <c r="H207" s="986">
        <v>1</v>
      </c>
      <c r="I207" s="1040">
        <f t="shared" si="0"/>
        <v>2.8</v>
      </c>
      <c r="J207" s="94"/>
      <c r="K207" s="94"/>
      <c r="L207" s="94"/>
      <c r="M207" s="94"/>
      <c r="N207" s="94"/>
      <c r="O207" s="93"/>
    </row>
    <row r="208" spans="1:15" x14ac:dyDescent="0.25">
      <c r="A208" s="98"/>
      <c r="B208" s="95"/>
      <c r="C208" s="95"/>
      <c r="D208" s="95"/>
      <c r="E208" s="95"/>
      <c r="F208" s="95"/>
      <c r="G208" s="95"/>
      <c r="H208" s="751" t="s">
        <v>58</v>
      </c>
      <c r="I208" s="750">
        <f>SUM(I200:I207)</f>
        <v>32.804000000000002</v>
      </c>
      <c r="J208" s="95"/>
      <c r="K208" s="95"/>
      <c r="L208" s="95"/>
      <c r="M208" s="95"/>
      <c r="N208" s="95"/>
      <c r="O208" s="93"/>
    </row>
    <row r="209" spans="1:15" ht="15.75" thickBot="1" x14ac:dyDescent="0.3">
      <c r="A209" s="92"/>
      <c r="B209" s="91"/>
      <c r="C209" s="91"/>
      <c r="D209" s="91"/>
      <c r="E209" s="91"/>
      <c r="F209" s="91"/>
      <c r="G209" s="91"/>
      <c r="H209" s="91"/>
      <c r="I209" s="91"/>
      <c r="J209" s="91"/>
      <c r="K209" s="91"/>
      <c r="L209" s="91"/>
      <c r="M209" s="91"/>
      <c r="N209" s="91"/>
      <c r="O209" s="90"/>
    </row>
    <row r="210" spans="1:15" ht="15.75" thickBot="1" x14ac:dyDescent="0.3"/>
    <row r="211" spans="1:15" x14ac:dyDescent="0.25">
      <c r="A211" s="141"/>
      <c r="B211" s="140"/>
      <c r="C211" s="140"/>
      <c r="D211" s="140"/>
      <c r="E211" s="140"/>
      <c r="F211" s="140"/>
      <c r="G211" s="140"/>
      <c r="H211" s="140"/>
      <c r="I211" s="140"/>
      <c r="J211" s="272"/>
      <c r="K211" s="140"/>
      <c r="L211" s="140"/>
      <c r="M211" s="140"/>
      <c r="N211" s="140"/>
      <c r="O211" s="139"/>
    </row>
    <row r="212" spans="1:15" x14ac:dyDescent="0.25">
      <c r="A212" s="757" t="s">
        <v>57</v>
      </c>
      <c r="B212" s="133" t="s">
        <v>523</v>
      </c>
      <c r="C212" s="94"/>
      <c r="D212" s="94"/>
      <c r="E212" s="94"/>
      <c r="F212" s="94"/>
      <c r="G212" s="94"/>
      <c r="H212" s="94"/>
      <c r="I212" s="94"/>
      <c r="J212" s="760" t="s">
        <v>51</v>
      </c>
      <c r="K212" s="138">
        <v>81</v>
      </c>
      <c r="L212" s="94"/>
      <c r="M212" s="757" t="s">
        <v>113</v>
      </c>
      <c r="N212" s="100">
        <f>FR_03001_m+FR_03001_p+FR_03001_t</f>
        <v>229.51</v>
      </c>
      <c r="O212" s="93"/>
    </row>
    <row r="213" spans="1:15" x14ac:dyDescent="0.25">
      <c r="A213" s="757" t="s">
        <v>125</v>
      </c>
      <c r="B213" s="133" t="s">
        <v>1412</v>
      </c>
      <c r="C213" s="94"/>
      <c r="D213" s="757" t="s">
        <v>122</v>
      </c>
      <c r="E213" s="94"/>
      <c r="F213" s="94"/>
      <c r="G213" s="94"/>
      <c r="H213" s="94"/>
      <c r="I213" s="94"/>
      <c r="J213" s="94"/>
      <c r="K213" s="94"/>
      <c r="L213" s="94"/>
      <c r="M213" s="757" t="s">
        <v>124</v>
      </c>
      <c r="N213" s="136">
        <v>1</v>
      </c>
      <c r="O213" s="93"/>
    </row>
    <row r="214" spans="1:15" x14ac:dyDescent="0.25">
      <c r="A214" s="757" t="s">
        <v>123</v>
      </c>
      <c r="B214" s="781" t="str">
        <f>'FR Assemblies'!B68</f>
        <v>Undertray</v>
      </c>
      <c r="C214" s="94"/>
      <c r="D214" s="757" t="s">
        <v>119</v>
      </c>
      <c r="E214" s="94"/>
      <c r="F214" s="94"/>
      <c r="G214" s="94"/>
      <c r="H214" s="94"/>
      <c r="I214" s="94"/>
      <c r="J214" s="758" t="s">
        <v>122</v>
      </c>
      <c r="K214" s="94"/>
      <c r="L214" s="94"/>
      <c r="M214" s="94"/>
      <c r="N214" s="94"/>
      <c r="O214" s="93"/>
    </row>
    <row r="215" spans="1:15" x14ac:dyDescent="0.25">
      <c r="A215" s="757" t="s">
        <v>114</v>
      </c>
      <c r="B215" s="764" t="s">
        <v>1692</v>
      </c>
      <c r="C215" s="94"/>
      <c r="D215" s="757" t="s">
        <v>116</v>
      </c>
      <c r="E215" s="94"/>
      <c r="F215" s="94"/>
      <c r="G215" s="94"/>
      <c r="H215" s="94"/>
      <c r="I215" s="94"/>
      <c r="J215" s="758" t="s">
        <v>119</v>
      </c>
      <c r="K215" s="94"/>
      <c r="L215" s="94"/>
      <c r="M215" s="757" t="s">
        <v>118</v>
      </c>
      <c r="N215" s="100">
        <f>N213*N212</f>
        <v>229.51</v>
      </c>
      <c r="O215" s="93"/>
    </row>
    <row r="216" spans="1:15" x14ac:dyDescent="0.25">
      <c r="A216" s="757" t="s">
        <v>121</v>
      </c>
      <c r="B216" s="269" t="s">
        <v>1691</v>
      </c>
      <c r="C216" s="94"/>
      <c r="D216" s="94"/>
      <c r="E216" s="94"/>
      <c r="F216" s="94"/>
      <c r="G216" s="94"/>
      <c r="H216" s="94"/>
      <c r="I216" s="94"/>
      <c r="J216" s="758" t="s">
        <v>116</v>
      </c>
      <c r="K216" s="94"/>
      <c r="L216" s="94"/>
      <c r="M216" s="94"/>
      <c r="N216" s="94"/>
      <c r="O216" s="93"/>
    </row>
    <row r="217" spans="1:15" x14ac:dyDescent="0.25">
      <c r="A217" s="757" t="s">
        <v>117</v>
      </c>
      <c r="B217" s="133" t="s">
        <v>23</v>
      </c>
      <c r="C217" s="94"/>
      <c r="D217" s="94"/>
      <c r="E217" s="94"/>
      <c r="F217" s="94"/>
      <c r="G217" s="94"/>
      <c r="H217" s="94"/>
      <c r="I217" s="94"/>
      <c r="J217" s="94"/>
      <c r="K217" s="94"/>
      <c r="L217" s="94"/>
      <c r="M217" s="94"/>
      <c r="N217" s="94"/>
      <c r="O217" s="93"/>
    </row>
    <row r="218" spans="1:15" x14ac:dyDescent="0.25">
      <c r="A218" s="757" t="s">
        <v>115</v>
      </c>
      <c r="B218" s="744" t="s">
        <v>1690</v>
      </c>
      <c r="C218" s="94"/>
      <c r="D218" s="94"/>
      <c r="E218" s="94"/>
      <c r="F218" s="94"/>
      <c r="G218" s="94"/>
      <c r="H218" s="94"/>
      <c r="I218" s="94"/>
      <c r="J218" s="94"/>
      <c r="K218" s="94"/>
      <c r="L218" s="94"/>
      <c r="M218" s="94"/>
      <c r="N218" s="94"/>
      <c r="O218" s="93"/>
    </row>
    <row r="219" spans="1:15" x14ac:dyDescent="0.25">
      <c r="A219" s="266"/>
      <c r="B219" s="265"/>
      <c r="C219" s="265"/>
      <c r="D219" s="265"/>
      <c r="E219" s="265"/>
      <c r="F219" s="94"/>
      <c r="G219" s="94"/>
      <c r="H219" s="94"/>
      <c r="I219" s="94"/>
      <c r="J219" s="94"/>
      <c r="K219" s="94"/>
      <c r="L219" s="94"/>
      <c r="M219" s="94"/>
      <c r="N219" s="94"/>
      <c r="O219" s="93"/>
    </row>
    <row r="220" spans="1:15" x14ac:dyDescent="0.25">
      <c r="A220" s="756" t="s">
        <v>67</v>
      </c>
      <c r="B220" s="755" t="s">
        <v>112</v>
      </c>
      <c r="C220" s="755" t="s">
        <v>66</v>
      </c>
      <c r="D220" s="755" t="s">
        <v>65</v>
      </c>
      <c r="E220" s="755" t="s">
        <v>81</v>
      </c>
      <c r="F220" s="1001" t="s">
        <v>80</v>
      </c>
      <c r="G220" s="1001" t="s">
        <v>79</v>
      </c>
      <c r="H220" s="1001" t="s">
        <v>78</v>
      </c>
      <c r="I220" s="1001" t="s">
        <v>111</v>
      </c>
      <c r="J220" s="1001" t="s">
        <v>110</v>
      </c>
      <c r="K220" s="1001" t="s">
        <v>109</v>
      </c>
      <c r="L220" s="1001" t="s">
        <v>108</v>
      </c>
      <c r="M220" s="1001" t="s">
        <v>40</v>
      </c>
      <c r="N220" s="1001" t="s">
        <v>58</v>
      </c>
      <c r="O220" s="93"/>
    </row>
    <row r="221" spans="1:15" x14ac:dyDescent="0.25">
      <c r="A221" s="986">
        <v>10</v>
      </c>
      <c r="B221" s="986" t="s">
        <v>1000</v>
      </c>
      <c r="C221" s="999" t="s">
        <v>1521</v>
      </c>
      <c r="D221" s="950">
        <v>200</v>
      </c>
      <c r="E221" s="986">
        <v>0.1</v>
      </c>
      <c r="F221" s="986" t="s">
        <v>794</v>
      </c>
      <c r="G221" s="986"/>
      <c r="H221" s="993"/>
      <c r="I221" s="996"/>
      <c r="J221" s="995">
        <v>0.3</v>
      </c>
      <c r="K221" s="994"/>
      <c r="L221" s="993"/>
      <c r="M221" s="992">
        <v>4</v>
      </c>
      <c r="N221" s="991">
        <f>D221*E221*M221</f>
        <v>80</v>
      </c>
      <c r="O221" s="143"/>
    </row>
    <row r="222" spans="1:15" x14ac:dyDescent="0.25">
      <c r="A222" s="986">
        <v>20</v>
      </c>
      <c r="B222" s="986" t="s">
        <v>1686</v>
      </c>
      <c r="C222" s="999" t="s">
        <v>1521</v>
      </c>
      <c r="D222" s="950">
        <v>125</v>
      </c>
      <c r="E222" s="986">
        <v>0.16800000000000001</v>
      </c>
      <c r="F222" s="986" t="s">
        <v>794</v>
      </c>
      <c r="G222" s="986">
        <v>8</v>
      </c>
      <c r="H222" s="993" t="s">
        <v>68</v>
      </c>
      <c r="I222" s="996"/>
      <c r="J222" s="995">
        <v>0.3</v>
      </c>
      <c r="K222" s="994"/>
      <c r="L222" s="993">
        <v>70</v>
      </c>
      <c r="M222" s="992">
        <v>1</v>
      </c>
      <c r="N222" s="991">
        <f>D222*E222*M222</f>
        <v>21</v>
      </c>
      <c r="O222" s="143"/>
    </row>
    <row r="223" spans="1:15" x14ac:dyDescent="0.25">
      <c r="A223" s="98"/>
      <c r="B223" s="95"/>
      <c r="C223" s="95"/>
      <c r="D223" s="95"/>
      <c r="E223" s="95"/>
      <c r="F223" s="95"/>
      <c r="G223" s="95"/>
      <c r="H223" s="95"/>
      <c r="I223" s="95"/>
      <c r="J223" s="754"/>
      <c r="K223" s="754"/>
      <c r="L223" s="95"/>
      <c r="M223" s="990" t="s">
        <v>58</v>
      </c>
      <c r="N223" s="750">
        <f>SUM(N221:N222)</f>
        <v>101</v>
      </c>
      <c r="O223" s="93"/>
    </row>
    <row r="224" spans="1:15" x14ac:dyDescent="0.25">
      <c r="A224" s="107"/>
      <c r="B224" s="94"/>
      <c r="C224" s="94"/>
      <c r="D224" s="94"/>
      <c r="E224" s="94"/>
      <c r="F224" s="94"/>
      <c r="G224" s="94"/>
      <c r="H224" s="94"/>
      <c r="I224" s="94"/>
      <c r="J224" s="94"/>
      <c r="K224" s="94"/>
      <c r="L224" s="94"/>
      <c r="M224" s="94"/>
      <c r="N224" s="94"/>
      <c r="O224" s="93"/>
    </row>
    <row r="225" spans="1:15" x14ac:dyDescent="0.25">
      <c r="A225" s="1005" t="s">
        <v>67</v>
      </c>
      <c r="B225" s="1001" t="s">
        <v>106</v>
      </c>
      <c r="C225" s="1001" t="s">
        <v>66</v>
      </c>
      <c r="D225" s="1001" t="s">
        <v>65</v>
      </c>
      <c r="E225" s="1001" t="s">
        <v>64</v>
      </c>
      <c r="F225" s="1001" t="s">
        <v>40</v>
      </c>
      <c r="G225" s="1001" t="s">
        <v>105</v>
      </c>
      <c r="H225" s="1001" t="s">
        <v>104</v>
      </c>
      <c r="I225" s="1001" t="s">
        <v>58</v>
      </c>
      <c r="J225" s="95"/>
      <c r="K225" s="95"/>
      <c r="L225" s="95"/>
      <c r="M225" s="95"/>
      <c r="N225" s="95"/>
      <c r="O225" s="93"/>
    </row>
    <row r="226" spans="1:15" x14ac:dyDescent="0.25">
      <c r="A226" s="953">
        <v>10</v>
      </c>
      <c r="B226" s="951" t="s">
        <v>290</v>
      </c>
      <c r="C226" s="953" t="s">
        <v>1531</v>
      </c>
      <c r="D226" s="1048">
        <v>0.06</v>
      </c>
      <c r="E226" s="1047" t="s">
        <v>101</v>
      </c>
      <c r="F226" s="1046">
        <v>236</v>
      </c>
      <c r="G226" s="953" t="s">
        <v>1685</v>
      </c>
      <c r="H226" s="953">
        <v>4</v>
      </c>
      <c r="I226" s="1040">
        <f t="shared" ref="I226:I233" si="1">IF(H226="",D226*F226,D226*F226*H226)</f>
        <v>56.64</v>
      </c>
    </row>
    <row r="227" spans="1:15" x14ac:dyDescent="0.25">
      <c r="A227" s="986">
        <v>20</v>
      </c>
      <c r="B227" s="951" t="s">
        <v>790</v>
      </c>
      <c r="C227" s="1011" t="s">
        <v>1684</v>
      </c>
      <c r="D227" s="950">
        <v>35</v>
      </c>
      <c r="E227" s="986" t="s">
        <v>241</v>
      </c>
      <c r="F227" s="986">
        <v>0.3</v>
      </c>
      <c r="G227" s="986" t="s">
        <v>1683</v>
      </c>
      <c r="H227" s="986">
        <v>5</v>
      </c>
      <c r="I227" s="1040">
        <f t="shared" si="1"/>
        <v>52.5</v>
      </c>
      <c r="J227" s="142"/>
      <c r="K227" s="142"/>
      <c r="L227" s="142"/>
      <c r="M227" s="142"/>
      <c r="N227" s="142"/>
      <c r="O227" s="120"/>
    </row>
    <row r="228" spans="1:15" x14ac:dyDescent="0.25">
      <c r="A228" s="986">
        <v>30</v>
      </c>
      <c r="B228" s="951" t="s">
        <v>1682</v>
      </c>
      <c r="C228" s="1011" t="s">
        <v>1681</v>
      </c>
      <c r="D228" s="950">
        <v>2.5</v>
      </c>
      <c r="E228" s="986" t="s">
        <v>241</v>
      </c>
      <c r="F228" s="986">
        <v>0.3</v>
      </c>
      <c r="G228" s="986" t="s">
        <v>1163</v>
      </c>
      <c r="H228" s="986">
        <v>4</v>
      </c>
      <c r="I228" s="1040">
        <f t="shared" si="1"/>
        <v>3</v>
      </c>
      <c r="J228" s="142"/>
      <c r="K228" s="142"/>
      <c r="L228" s="142"/>
      <c r="M228" s="142"/>
      <c r="N228" s="142"/>
      <c r="O228" s="120"/>
    </row>
    <row r="229" spans="1:15" x14ac:dyDescent="0.25">
      <c r="A229" s="953">
        <v>40</v>
      </c>
      <c r="B229" s="951" t="s">
        <v>1680</v>
      </c>
      <c r="C229" s="1011"/>
      <c r="D229" s="950">
        <v>10</v>
      </c>
      <c r="E229" s="986" t="s">
        <v>241</v>
      </c>
      <c r="F229" s="986">
        <v>0.3</v>
      </c>
      <c r="G229" s="986"/>
      <c r="H229" s="986"/>
      <c r="I229" s="1040">
        <f t="shared" si="1"/>
        <v>3</v>
      </c>
      <c r="J229" s="142"/>
      <c r="K229" s="142"/>
      <c r="L229" s="142"/>
      <c r="M229" s="142"/>
      <c r="N229" s="142"/>
      <c r="O229" s="120"/>
    </row>
    <row r="230" spans="1:15" x14ac:dyDescent="0.25">
      <c r="A230" s="986">
        <v>50</v>
      </c>
      <c r="B230" s="951" t="s">
        <v>785</v>
      </c>
      <c r="C230" s="1011"/>
      <c r="D230" s="950">
        <v>10</v>
      </c>
      <c r="E230" s="986" t="s">
        <v>241</v>
      </c>
      <c r="F230" s="986">
        <v>0.3</v>
      </c>
      <c r="G230" s="986"/>
      <c r="H230" s="986"/>
      <c r="I230" s="1040">
        <f t="shared" si="1"/>
        <v>3</v>
      </c>
      <c r="J230" s="142"/>
      <c r="K230" s="142"/>
      <c r="L230" s="142"/>
      <c r="M230" s="142"/>
      <c r="N230" s="142"/>
      <c r="O230" s="120"/>
    </row>
    <row r="231" spans="1:15" x14ac:dyDescent="0.25">
      <c r="A231" s="986">
        <v>60</v>
      </c>
      <c r="B231" s="951" t="s">
        <v>516</v>
      </c>
      <c r="C231" s="989" t="s">
        <v>528</v>
      </c>
      <c r="D231" s="950">
        <v>1.3</v>
      </c>
      <c r="E231" s="986" t="s">
        <v>64</v>
      </c>
      <c r="F231" s="986">
        <v>1</v>
      </c>
      <c r="G231" s="986"/>
      <c r="H231" s="986"/>
      <c r="I231" s="1040">
        <f t="shared" si="1"/>
        <v>1.3</v>
      </c>
      <c r="J231" s="142"/>
      <c r="K231" s="142"/>
      <c r="L231" s="142"/>
      <c r="M231" s="142"/>
      <c r="N231" s="142"/>
      <c r="O231" s="120"/>
    </row>
    <row r="232" spans="1:15" ht="30" x14ac:dyDescent="0.25">
      <c r="A232" s="953">
        <v>70</v>
      </c>
      <c r="B232" s="989" t="s">
        <v>1516</v>
      </c>
      <c r="C232" s="989" t="s">
        <v>1679</v>
      </c>
      <c r="D232" s="950">
        <v>0.01</v>
      </c>
      <c r="E232" s="986" t="s">
        <v>101</v>
      </c>
      <c r="F232" s="986">
        <v>236</v>
      </c>
      <c r="G232" s="951" t="s">
        <v>1513</v>
      </c>
      <c r="H232" s="986">
        <v>2</v>
      </c>
      <c r="I232" s="1040">
        <f t="shared" si="1"/>
        <v>4.72</v>
      </c>
      <c r="J232" s="142"/>
      <c r="K232" s="142"/>
      <c r="L232" s="142"/>
      <c r="M232" s="142"/>
      <c r="N232" s="142"/>
      <c r="O232" s="120"/>
    </row>
    <row r="233" spans="1:15" ht="30" x14ac:dyDescent="0.25">
      <c r="A233" s="986">
        <v>80</v>
      </c>
      <c r="B233" s="951" t="s">
        <v>296</v>
      </c>
      <c r="C233" s="989" t="s">
        <v>1678</v>
      </c>
      <c r="D233" s="950">
        <v>0.35</v>
      </c>
      <c r="E233" s="986" t="s">
        <v>64</v>
      </c>
      <c r="F233" s="986">
        <v>6</v>
      </c>
      <c r="G233" s="951" t="s">
        <v>1513</v>
      </c>
      <c r="H233" s="986">
        <v>2</v>
      </c>
      <c r="I233" s="1040">
        <f t="shared" si="1"/>
        <v>4.1999999999999993</v>
      </c>
      <c r="J233" s="142"/>
      <c r="K233" s="142"/>
      <c r="L233" s="142"/>
      <c r="M233" s="142"/>
      <c r="N233" s="142"/>
      <c r="O233" s="120"/>
    </row>
    <row r="234" spans="1:15" x14ac:dyDescent="0.25">
      <c r="A234" s="98"/>
      <c r="B234" s="95"/>
      <c r="C234" s="95"/>
      <c r="D234" s="95"/>
      <c r="E234" s="95"/>
      <c r="F234" s="95"/>
      <c r="G234" s="95"/>
      <c r="H234" s="751" t="s">
        <v>58</v>
      </c>
      <c r="I234" s="750">
        <f>SUM(I226:I233)</f>
        <v>128.35999999999999</v>
      </c>
      <c r="J234" s="95"/>
      <c r="K234" s="95"/>
      <c r="L234" s="95"/>
      <c r="M234" s="95"/>
      <c r="N234" s="95"/>
      <c r="O234" s="93"/>
    </row>
    <row r="235" spans="1:15" x14ac:dyDescent="0.25">
      <c r="A235" s="98"/>
      <c r="B235" s="95"/>
      <c r="C235" s="95"/>
      <c r="D235" s="95"/>
      <c r="E235" s="95"/>
      <c r="F235" s="95"/>
      <c r="G235" s="95"/>
      <c r="J235" s="95"/>
      <c r="K235" s="95"/>
      <c r="L235" s="95"/>
      <c r="M235" s="95"/>
      <c r="N235" s="95"/>
      <c r="O235" s="93"/>
    </row>
    <row r="236" spans="1:15" x14ac:dyDescent="0.25">
      <c r="A236" s="1022" t="s">
        <v>67</v>
      </c>
      <c r="B236" s="1022" t="s">
        <v>13</v>
      </c>
      <c r="C236" s="1045" t="s">
        <v>66</v>
      </c>
      <c r="D236" s="1022" t="s">
        <v>65</v>
      </c>
      <c r="E236" s="1022" t="s">
        <v>64</v>
      </c>
      <c r="F236" s="1022" t="s">
        <v>40</v>
      </c>
      <c r="G236" s="1022" t="s">
        <v>63</v>
      </c>
      <c r="H236" s="1022" t="s">
        <v>741</v>
      </c>
      <c r="I236" s="1022" t="s">
        <v>58</v>
      </c>
      <c r="J236" s="95"/>
      <c r="K236" s="95"/>
      <c r="L236" s="95"/>
      <c r="M236" s="95"/>
      <c r="N236" s="95"/>
      <c r="O236" s="93"/>
    </row>
    <row r="237" spans="1:15" x14ac:dyDescent="0.25">
      <c r="A237" s="986">
        <v>10</v>
      </c>
      <c r="B237" s="986" t="s">
        <v>783</v>
      </c>
      <c r="C237" s="986" t="s">
        <v>1512</v>
      </c>
      <c r="D237" s="950">
        <v>1500</v>
      </c>
      <c r="E237" s="986" t="s">
        <v>241</v>
      </c>
      <c r="F237" s="986">
        <v>0.3</v>
      </c>
      <c r="G237" s="986">
        <v>3000</v>
      </c>
      <c r="H237" s="986">
        <v>1</v>
      </c>
      <c r="I237" s="1021">
        <f>D237*F237/(G237*H237)</f>
        <v>0.15</v>
      </c>
      <c r="J237" s="95"/>
      <c r="K237" s="95"/>
      <c r="L237" s="95"/>
      <c r="M237" s="95"/>
      <c r="N237" s="95"/>
      <c r="O237" s="93"/>
    </row>
    <row r="238" spans="1:15" x14ac:dyDescent="0.25">
      <c r="A238" s="726"/>
      <c r="B238" s="726"/>
      <c r="C238" s="780"/>
      <c r="D238" s="726"/>
      <c r="E238" s="726"/>
      <c r="F238" s="726"/>
      <c r="G238" s="726"/>
      <c r="H238" s="766" t="s">
        <v>58</v>
      </c>
      <c r="I238" s="765">
        <v>0.15</v>
      </c>
      <c r="J238" s="95"/>
      <c r="K238" s="95"/>
      <c r="L238" s="95"/>
      <c r="M238" s="95"/>
      <c r="N238" s="95"/>
      <c r="O238" s="93"/>
    </row>
    <row r="239" spans="1:15" ht="15.75" thickBot="1" x14ac:dyDescent="0.3">
      <c r="A239" s="92"/>
      <c r="B239" s="91"/>
      <c r="C239" s="91"/>
      <c r="D239" s="91"/>
      <c r="E239" s="91"/>
      <c r="F239" s="91"/>
      <c r="G239" s="91"/>
      <c r="H239" s="91"/>
      <c r="I239" s="91"/>
      <c r="J239" s="91"/>
      <c r="K239" s="91"/>
      <c r="L239" s="91"/>
      <c r="M239" s="91"/>
      <c r="N239" s="91"/>
      <c r="O239" s="90"/>
    </row>
    <row r="240" spans="1:15" ht="15.75" thickBot="1" x14ac:dyDescent="0.3"/>
    <row r="241" spans="1:15" x14ac:dyDescent="0.25">
      <c r="A241" s="141"/>
      <c r="B241" s="140"/>
      <c r="C241" s="140"/>
      <c r="D241" s="140"/>
      <c r="E241" s="140"/>
      <c r="F241" s="140"/>
      <c r="G241" s="140"/>
      <c r="H241" s="140"/>
      <c r="I241" s="140"/>
      <c r="J241" s="272"/>
      <c r="K241" s="140"/>
      <c r="L241" s="140"/>
      <c r="M241" s="140"/>
      <c r="N241" s="140"/>
      <c r="O241" s="139"/>
    </row>
    <row r="242" spans="1:15" x14ac:dyDescent="0.25">
      <c r="A242" s="757" t="s">
        <v>57</v>
      </c>
      <c r="B242" s="133" t="s">
        <v>523</v>
      </c>
      <c r="C242" s="94"/>
      <c r="D242" s="94"/>
      <c r="E242" s="94"/>
      <c r="F242" s="94"/>
      <c r="G242" s="94"/>
      <c r="H242" s="94"/>
      <c r="I242" s="94"/>
      <c r="J242" s="760" t="s">
        <v>51</v>
      </c>
      <c r="K242" s="138">
        <v>81</v>
      </c>
      <c r="L242" s="94"/>
      <c r="M242" s="757" t="s">
        <v>113</v>
      </c>
      <c r="N242" s="100">
        <f>FR_03002_m+FR_03002_p+FR_03002_t</f>
        <v>427.40600000000006</v>
      </c>
      <c r="O242" s="93"/>
    </row>
    <row r="243" spans="1:15" x14ac:dyDescent="0.25">
      <c r="A243" s="757" t="s">
        <v>125</v>
      </c>
      <c r="B243" s="133" t="s">
        <v>1412</v>
      </c>
      <c r="C243" s="94"/>
      <c r="D243" s="757" t="s">
        <v>122</v>
      </c>
      <c r="E243" s="94"/>
      <c r="F243" s="94"/>
      <c r="G243" s="94"/>
      <c r="H243" s="94"/>
      <c r="I243" s="94"/>
      <c r="J243" s="94"/>
      <c r="K243" s="94"/>
      <c r="L243" s="94"/>
      <c r="M243" s="757" t="s">
        <v>124</v>
      </c>
      <c r="N243" s="136">
        <v>1</v>
      </c>
      <c r="O243" s="93"/>
    </row>
    <row r="244" spans="1:15" x14ac:dyDescent="0.25">
      <c r="A244" s="757" t="s">
        <v>123</v>
      </c>
      <c r="B244" s="270" t="str">
        <f>'FR Assemblies'!B68</f>
        <v>Undertray</v>
      </c>
      <c r="C244" s="94"/>
      <c r="D244" s="757" t="s">
        <v>119</v>
      </c>
      <c r="E244" s="94"/>
      <c r="F244" s="94"/>
      <c r="G244" s="94"/>
      <c r="H244" s="94"/>
      <c r="I244" s="94"/>
      <c r="J244" s="758" t="s">
        <v>122</v>
      </c>
      <c r="K244" s="94"/>
      <c r="L244" s="94"/>
      <c r="M244" s="94"/>
      <c r="N244" s="94"/>
      <c r="O244" s="93"/>
    </row>
    <row r="245" spans="1:15" x14ac:dyDescent="0.25">
      <c r="A245" s="757" t="s">
        <v>114</v>
      </c>
      <c r="B245" s="764" t="s">
        <v>1689</v>
      </c>
      <c r="C245" s="94"/>
      <c r="D245" s="757" t="s">
        <v>116</v>
      </c>
      <c r="E245" s="94"/>
      <c r="F245" s="94"/>
      <c r="G245" s="94"/>
      <c r="H245" s="94"/>
      <c r="I245" s="94"/>
      <c r="J245" s="758" t="s">
        <v>119</v>
      </c>
      <c r="K245" s="94"/>
      <c r="L245" s="94"/>
      <c r="M245" s="757" t="s">
        <v>118</v>
      </c>
      <c r="N245" s="100">
        <f>N243*N242</f>
        <v>427.40600000000006</v>
      </c>
      <c r="O245" s="93"/>
    </row>
    <row r="246" spans="1:15" x14ac:dyDescent="0.25">
      <c r="A246" s="757" t="s">
        <v>121</v>
      </c>
      <c r="B246" s="269" t="s">
        <v>1688</v>
      </c>
      <c r="C246" s="94"/>
      <c r="D246" s="94"/>
      <c r="E246" s="94"/>
      <c r="F246" s="94"/>
      <c r="G246" s="94"/>
      <c r="H246" s="94"/>
      <c r="I246" s="94"/>
      <c r="J246" s="758" t="s">
        <v>116</v>
      </c>
      <c r="K246" s="94"/>
      <c r="L246" s="94"/>
      <c r="M246" s="94"/>
      <c r="N246" s="94"/>
      <c r="O246" s="93"/>
    </row>
    <row r="247" spans="1:15" x14ac:dyDescent="0.25">
      <c r="A247" s="757" t="s">
        <v>117</v>
      </c>
      <c r="B247" s="133" t="s">
        <v>23</v>
      </c>
      <c r="C247" s="94"/>
      <c r="D247" s="94"/>
      <c r="E247" s="94"/>
      <c r="F247" s="94"/>
      <c r="G247" s="94"/>
      <c r="H247" s="94"/>
      <c r="I247" s="94"/>
      <c r="J247" s="94"/>
      <c r="K247" s="94"/>
      <c r="L247" s="94"/>
      <c r="M247" s="94"/>
      <c r="N247" s="94"/>
      <c r="O247" s="93"/>
    </row>
    <row r="248" spans="1:15" x14ac:dyDescent="0.25">
      <c r="A248" s="757" t="s">
        <v>115</v>
      </c>
      <c r="B248" s="744" t="s">
        <v>1687</v>
      </c>
      <c r="C248" s="94"/>
      <c r="D248" s="94"/>
      <c r="E248" s="94"/>
      <c r="F248" s="94"/>
      <c r="G248" s="94"/>
      <c r="H248" s="94"/>
      <c r="I248" s="94"/>
      <c r="J248" s="94"/>
      <c r="K248" s="94"/>
      <c r="L248" s="94"/>
      <c r="M248" s="94"/>
      <c r="N248" s="94"/>
      <c r="O248" s="93"/>
    </row>
    <row r="249" spans="1:15" x14ac:dyDescent="0.25">
      <c r="A249" s="266"/>
      <c r="B249" s="265"/>
      <c r="C249" s="265"/>
      <c r="D249" s="265"/>
      <c r="E249" s="265"/>
      <c r="F249" s="94"/>
      <c r="G249" s="94"/>
      <c r="H249" s="94"/>
      <c r="I249" s="94"/>
      <c r="J249" s="94"/>
      <c r="K249" s="94"/>
      <c r="L249" s="94"/>
      <c r="M249" s="94"/>
      <c r="N249" s="94"/>
      <c r="O249" s="93"/>
    </row>
    <row r="250" spans="1:15" x14ac:dyDescent="0.25">
      <c r="A250" s="756" t="s">
        <v>67</v>
      </c>
      <c r="B250" s="755" t="s">
        <v>112</v>
      </c>
      <c r="C250" s="755" t="s">
        <v>66</v>
      </c>
      <c r="D250" s="755" t="s">
        <v>65</v>
      </c>
      <c r="E250" s="755" t="s">
        <v>81</v>
      </c>
      <c r="F250" s="1001" t="s">
        <v>80</v>
      </c>
      <c r="G250" s="1001" t="s">
        <v>79</v>
      </c>
      <c r="H250" s="1001" t="s">
        <v>78</v>
      </c>
      <c r="I250" s="1001" t="s">
        <v>111</v>
      </c>
      <c r="J250" s="1001" t="s">
        <v>110</v>
      </c>
      <c r="K250" s="1001" t="s">
        <v>109</v>
      </c>
      <c r="L250" s="1001" t="s">
        <v>108</v>
      </c>
      <c r="M250" s="1001" t="s">
        <v>40</v>
      </c>
      <c r="N250" s="1001" t="s">
        <v>58</v>
      </c>
      <c r="O250" s="93"/>
    </row>
    <row r="251" spans="1:15" x14ac:dyDescent="0.25">
      <c r="A251" s="986">
        <v>10</v>
      </c>
      <c r="B251" s="986" t="s">
        <v>1000</v>
      </c>
      <c r="C251" s="999" t="s">
        <v>1521</v>
      </c>
      <c r="D251" s="950">
        <v>200</v>
      </c>
      <c r="E251" s="89">
        <f>0.31*J251/0.93</f>
        <v>0.20799999999999999</v>
      </c>
      <c r="F251" s="986" t="s">
        <v>794</v>
      </c>
      <c r="G251" s="986"/>
      <c r="H251" s="993"/>
      <c r="I251" s="996"/>
      <c r="J251" s="995">
        <v>0.624</v>
      </c>
      <c r="K251" s="994"/>
      <c r="L251" s="993"/>
      <c r="M251" s="992">
        <v>4</v>
      </c>
      <c r="N251" s="991">
        <f>D251*E251*M251</f>
        <v>166.4</v>
      </c>
      <c r="O251" s="143"/>
    </row>
    <row r="252" spans="1:15" x14ac:dyDescent="0.25">
      <c r="A252" s="986">
        <v>20</v>
      </c>
      <c r="B252" s="986" t="s">
        <v>1686</v>
      </c>
      <c r="C252" s="999" t="s">
        <v>1521</v>
      </c>
      <c r="D252" s="950">
        <v>125</v>
      </c>
      <c r="E252" s="1049">
        <f>0.5208*J251/0.93</f>
        <v>0.34944000000000003</v>
      </c>
      <c r="F252" s="986" t="s">
        <v>794</v>
      </c>
      <c r="G252" s="986">
        <v>8</v>
      </c>
      <c r="H252" s="993" t="s">
        <v>68</v>
      </c>
      <c r="I252" s="996"/>
      <c r="J252" s="995">
        <f>J251</f>
        <v>0.624</v>
      </c>
      <c r="K252" s="994"/>
      <c r="L252" s="993">
        <v>70</v>
      </c>
      <c r="M252" s="992">
        <v>1</v>
      </c>
      <c r="N252" s="991">
        <f>D252*E252*M252</f>
        <v>43.680000000000007</v>
      </c>
      <c r="O252" s="143"/>
    </row>
    <row r="253" spans="1:15" x14ac:dyDescent="0.25">
      <c r="A253" s="98"/>
      <c r="B253" s="95"/>
      <c r="C253" s="95"/>
      <c r="D253" s="95"/>
      <c r="E253" s="95"/>
      <c r="F253" s="95"/>
      <c r="G253" s="95"/>
      <c r="H253" s="95"/>
      <c r="I253" s="95"/>
      <c r="J253" s="754"/>
      <c r="K253" s="754"/>
      <c r="L253" s="95"/>
      <c r="M253" s="990" t="s">
        <v>58</v>
      </c>
      <c r="N253" s="750">
        <f>SUM(N251:N252)</f>
        <v>210.08</v>
      </c>
      <c r="O253" s="93"/>
    </row>
    <row r="254" spans="1:15" x14ac:dyDescent="0.25">
      <c r="A254" s="107"/>
      <c r="B254" s="94"/>
      <c r="C254" s="94"/>
      <c r="D254" s="94"/>
      <c r="E254" s="94"/>
      <c r="F254" s="94"/>
      <c r="G254" s="94"/>
      <c r="H254" s="94"/>
      <c r="I254" s="94"/>
      <c r="J254" s="94"/>
      <c r="K254" s="94"/>
      <c r="L254" s="94"/>
      <c r="M254" s="94"/>
      <c r="N254" s="94"/>
      <c r="O254" s="93"/>
    </row>
    <row r="255" spans="1:15" x14ac:dyDescent="0.25">
      <c r="A255" s="1005" t="s">
        <v>67</v>
      </c>
      <c r="B255" s="1001" t="s">
        <v>106</v>
      </c>
      <c r="C255" s="1001" t="s">
        <v>66</v>
      </c>
      <c r="D255" s="1001" t="s">
        <v>65</v>
      </c>
      <c r="E255" s="1001" t="s">
        <v>64</v>
      </c>
      <c r="F255" s="1001" t="s">
        <v>40</v>
      </c>
      <c r="G255" s="1001" t="s">
        <v>105</v>
      </c>
      <c r="H255" s="1001" t="s">
        <v>104</v>
      </c>
      <c r="I255" s="1001" t="s">
        <v>58</v>
      </c>
      <c r="J255" s="95"/>
      <c r="K255" s="95"/>
      <c r="L255" s="95"/>
      <c r="M255" s="95"/>
      <c r="N255" s="95"/>
      <c r="O255" s="93"/>
    </row>
    <row r="256" spans="1:15" x14ac:dyDescent="0.25">
      <c r="A256" s="953">
        <v>10</v>
      </c>
      <c r="B256" s="951" t="s">
        <v>290</v>
      </c>
      <c r="C256" s="89" t="s">
        <v>1531</v>
      </c>
      <c r="D256" s="1048">
        <v>0.06</v>
      </c>
      <c r="E256" s="1047" t="s">
        <v>101</v>
      </c>
      <c r="F256" s="1046">
        <v>326.89999999999998</v>
      </c>
      <c r="G256" s="953" t="s">
        <v>1685</v>
      </c>
      <c r="H256" s="953">
        <v>4</v>
      </c>
      <c r="I256" s="1040">
        <f t="shared" ref="I256:I263" si="2">IF(H256="",D256*F256,D256*F256*H256)</f>
        <v>78.455999999999989</v>
      </c>
      <c r="J256" s="95"/>
      <c r="K256" s="95"/>
      <c r="L256" s="95"/>
      <c r="M256" s="95"/>
      <c r="N256" s="95"/>
      <c r="O256" s="93"/>
    </row>
    <row r="257" spans="1:15" x14ac:dyDescent="0.25">
      <c r="A257" s="986">
        <v>20</v>
      </c>
      <c r="B257" s="951" t="s">
        <v>790</v>
      </c>
      <c r="C257" s="1011" t="s">
        <v>1684</v>
      </c>
      <c r="D257" s="950">
        <v>35</v>
      </c>
      <c r="E257" s="986" t="s">
        <v>241</v>
      </c>
      <c r="F257" s="1044">
        <f>J251</f>
        <v>0.624</v>
      </c>
      <c r="G257" s="986" t="s">
        <v>1683</v>
      </c>
      <c r="H257" s="986">
        <v>5</v>
      </c>
      <c r="I257" s="1040">
        <f t="shared" si="2"/>
        <v>109.2</v>
      </c>
      <c r="J257" s="142"/>
      <c r="K257" s="142"/>
      <c r="L257" s="142"/>
      <c r="M257" s="142"/>
      <c r="N257" s="142"/>
      <c r="O257" s="120"/>
    </row>
    <row r="258" spans="1:15" x14ac:dyDescent="0.25">
      <c r="A258" s="953">
        <v>30</v>
      </c>
      <c r="B258" s="951" t="s">
        <v>1682</v>
      </c>
      <c r="C258" s="1011" t="s">
        <v>1681</v>
      </c>
      <c r="D258" s="950">
        <v>2.5</v>
      </c>
      <c r="E258" s="986" t="s">
        <v>241</v>
      </c>
      <c r="F258" s="1044">
        <f>J251</f>
        <v>0.624</v>
      </c>
      <c r="G258" s="986" t="s">
        <v>1163</v>
      </c>
      <c r="H258" s="986">
        <v>4</v>
      </c>
      <c r="I258" s="1040">
        <f t="shared" si="2"/>
        <v>6.24</v>
      </c>
      <c r="J258" s="142"/>
      <c r="K258" s="142"/>
      <c r="L258" s="142"/>
      <c r="M258" s="142"/>
      <c r="N258" s="142"/>
      <c r="O258" s="120"/>
    </row>
    <row r="259" spans="1:15" x14ac:dyDescent="0.25">
      <c r="A259" s="986">
        <v>40</v>
      </c>
      <c r="B259" s="951" t="s">
        <v>1680</v>
      </c>
      <c r="C259" s="1011"/>
      <c r="D259" s="950">
        <v>10</v>
      </c>
      <c r="E259" s="986" t="s">
        <v>241</v>
      </c>
      <c r="F259" s="1044">
        <f>J251</f>
        <v>0.624</v>
      </c>
      <c r="G259" s="986"/>
      <c r="H259" s="986"/>
      <c r="I259" s="1040">
        <f t="shared" si="2"/>
        <v>6.24</v>
      </c>
      <c r="J259" s="142"/>
      <c r="K259" s="142"/>
      <c r="L259" s="142"/>
      <c r="M259" s="142"/>
      <c r="N259" s="142"/>
      <c r="O259" s="120"/>
    </row>
    <row r="260" spans="1:15" x14ac:dyDescent="0.25">
      <c r="A260" s="953">
        <v>50</v>
      </c>
      <c r="B260" s="951" t="s">
        <v>785</v>
      </c>
      <c r="C260" s="1011"/>
      <c r="D260" s="950">
        <v>10</v>
      </c>
      <c r="E260" s="986" t="s">
        <v>241</v>
      </c>
      <c r="F260" s="1044">
        <f>J251</f>
        <v>0.624</v>
      </c>
      <c r="G260" s="986"/>
      <c r="H260" s="986"/>
      <c r="I260" s="1040">
        <f t="shared" si="2"/>
        <v>6.24</v>
      </c>
      <c r="J260" s="142"/>
      <c r="K260" s="142"/>
      <c r="L260" s="142"/>
      <c r="M260" s="142"/>
      <c r="N260" s="142"/>
      <c r="O260" s="120"/>
    </row>
    <row r="261" spans="1:15" x14ac:dyDescent="0.25">
      <c r="A261" s="986">
        <v>60</v>
      </c>
      <c r="B261" s="951" t="s">
        <v>516</v>
      </c>
      <c r="C261" s="989" t="s">
        <v>528</v>
      </c>
      <c r="D261" s="950">
        <v>1.3</v>
      </c>
      <c r="E261" s="986" t="s">
        <v>64</v>
      </c>
      <c r="F261" s="986">
        <v>1</v>
      </c>
      <c r="G261" s="986"/>
      <c r="H261" s="986"/>
      <c r="I261" s="1040">
        <f t="shared" si="2"/>
        <v>1.3</v>
      </c>
      <c r="J261" s="142"/>
      <c r="K261" s="142"/>
      <c r="L261" s="142"/>
      <c r="M261" s="142"/>
      <c r="N261" s="142"/>
      <c r="O261" s="120"/>
    </row>
    <row r="262" spans="1:15" ht="30" x14ac:dyDescent="0.25">
      <c r="A262" s="953">
        <v>70</v>
      </c>
      <c r="B262" s="989" t="s">
        <v>1516</v>
      </c>
      <c r="C262" s="989" t="s">
        <v>1679</v>
      </c>
      <c r="D262" s="950">
        <v>0.01</v>
      </c>
      <c r="E262" s="986" t="s">
        <v>101</v>
      </c>
      <c r="F262" s="986">
        <v>326.89999999999998</v>
      </c>
      <c r="G262" s="951" t="s">
        <v>1513</v>
      </c>
      <c r="H262" s="986">
        <v>2</v>
      </c>
      <c r="I262" s="1040">
        <f t="shared" si="2"/>
        <v>6.5379999999999994</v>
      </c>
      <c r="J262" s="142"/>
      <c r="K262" s="142"/>
      <c r="L262" s="142"/>
      <c r="M262" s="142"/>
      <c r="N262" s="142"/>
      <c r="O262" s="120"/>
    </row>
    <row r="263" spans="1:15" ht="30" x14ac:dyDescent="0.25">
      <c r="A263" s="986">
        <v>80</v>
      </c>
      <c r="B263" s="951" t="s">
        <v>296</v>
      </c>
      <c r="C263" s="989" t="s">
        <v>1678</v>
      </c>
      <c r="D263" s="950">
        <v>0.35</v>
      </c>
      <c r="E263" s="986" t="s">
        <v>64</v>
      </c>
      <c r="F263" s="986">
        <v>4</v>
      </c>
      <c r="G263" s="951" t="s">
        <v>1513</v>
      </c>
      <c r="H263" s="986">
        <v>2</v>
      </c>
      <c r="I263" s="1040">
        <f t="shared" si="2"/>
        <v>2.8</v>
      </c>
      <c r="J263" s="142"/>
      <c r="K263" s="142"/>
      <c r="L263" s="142"/>
      <c r="M263" s="142"/>
      <c r="N263" s="142"/>
      <c r="O263" s="120"/>
    </row>
    <row r="264" spans="1:15" x14ac:dyDescent="0.25">
      <c r="A264" s="98"/>
      <c r="B264" s="95"/>
      <c r="C264" s="95"/>
      <c r="D264" s="95"/>
      <c r="E264" s="95"/>
      <c r="F264" s="95"/>
      <c r="G264" s="95"/>
      <c r="H264" s="751" t="s">
        <v>58</v>
      </c>
      <c r="I264" s="750">
        <f>SUM(I256:I263)</f>
        <v>217.01400000000007</v>
      </c>
      <c r="J264" s="95"/>
      <c r="K264" s="95"/>
      <c r="L264" s="95"/>
      <c r="M264" s="95"/>
      <c r="N264" s="95"/>
      <c r="O264" s="93"/>
    </row>
    <row r="265" spans="1:15" x14ac:dyDescent="0.25">
      <c r="A265" s="98"/>
      <c r="B265" s="95"/>
      <c r="C265" s="95"/>
      <c r="D265" s="95"/>
      <c r="E265" s="95"/>
      <c r="F265" s="95"/>
      <c r="G265" s="95"/>
      <c r="J265" s="95"/>
      <c r="K265" s="95"/>
      <c r="L265" s="95"/>
      <c r="M265" s="95"/>
      <c r="N265" s="95"/>
      <c r="O265" s="93"/>
    </row>
    <row r="266" spans="1:15" x14ac:dyDescent="0.25">
      <c r="A266" s="1022" t="s">
        <v>67</v>
      </c>
      <c r="B266" s="1022" t="s">
        <v>13</v>
      </c>
      <c r="C266" s="1045" t="s">
        <v>66</v>
      </c>
      <c r="D266" s="1022" t="s">
        <v>65</v>
      </c>
      <c r="E266" s="1022" t="s">
        <v>64</v>
      </c>
      <c r="F266" s="1022" t="s">
        <v>40</v>
      </c>
      <c r="G266" s="1022" t="s">
        <v>63</v>
      </c>
      <c r="H266" s="1022" t="s">
        <v>741</v>
      </c>
      <c r="I266" s="1022" t="s">
        <v>58</v>
      </c>
      <c r="J266" s="95"/>
      <c r="K266" s="95"/>
      <c r="L266" s="95"/>
      <c r="M266" s="95"/>
      <c r="N266" s="95"/>
      <c r="O266" s="93"/>
    </row>
    <row r="267" spans="1:15" x14ac:dyDescent="0.25">
      <c r="A267" s="986">
        <v>10</v>
      </c>
      <c r="B267" s="986" t="s">
        <v>783</v>
      </c>
      <c r="C267" s="986" t="s">
        <v>1512</v>
      </c>
      <c r="D267" s="950">
        <v>1500</v>
      </c>
      <c r="E267" s="986" t="s">
        <v>241</v>
      </c>
      <c r="F267" s="1044">
        <f>J251</f>
        <v>0.624</v>
      </c>
      <c r="G267" s="986">
        <v>3000</v>
      </c>
      <c r="H267" s="986">
        <v>1</v>
      </c>
      <c r="I267" s="1021">
        <f>D267*F267/(G267*H267)</f>
        <v>0.312</v>
      </c>
      <c r="J267" s="95"/>
      <c r="K267" s="95"/>
      <c r="L267" s="95"/>
      <c r="M267" s="95"/>
      <c r="N267" s="95"/>
      <c r="O267" s="93"/>
    </row>
    <row r="268" spans="1:15" x14ac:dyDescent="0.25">
      <c r="A268" s="726"/>
      <c r="B268" s="726"/>
      <c r="C268" s="780"/>
      <c r="D268" s="726"/>
      <c r="E268" s="726"/>
      <c r="F268" s="726"/>
      <c r="G268" s="726"/>
      <c r="H268" s="766" t="s">
        <v>58</v>
      </c>
      <c r="I268" s="765">
        <f>I267</f>
        <v>0.312</v>
      </c>
      <c r="J268" s="95"/>
      <c r="K268" s="95"/>
      <c r="L268" s="95"/>
      <c r="M268" s="95"/>
      <c r="N268" s="95"/>
      <c r="O268" s="93"/>
    </row>
    <row r="269" spans="1:15" ht="15.75" thickBot="1" x14ac:dyDescent="0.3">
      <c r="A269" s="92"/>
      <c r="B269" s="91"/>
      <c r="C269" s="91"/>
      <c r="D269" s="91"/>
      <c r="E269" s="91"/>
      <c r="F269" s="91"/>
      <c r="G269" s="91"/>
      <c r="H269" s="91"/>
      <c r="I269" s="91"/>
      <c r="J269" s="91"/>
      <c r="K269" s="91"/>
      <c r="L269" s="91"/>
      <c r="M269" s="91"/>
      <c r="N269" s="91"/>
      <c r="O269" s="90"/>
    </row>
    <row r="270" spans="1:15" ht="15.75" thickBot="1" x14ac:dyDescent="0.3"/>
    <row r="271" spans="1:15" x14ac:dyDescent="0.25">
      <c r="A271" s="141"/>
      <c r="B271" s="140"/>
      <c r="C271" s="140"/>
      <c r="D271" s="140"/>
      <c r="E271" s="140"/>
      <c r="F271" s="140"/>
      <c r="G271" s="140"/>
      <c r="H271" s="140"/>
      <c r="I271" s="140"/>
      <c r="J271" s="272"/>
      <c r="K271" s="140"/>
      <c r="L271" s="140"/>
      <c r="M271" s="140"/>
      <c r="N271" s="140"/>
      <c r="O271" s="139"/>
    </row>
    <row r="272" spans="1:15" x14ac:dyDescent="0.25">
      <c r="A272" s="757" t="s">
        <v>57</v>
      </c>
      <c r="B272" s="133" t="s">
        <v>523</v>
      </c>
      <c r="C272" s="94"/>
      <c r="D272" s="94"/>
      <c r="E272" s="94"/>
      <c r="F272" s="94"/>
      <c r="G272" s="94"/>
      <c r="H272" s="94"/>
      <c r="I272" s="94"/>
      <c r="J272" s="760" t="s">
        <v>51</v>
      </c>
      <c r="K272" s="138">
        <v>81</v>
      </c>
      <c r="L272" s="94"/>
      <c r="M272" s="757" t="s">
        <v>113</v>
      </c>
      <c r="N272" s="100">
        <f>FR_03003_m+FR_03003_p</f>
        <v>1.6762180824999999</v>
      </c>
      <c r="O272" s="93"/>
    </row>
    <row r="273" spans="1:17" x14ac:dyDescent="0.25">
      <c r="A273" s="757" t="s">
        <v>125</v>
      </c>
      <c r="B273" s="133" t="s">
        <v>1412</v>
      </c>
      <c r="C273" s="94"/>
      <c r="D273" s="757" t="s">
        <v>122</v>
      </c>
      <c r="E273" s="94"/>
      <c r="F273" s="94"/>
      <c r="G273" s="94"/>
      <c r="H273" s="94"/>
      <c r="I273" s="94"/>
      <c r="J273" s="94"/>
      <c r="K273" s="94"/>
      <c r="L273" s="94"/>
      <c r="M273" s="757" t="s">
        <v>124</v>
      </c>
      <c r="N273" s="136">
        <v>10</v>
      </c>
      <c r="O273" s="93"/>
    </row>
    <row r="274" spans="1:17" x14ac:dyDescent="0.25">
      <c r="A274" s="757" t="s">
        <v>123</v>
      </c>
      <c r="B274" s="270" t="str">
        <f>'FR Assemblies'!B68</f>
        <v>Undertray</v>
      </c>
      <c r="C274" s="94"/>
      <c r="D274" s="757" t="s">
        <v>119</v>
      </c>
      <c r="E274" s="94"/>
      <c r="F274" s="94"/>
      <c r="G274" s="94"/>
      <c r="H274" s="94"/>
      <c r="I274" s="94"/>
      <c r="J274" s="758" t="s">
        <v>122</v>
      </c>
      <c r="K274" s="94"/>
      <c r="L274" s="94"/>
      <c r="M274" s="94"/>
      <c r="N274" s="94"/>
      <c r="O274" s="93"/>
    </row>
    <row r="275" spans="1:17" x14ac:dyDescent="0.25">
      <c r="A275" s="757" t="s">
        <v>114</v>
      </c>
      <c r="B275" s="764" t="s">
        <v>1676</v>
      </c>
      <c r="C275" s="94"/>
      <c r="D275" s="757" t="s">
        <v>116</v>
      </c>
      <c r="E275" s="94"/>
      <c r="F275" s="94"/>
      <c r="G275" s="94"/>
      <c r="H275" s="94"/>
      <c r="I275" s="94"/>
      <c r="J275" s="758" t="s">
        <v>119</v>
      </c>
      <c r="K275" s="94"/>
      <c r="L275" s="94"/>
      <c r="M275" s="757" t="s">
        <v>118</v>
      </c>
      <c r="N275" s="100">
        <f>N273*N272</f>
        <v>16.762180824999998</v>
      </c>
      <c r="O275" s="93"/>
    </row>
    <row r="276" spans="1:17" x14ac:dyDescent="0.25">
      <c r="A276" s="757" t="s">
        <v>121</v>
      </c>
      <c r="B276" s="269" t="s">
        <v>1677</v>
      </c>
      <c r="C276" s="94"/>
      <c r="D276" s="94"/>
      <c r="E276" s="94"/>
      <c r="F276" s="94"/>
      <c r="G276" s="94"/>
      <c r="H276" s="94"/>
      <c r="I276" s="94"/>
      <c r="J276" s="758" t="s">
        <v>116</v>
      </c>
      <c r="K276" s="94"/>
      <c r="L276" s="94"/>
      <c r="M276" s="94"/>
      <c r="N276" s="94"/>
      <c r="O276" s="93"/>
    </row>
    <row r="277" spans="1:17" x14ac:dyDescent="0.25">
      <c r="A277" s="757" t="s">
        <v>117</v>
      </c>
      <c r="B277" s="133" t="s">
        <v>23</v>
      </c>
      <c r="C277" s="94"/>
      <c r="D277" s="94"/>
      <c r="E277" s="94"/>
      <c r="F277" s="94"/>
      <c r="G277" s="94"/>
      <c r="H277" s="94"/>
      <c r="I277" s="94"/>
      <c r="J277" s="94"/>
      <c r="K277" s="94"/>
      <c r="L277" s="94"/>
      <c r="M277" s="94"/>
      <c r="N277" s="94"/>
      <c r="O277" s="93"/>
    </row>
    <row r="278" spans="1:17" x14ac:dyDescent="0.25">
      <c r="A278" s="757" t="s">
        <v>115</v>
      </c>
      <c r="B278" s="764" t="s">
        <v>1676</v>
      </c>
      <c r="C278" s="94"/>
      <c r="D278" s="94"/>
      <c r="E278" s="94"/>
      <c r="F278" s="94"/>
      <c r="G278" s="94"/>
      <c r="H278" s="94"/>
      <c r="I278" s="94"/>
      <c r="J278" s="94"/>
      <c r="K278" s="94"/>
      <c r="L278" s="94"/>
      <c r="M278" s="94"/>
      <c r="N278" s="94"/>
      <c r="O278" s="93"/>
    </row>
    <row r="279" spans="1:17" x14ac:dyDescent="0.25">
      <c r="A279" s="266"/>
      <c r="B279" s="265"/>
      <c r="C279" s="265"/>
      <c r="D279" s="265"/>
      <c r="E279" s="265"/>
      <c r="F279" s="94"/>
      <c r="G279" s="94"/>
      <c r="H279" s="94"/>
      <c r="I279" s="94"/>
      <c r="J279" s="94"/>
      <c r="K279" s="94"/>
      <c r="L279" s="94"/>
      <c r="M279" s="94"/>
      <c r="N279" s="94"/>
      <c r="O279" s="93"/>
      <c r="Q279" s="779"/>
    </row>
    <row r="280" spans="1:17" x14ac:dyDescent="0.25">
      <c r="A280" s="756" t="s">
        <v>67</v>
      </c>
      <c r="B280" s="755" t="s">
        <v>112</v>
      </c>
      <c r="C280" s="755" t="s">
        <v>66</v>
      </c>
      <c r="D280" s="755" t="s">
        <v>65</v>
      </c>
      <c r="E280" s="755" t="s">
        <v>81</v>
      </c>
      <c r="F280" s="1001" t="s">
        <v>80</v>
      </c>
      <c r="G280" s="1001" t="s">
        <v>79</v>
      </c>
      <c r="H280" s="1001" t="s">
        <v>78</v>
      </c>
      <c r="I280" s="1001" t="s">
        <v>111</v>
      </c>
      <c r="J280" s="1001" t="s">
        <v>110</v>
      </c>
      <c r="K280" s="1001" t="s">
        <v>109</v>
      </c>
      <c r="L280" s="1001" t="s">
        <v>108</v>
      </c>
      <c r="M280" s="1001" t="s">
        <v>40</v>
      </c>
      <c r="N280" s="1001" t="s">
        <v>58</v>
      </c>
      <c r="O280" s="93"/>
    </row>
    <row r="281" spans="1:17" x14ac:dyDescent="0.25">
      <c r="A281" s="986">
        <v>10</v>
      </c>
      <c r="B281" s="986" t="s">
        <v>519</v>
      </c>
      <c r="C281" s="999" t="s">
        <v>682</v>
      </c>
      <c r="D281" s="950">
        <v>2.25</v>
      </c>
      <c r="E281" s="986">
        <v>23</v>
      </c>
      <c r="F281" s="986" t="s">
        <v>68</v>
      </c>
      <c r="G281" s="986">
        <v>3</v>
      </c>
      <c r="H281" s="993" t="s">
        <v>68</v>
      </c>
      <c r="I281" s="1043" t="s">
        <v>1675</v>
      </c>
      <c r="J281" s="995">
        <f>0.023*0.003</f>
        <v>6.8999999999999997E-5</v>
      </c>
      <c r="K281" s="1042">
        <v>3.0499999999999999E-2</v>
      </c>
      <c r="L281" s="993">
        <v>7860</v>
      </c>
      <c r="M281" s="992">
        <v>1</v>
      </c>
      <c r="N281" s="991">
        <f>D281*J281*M281*K281*L281</f>
        <v>3.7218082499999999E-2</v>
      </c>
      <c r="O281" s="143"/>
    </row>
    <row r="282" spans="1:17" x14ac:dyDescent="0.25">
      <c r="A282" s="98"/>
      <c r="B282" s="95"/>
      <c r="C282" s="95"/>
      <c r="D282" s="95"/>
      <c r="E282" s="95"/>
      <c r="F282" s="95"/>
      <c r="G282" s="95"/>
      <c r="H282" s="95"/>
      <c r="I282" s="95"/>
      <c r="J282" s="754"/>
      <c r="K282" s="754"/>
      <c r="L282" s="95"/>
      <c r="M282" s="990" t="s">
        <v>58</v>
      </c>
      <c r="N282" s="750">
        <f>SUM(N281:N281)</f>
        <v>3.7218082499999999E-2</v>
      </c>
      <c r="O282" s="93"/>
    </row>
    <row r="283" spans="1:17" x14ac:dyDescent="0.25">
      <c r="A283" s="107"/>
      <c r="B283" s="94"/>
      <c r="C283" s="94"/>
      <c r="D283" s="94"/>
      <c r="E283" s="94"/>
      <c r="F283" s="94"/>
      <c r="G283" s="94"/>
      <c r="H283" s="94"/>
      <c r="I283" s="94"/>
      <c r="J283" s="94"/>
      <c r="K283" s="94"/>
      <c r="L283" s="94"/>
      <c r="M283" s="94"/>
      <c r="N283" s="94"/>
      <c r="O283" s="93"/>
    </row>
    <row r="284" spans="1:17" x14ac:dyDescent="0.25">
      <c r="A284" s="1005" t="s">
        <v>67</v>
      </c>
      <c r="B284" s="1001" t="s">
        <v>106</v>
      </c>
      <c r="C284" s="1001" t="s">
        <v>66</v>
      </c>
      <c r="D284" s="1001" t="s">
        <v>65</v>
      </c>
      <c r="E284" s="1001" t="s">
        <v>64</v>
      </c>
      <c r="F284" s="1001" t="s">
        <v>40</v>
      </c>
      <c r="G284" s="1001" t="s">
        <v>105</v>
      </c>
      <c r="H284" s="1001" t="s">
        <v>104</v>
      </c>
      <c r="I284" s="1001" t="s">
        <v>58</v>
      </c>
      <c r="J284" s="95"/>
      <c r="K284" s="95"/>
      <c r="L284" s="95"/>
      <c r="M284" s="95"/>
      <c r="N284" s="95"/>
      <c r="O284" s="93"/>
    </row>
    <row r="285" spans="1:17" x14ac:dyDescent="0.25">
      <c r="A285" s="986">
        <v>10</v>
      </c>
      <c r="B285" s="951" t="s">
        <v>516</v>
      </c>
      <c r="C285" s="989" t="s">
        <v>528</v>
      </c>
      <c r="D285" s="950">
        <v>1.3</v>
      </c>
      <c r="E285" s="986" t="s">
        <v>64</v>
      </c>
      <c r="F285" s="986">
        <v>1</v>
      </c>
      <c r="G285" s="986"/>
      <c r="H285" s="986"/>
      <c r="I285" s="1040">
        <f>IF(H285="",D285*F285,D285*F285*H285)</f>
        <v>1.3</v>
      </c>
      <c r="J285" s="142"/>
      <c r="K285" s="142"/>
      <c r="L285" s="142"/>
      <c r="M285" s="142"/>
      <c r="N285" s="142"/>
      <c r="O285" s="120"/>
    </row>
    <row r="286" spans="1:17" x14ac:dyDescent="0.25">
      <c r="A286" s="986">
        <v>20</v>
      </c>
      <c r="B286" s="951" t="s">
        <v>541</v>
      </c>
      <c r="C286" s="989" t="s">
        <v>1506</v>
      </c>
      <c r="D286" s="950">
        <v>0.01</v>
      </c>
      <c r="E286" s="986" t="s">
        <v>101</v>
      </c>
      <c r="F286" s="986">
        <v>11.3</v>
      </c>
      <c r="G286" s="951" t="s">
        <v>724</v>
      </c>
      <c r="H286" s="986">
        <v>3</v>
      </c>
      <c r="I286" s="1040">
        <f>IF(H286="",D286*F286,D286*F286*H286)</f>
        <v>0.33900000000000002</v>
      </c>
      <c r="J286" s="142"/>
      <c r="K286" s="142"/>
      <c r="L286" s="142"/>
      <c r="M286" s="142"/>
      <c r="N286" s="142"/>
      <c r="O286" s="120"/>
    </row>
    <row r="287" spans="1:17" x14ac:dyDescent="0.25">
      <c r="A287" s="98"/>
      <c r="B287" s="95"/>
      <c r="C287" s="95"/>
      <c r="D287" s="95"/>
      <c r="E287" s="95"/>
      <c r="F287" s="95"/>
      <c r="G287" s="95"/>
      <c r="H287" s="751" t="s">
        <v>58</v>
      </c>
      <c r="I287" s="750">
        <f>SUM(I285:I286)</f>
        <v>1.639</v>
      </c>
      <c r="J287" s="95"/>
      <c r="K287" s="95"/>
      <c r="L287" s="95"/>
      <c r="M287" s="95"/>
      <c r="N287" s="95"/>
      <c r="O287" s="93"/>
    </row>
    <row r="288" spans="1:17" ht="15.75" thickBot="1" x14ac:dyDescent="0.3">
      <c r="A288" s="92"/>
      <c r="B288" s="91"/>
      <c r="C288" s="91"/>
      <c r="D288" s="91"/>
      <c r="E288" s="91"/>
      <c r="F288" s="91"/>
      <c r="G288" s="91"/>
      <c r="H288" s="91"/>
      <c r="I288" s="91"/>
      <c r="J288" s="91"/>
      <c r="K288" s="91"/>
      <c r="L288" s="91"/>
      <c r="M288" s="91"/>
      <c r="N288" s="91"/>
      <c r="O288" s="90"/>
    </row>
    <row r="289" spans="1:15" ht="15.75" thickBot="1" x14ac:dyDescent="0.3"/>
    <row r="290" spans="1:15" x14ac:dyDescent="0.25">
      <c r="A290" s="141"/>
      <c r="B290" s="140"/>
      <c r="C290" s="140"/>
      <c r="D290" s="140"/>
      <c r="E290" s="140"/>
      <c r="F290" s="140"/>
      <c r="G290" s="140"/>
      <c r="H290" s="140"/>
      <c r="I290" s="140"/>
      <c r="J290" s="272"/>
      <c r="K290" s="140"/>
      <c r="L290" s="140"/>
      <c r="M290" s="140"/>
      <c r="N290" s="140"/>
      <c r="O290" s="139"/>
    </row>
    <row r="291" spans="1:15" x14ac:dyDescent="0.25">
      <c r="A291" s="757" t="s">
        <v>57</v>
      </c>
      <c r="B291" s="133" t="s">
        <v>523</v>
      </c>
      <c r="C291" s="94"/>
      <c r="D291" s="94"/>
      <c r="E291" s="94"/>
      <c r="F291" s="94"/>
      <c r="G291" s="94"/>
      <c r="H291" s="94"/>
      <c r="I291" s="94"/>
      <c r="J291" s="760" t="s">
        <v>51</v>
      </c>
      <c r="K291" s="138">
        <v>81</v>
      </c>
      <c r="L291" s="94"/>
      <c r="M291" s="757" t="s">
        <v>113</v>
      </c>
      <c r="N291" s="100">
        <f>FR_04001_m+FR_04001_p</f>
        <v>2.0653385200000001</v>
      </c>
      <c r="O291" s="93"/>
    </row>
    <row r="292" spans="1:15" x14ac:dyDescent="0.25">
      <c r="A292" s="757" t="s">
        <v>125</v>
      </c>
      <c r="B292" s="133" t="s">
        <v>1412</v>
      </c>
      <c r="C292" s="94"/>
      <c r="D292" s="757" t="s">
        <v>122</v>
      </c>
      <c r="E292" s="270" t="s">
        <v>522</v>
      </c>
      <c r="F292" s="94"/>
      <c r="G292" s="94"/>
      <c r="H292" s="94"/>
      <c r="I292" s="94"/>
      <c r="J292" s="94"/>
      <c r="K292" s="94"/>
      <c r="L292" s="94"/>
      <c r="M292" s="757" t="s">
        <v>124</v>
      </c>
      <c r="N292" s="136">
        <v>4</v>
      </c>
      <c r="O292" s="93"/>
    </row>
    <row r="293" spans="1:15" x14ac:dyDescent="0.25">
      <c r="A293" s="757" t="s">
        <v>123</v>
      </c>
      <c r="B293" s="270" t="str">
        <f>'FR Assemblies'!B104</f>
        <v>Pedal Assembly</v>
      </c>
      <c r="C293" s="94"/>
      <c r="D293" s="757" t="s">
        <v>119</v>
      </c>
      <c r="E293" s="94"/>
      <c r="F293" s="94"/>
      <c r="G293" s="94"/>
      <c r="H293" s="94"/>
      <c r="I293" s="94"/>
      <c r="J293" s="758" t="s">
        <v>122</v>
      </c>
      <c r="K293" s="94"/>
      <c r="L293" s="94"/>
      <c r="M293" s="94"/>
      <c r="N293" s="94"/>
      <c r="O293" s="93"/>
    </row>
    <row r="294" spans="1:15" x14ac:dyDescent="0.25">
      <c r="A294" s="757" t="s">
        <v>114</v>
      </c>
      <c r="B294" s="764" t="s">
        <v>1673</v>
      </c>
      <c r="C294" s="94"/>
      <c r="D294" s="757" t="s">
        <v>116</v>
      </c>
      <c r="E294" s="94"/>
      <c r="F294" s="94"/>
      <c r="G294" s="94"/>
      <c r="H294" s="94"/>
      <c r="I294" s="94"/>
      <c r="J294" s="758" t="s">
        <v>119</v>
      </c>
      <c r="K294" s="94"/>
      <c r="L294" s="94"/>
      <c r="M294" s="757" t="s">
        <v>118</v>
      </c>
      <c r="N294" s="100">
        <f>N292*N291</f>
        <v>8.2613540800000003</v>
      </c>
      <c r="O294" s="93"/>
    </row>
    <row r="295" spans="1:15" x14ac:dyDescent="0.25">
      <c r="A295" s="757" t="s">
        <v>121</v>
      </c>
      <c r="B295" s="269" t="s">
        <v>1674</v>
      </c>
      <c r="C295" s="94"/>
      <c r="D295" s="94"/>
      <c r="E295" s="94"/>
      <c r="F295" s="94"/>
      <c r="G295" s="94"/>
      <c r="H295" s="94"/>
      <c r="I295" s="94"/>
      <c r="J295" s="758" t="s">
        <v>116</v>
      </c>
      <c r="K295" s="94"/>
      <c r="L295" s="94"/>
      <c r="M295" s="94"/>
      <c r="N295" s="94"/>
      <c r="O295" s="93"/>
    </row>
    <row r="296" spans="1:15" x14ac:dyDescent="0.25">
      <c r="A296" s="757" t="s">
        <v>117</v>
      </c>
      <c r="B296" s="133" t="s">
        <v>23</v>
      </c>
      <c r="C296" s="94"/>
      <c r="D296" s="94"/>
      <c r="E296" s="94"/>
      <c r="F296" s="94"/>
      <c r="G296" s="94"/>
      <c r="H296" s="94"/>
      <c r="I296" s="94"/>
      <c r="J296" s="94"/>
      <c r="K296" s="94"/>
      <c r="L296" s="94"/>
      <c r="M296" s="94"/>
      <c r="N296" s="94"/>
      <c r="O296" s="93"/>
    </row>
    <row r="297" spans="1:15" x14ac:dyDescent="0.25">
      <c r="A297" s="757" t="s">
        <v>115</v>
      </c>
      <c r="B297" s="764" t="s">
        <v>1673</v>
      </c>
      <c r="C297" s="94"/>
      <c r="D297" s="94"/>
      <c r="E297" s="94"/>
      <c r="F297" s="94"/>
      <c r="G297" s="94"/>
      <c r="H297" s="94"/>
      <c r="I297" s="94"/>
      <c r="J297" s="94"/>
      <c r="K297" s="94"/>
      <c r="L297" s="94"/>
      <c r="M297" s="94"/>
      <c r="N297" s="94"/>
      <c r="O297" s="93"/>
    </row>
    <row r="298" spans="1:15" x14ac:dyDescent="0.25">
      <c r="A298" s="266"/>
      <c r="B298" s="265"/>
      <c r="C298" s="265"/>
      <c r="D298" s="265"/>
      <c r="E298" s="265"/>
      <c r="F298" s="94"/>
      <c r="G298" s="94"/>
      <c r="H298" s="94"/>
      <c r="I298" s="94"/>
      <c r="J298" s="94"/>
      <c r="K298" s="94"/>
      <c r="L298" s="94"/>
      <c r="M298" s="94"/>
      <c r="N298" s="94"/>
      <c r="O298" s="93"/>
    </row>
    <row r="299" spans="1:15" x14ac:dyDescent="0.25">
      <c r="A299" s="756" t="s">
        <v>67</v>
      </c>
      <c r="B299" s="755" t="s">
        <v>112</v>
      </c>
      <c r="C299" s="755" t="s">
        <v>66</v>
      </c>
      <c r="D299" s="755" t="s">
        <v>65</v>
      </c>
      <c r="E299" s="755" t="s">
        <v>81</v>
      </c>
      <c r="F299" s="1001" t="s">
        <v>80</v>
      </c>
      <c r="G299" s="1001" t="s">
        <v>79</v>
      </c>
      <c r="H299" s="1001" t="s">
        <v>78</v>
      </c>
      <c r="I299" s="1001" t="s">
        <v>111</v>
      </c>
      <c r="J299" s="1001" t="s">
        <v>110</v>
      </c>
      <c r="K299" s="1001" t="s">
        <v>109</v>
      </c>
      <c r="L299" s="1001" t="s">
        <v>108</v>
      </c>
      <c r="M299" s="1001" t="s">
        <v>40</v>
      </c>
      <c r="N299" s="1001" t="s">
        <v>58</v>
      </c>
      <c r="O299" s="93"/>
    </row>
    <row r="300" spans="1:15" ht="32.25" customHeight="1" x14ac:dyDescent="0.25">
      <c r="A300" s="1031">
        <v>10</v>
      </c>
      <c r="B300" s="1033" t="s">
        <v>1256</v>
      </c>
      <c r="C300" s="1031" t="s">
        <v>841</v>
      </c>
      <c r="D300" s="1032">
        <v>2.25</v>
      </c>
      <c r="E300" s="1031">
        <v>36</v>
      </c>
      <c r="F300" s="1031" t="s">
        <v>68</v>
      </c>
      <c r="G300" s="1031">
        <v>3</v>
      </c>
      <c r="H300" s="1030" t="s">
        <v>68</v>
      </c>
      <c r="I300" s="996" t="s">
        <v>1672</v>
      </c>
      <c r="J300" s="1029">
        <f>0.036*0.003</f>
        <v>1.08E-4</v>
      </c>
      <c r="K300" s="1028">
        <v>7.3999999999999996E-2</v>
      </c>
      <c r="L300" s="1027">
        <v>7860</v>
      </c>
      <c r="M300" s="1026">
        <v>1</v>
      </c>
      <c r="N300" s="991">
        <f>D300*J300*M300*K300*L300</f>
        <v>0.14133852</v>
      </c>
      <c r="O300" s="143"/>
    </row>
    <row r="301" spans="1:15" x14ac:dyDescent="0.25">
      <c r="A301" s="98"/>
      <c r="B301" s="95"/>
      <c r="C301" s="95"/>
      <c r="D301" s="95"/>
      <c r="E301" s="95"/>
      <c r="F301" s="95"/>
      <c r="G301" s="95"/>
      <c r="H301" s="95"/>
      <c r="I301" s="95"/>
      <c r="J301" s="754"/>
      <c r="K301" s="754"/>
      <c r="L301" s="95"/>
      <c r="M301" s="990" t="s">
        <v>58</v>
      </c>
      <c r="N301" s="750">
        <f>SUM(N300:N300)</f>
        <v>0.14133852</v>
      </c>
      <c r="O301" s="93"/>
    </row>
    <row r="302" spans="1:15" x14ac:dyDescent="0.25">
      <c r="A302" s="107"/>
      <c r="B302" s="94"/>
      <c r="C302" s="94"/>
      <c r="D302" s="94"/>
      <c r="E302" s="94"/>
      <c r="F302" s="94"/>
      <c r="G302" s="94"/>
      <c r="H302" s="94"/>
      <c r="I302" s="94"/>
      <c r="J302" s="94"/>
      <c r="K302" s="94"/>
      <c r="L302" s="94"/>
      <c r="M302" s="94"/>
      <c r="N302" s="94"/>
      <c r="O302" s="93"/>
    </row>
    <row r="303" spans="1:15" x14ac:dyDescent="0.25">
      <c r="A303" s="1005" t="s">
        <v>67</v>
      </c>
      <c r="B303" s="1001" t="s">
        <v>106</v>
      </c>
      <c r="C303" s="1001" t="s">
        <v>66</v>
      </c>
      <c r="D303" s="1001" t="s">
        <v>65</v>
      </c>
      <c r="E303" s="1001" t="s">
        <v>64</v>
      </c>
      <c r="F303" s="1001" t="s">
        <v>40</v>
      </c>
      <c r="G303" s="1001" t="s">
        <v>105</v>
      </c>
      <c r="H303" s="1001" t="s">
        <v>104</v>
      </c>
      <c r="I303" s="1001" t="s">
        <v>58</v>
      </c>
      <c r="J303" s="95"/>
      <c r="K303" s="95"/>
      <c r="L303" s="95"/>
      <c r="M303" s="95"/>
      <c r="N303" s="95"/>
      <c r="O303" s="93"/>
    </row>
    <row r="304" spans="1:15" x14ac:dyDescent="0.25">
      <c r="A304" s="1004">
        <v>10</v>
      </c>
      <c r="B304" s="951" t="s">
        <v>516</v>
      </c>
      <c r="C304" s="1004" t="s">
        <v>802</v>
      </c>
      <c r="D304" s="988">
        <v>1.3</v>
      </c>
      <c r="E304" s="951" t="s">
        <v>64</v>
      </c>
      <c r="F304" s="1004">
        <v>1</v>
      </c>
      <c r="G304" s="1004"/>
      <c r="H304" s="1004"/>
      <c r="I304" s="1040">
        <f>IF(H304="",D304*F304,D304*F304*H304)</f>
        <v>1.3</v>
      </c>
      <c r="J304" s="142"/>
      <c r="K304" s="142"/>
      <c r="L304" s="142"/>
      <c r="M304" s="142"/>
      <c r="N304" s="142"/>
      <c r="O304" s="120"/>
    </row>
    <row r="305" spans="1:15" x14ac:dyDescent="0.25">
      <c r="A305" s="986">
        <v>20</v>
      </c>
      <c r="B305" s="951" t="s">
        <v>541</v>
      </c>
      <c r="C305" s="986" t="s">
        <v>834</v>
      </c>
      <c r="D305" s="1024">
        <v>0.01</v>
      </c>
      <c r="E305" s="986" t="s">
        <v>101</v>
      </c>
      <c r="F305" s="1025">
        <v>20.8</v>
      </c>
      <c r="G305" s="951" t="s">
        <v>724</v>
      </c>
      <c r="H305" s="1002">
        <v>3</v>
      </c>
      <c r="I305" s="1040">
        <f>IF(H305="",D305*F305,D305*F305*H305)</f>
        <v>0.62400000000000011</v>
      </c>
      <c r="J305" s="142"/>
      <c r="K305" s="142"/>
      <c r="L305" s="142"/>
      <c r="M305" s="142"/>
      <c r="N305" s="142"/>
      <c r="O305" s="120"/>
    </row>
    <row r="306" spans="1:15" x14ac:dyDescent="0.25">
      <c r="A306" s="98"/>
      <c r="B306" s="95"/>
      <c r="C306" s="95"/>
      <c r="D306" s="95"/>
      <c r="E306" s="95"/>
      <c r="F306" s="95"/>
      <c r="G306" s="95"/>
      <c r="H306" s="751" t="s">
        <v>58</v>
      </c>
      <c r="I306" s="750">
        <f>SUM(I304:I305)</f>
        <v>1.9240000000000002</v>
      </c>
      <c r="J306" s="95"/>
      <c r="K306" s="95"/>
      <c r="L306" s="95"/>
      <c r="M306" s="95"/>
      <c r="N306" s="95"/>
      <c r="O306" s="93"/>
    </row>
    <row r="307" spans="1:15" ht="15.75" thickBot="1" x14ac:dyDescent="0.3">
      <c r="A307" s="92"/>
      <c r="B307" s="91"/>
      <c r="C307" s="91"/>
      <c r="D307" s="91"/>
      <c r="E307" s="91"/>
      <c r="F307" s="91"/>
      <c r="G307" s="91"/>
      <c r="H307" s="91"/>
      <c r="I307" s="91"/>
      <c r="J307" s="91"/>
      <c r="K307" s="91"/>
      <c r="L307" s="91"/>
      <c r="M307" s="91"/>
      <c r="N307" s="91"/>
      <c r="O307" s="90"/>
    </row>
    <row r="308" spans="1:15" ht="15.75" thickBot="1" x14ac:dyDescent="0.3"/>
    <row r="309" spans="1:15" x14ac:dyDescent="0.25">
      <c r="A309" s="141"/>
      <c r="B309" s="140"/>
      <c r="C309" s="140"/>
      <c r="D309" s="140"/>
      <c r="E309" s="140"/>
      <c r="F309" s="140"/>
      <c r="G309" s="140"/>
      <c r="H309" s="140"/>
      <c r="I309" s="140"/>
      <c r="J309" s="272"/>
      <c r="K309" s="140"/>
      <c r="L309" s="140"/>
      <c r="M309" s="140"/>
      <c r="N309" s="140"/>
      <c r="O309" s="139"/>
    </row>
    <row r="310" spans="1:15" x14ac:dyDescent="0.25">
      <c r="A310" s="757" t="s">
        <v>57</v>
      </c>
      <c r="B310" s="133" t="s">
        <v>523</v>
      </c>
      <c r="C310" s="94"/>
      <c r="D310" s="94"/>
      <c r="E310" s="94"/>
      <c r="F310" s="94"/>
      <c r="G310" s="94"/>
      <c r="H310" s="94"/>
      <c r="I310" s="94"/>
      <c r="J310" s="760" t="s">
        <v>51</v>
      </c>
      <c r="K310" s="138">
        <v>81</v>
      </c>
      <c r="L310" s="94"/>
      <c r="M310" s="757" t="s">
        <v>113</v>
      </c>
      <c r="N310" s="100">
        <f>FR_04002_m+FR_04002_p</f>
        <v>1.9583172250000001</v>
      </c>
      <c r="O310" s="93"/>
    </row>
    <row r="311" spans="1:15" x14ac:dyDescent="0.25">
      <c r="A311" s="757" t="s">
        <v>125</v>
      </c>
      <c r="B311" s="133" t="s">
        <v>1412</v>
      </c>
      <c r="C311" s="94"/>
      <c r="D311" s="757" t="s">
        <v>122</v>
      </c>
      <c r="E311" s="270" t="s">
        <v>522</v>
      </c>
      <c r="F311" s="94"/>
      <c r="G311" s="94"/>
      <c r="H311" s="94"/>
      <c r="I311" s="94"/>
      <c r="J311" s="94"/>
      <c r="K311" s="94"/>
      <c r="L311" s="94"/>
      <c r="M311" s="757" t="s">
        <v>124</v>
      </c>
      <c r="N311" s="136">
        <v>4</v>
      </c>
      <c r="O311" s="93"/>
    </row>
    <row r="312" spans="1:15" x14ac:dyDescent="0.25">
      <c r="A312" s="757" t="s">
        <v>123</v>
      </c>
      <c r="B312" s="270" t="str">
        <f>'FR Assemblies'!B104</f>
        <v>Pedal Assembly</v>
      </c>
      <c r="C312" s="94"/>
      <c r="D312" s="757" t="s">
        <v>119</v>
      </c>
      <c r="E312" s="94"/>
      <c r="F312" s="94"/>
      <c r="G312" s="94"/>
      <c r="H312" s="94"/>
      <c r="I312" s="94"/>
      <c r="J312" s="758" t="s">
        <v>122</v>
      </c>
      <c r="K312" s="94"/>
      <c r="L312" s="94"/>
      <c r="M312" s="94"/>
      <c r="N312" s="94"/>
      <c r="O312" s="93"/>
    </row>
    <row r="313" spans="1:15" x14ac:dyDescent="0.25">
      <c r="A313" s="757" t="s">
        <v>114</v>
      </c>
      <c r="B313" s="764" t="s">
        <v>1670</v>
      </c>
      <c r="C313" s="94"/>
      <c r="D313" s="757" t="s">
        <v>116</v>
      </c>
      <c r="E313" s="94"/>
      <c r="F313" s="94"/>
      <c r="G313" s="94"/>
      <c r="H313" s="94"/>
      <c r="I313" s="94"/>
      <c r="J313" s="758" t="s">
        <v>119</v>
      </c>
      <c r="K313" s="94"/>
      <c r="L313" s="94"/>
      <c r="M313" s="757" t="s">
        <v>118</v>
      </c>
      <c r="N313" s="100">
        <f>N311*N310</f>
        <v>7.8332689000000002</v>
      </c>
      <c r="O313" s="93"/>
    </row>
    <row r="314" spans="1:15" x14ac:dyDescent="0.25">
      <c r="A314" s="757" t="s">
        <v>121</v>
      </c>
      <c r="B314" s="269" t="s">
        <v>1671</v>
      </c>
      <c r="C314" s="94"/>
      <c r="D314" s="94"/>
      <c r="E314" s="94"/>
      <c r="F314" s="94"/>
      <c r="G314" s="94"/>
      <c r="H314" s="94"/>
      <c r="I314" s="94"/>
      <c r="J314" s="758" t="s">
        <v>116</v>
      </c>
      <c r="K314" s="94"/>
      <c r="L314" s="94"/>
      <c r="M314" s="94"/>
      <c r="N314" s="94"/>
      <c r="O314" s="93"/>
    </row>
    <row r="315" spans="1:15" x14ac:dyDescent="0.25">
      <c r="A315" s="757" t="s">
        <v>117</v>
      </c>
      <c r="B315" s="133" t="s">
        <v>23</v>
      </c>
      <c r="C315" s="94"/>
      <c r="D315" s="94"/>
      <c r="E315" s="94"/>
      <c r="F315" s="94"/>
      <c r="G315" s="94"/>
      <c r="H315" s="94"/>
      <c r="I315" s="94"/>
      <c r="J315" s="94"/>
      <c r="K315" s="94"/>
      <c r="L315" s="94"/>
      <c r="M315" s="94"/>
      <c r="N315" s="94"/>
      <c r="O315" s="93"/>
    </row>
    <row r="316" spans="1:15" x14ac:dyDescent="0.25">
      <c r="A316" s="757" t="s">
        <v>115</v>
      </c>
      <c r="B316" s="764" t="s">
        <v>1670</v>
      </c>
      <c r="C316" s="94"/>
      <c r="D316" s="94"/>
      <c r="E316" s="94"/>
      <c r="F316" s="94"/>
      <c r="G316" s="94"/>
      <c r="H316" s="94"/>
      <c r="I316" s="94"/>
      <c r="J316" s="94"/>
      <c r="K316" s="94"/>
      <c r="L316" s="94"/>
      <c r="M316" s="94"/>
      <c r="N316" s="94"/>
      <c r="O316" s="93"/>
    </row>
    <row r="317" spans="1:15" x14ac:dyDescent="0.25">
      <c r="A317" s="266"/>
      <c r="B317" s="265"/>
      <c r="C317" s="265"/>
      <c r="D317" s="265"/>
      <c r="E317" s="265"/>
      <c r="F317" s="94"/>
      <c r="G317" s="94"/>
      <c r="H317" s="94"/>
      <c r="I317" s="94"/>
      <c r="J317" s="94"/>
      <c r="K317" s="94"/>
      <c r="L317" s="94"/>
      <c r="M317" s="94"/>
      <c r="N317" s="94"/>
      <c r="O317" s="93"/>
    </row>
    <row r="318" spans="1:15" x14ac:dyDescent="0.25">
      <c r="A318" s="756" t="s">
        <v>67</v>
      </c>
      <c r="B318" s="755" t="s">
        <v>112</v>
      </c>
      <c r="C318" s="755" t="s">
        <v>66</v>
      </c>
      <c r="D318" s="755" t="s">
        <v>65</v>
      </c>
      <c r="E318" s="755" t="s">
        <v>81</v>
      </c>
      <c r="F318" s="1001" t="s">
        <v>80</v>
      </c>
      <c r="G318" s="1001" t="s">
        <v>79</v>
      </c>
      <c r="H318" s="1001" t="s">
        <v>78</v>
      </c>
      <c r="I318" s="1001" t="s">
        <v>111</v>
      </c>
      <c r="J318" s="1001" t="s">
        <v>110</v>
      </c>
      <c r="K318" s="1001" t="s">
        <v>109</v>
      </c>
      <c r="L318" s="1001" t="s">
        <v>108</v>
      </c>
      <c r="M318" s="1001" t="s">
        <v>40</v>
      </c>
      <c r="N318" s="1001" t="s">
        <v>58</v>
      </c>
      <c r="O318" s="93"/>
    </row>
    <row r="319" spans="1:15" ht="30" x14ac:dyDescent="0.25">
      <c r="A319" s="1031">
        <v>10</v>
      </c>
      <c r="B319" s="1033" t="s">
        <v>1256</v>
      </c>
      <c r="C319" s="1031" t="s">
        <v>841</v>
      </c>
      <c r="D319" s="1032">
        <v>2.25</v>
      </c>
      <c r="E319" s="1031">
        <v>23</v>
      </c>
      <c r="F319" s="1031" t="s">
        <v>68</v>
      </c>
      <c r="G319" s="1031">
        <v>3</v>
      </c>
      <c r="H319" s="1030" t="s">
        <v>68</v>
      </c>
      <c r="I319" s="996" t="s">
        <v>1669</v>
      </c>
      <c r="J319" s="1029">
        <f>0.003*0.023</f>
        <v>6.8999999999999997E-5</v>
      </c>
      <c r="K319" s="1028">
        <v>6.5000000000000002E-2</v>
      </c>
      <c r="L319" s="1027">
        <v>7860</v>
      </c>
      <c r="M319" s="1026">
        <v>1</v>
      </c>
      <c r="N319" s="991">
        <f>D319*J319*M319*K319*L319</f>
        <v>7.9317225000000005E-2</v>
      </c>
      <c r="O319" s="143"/>
    </row>
    <row r="320" spans="1:15" x14ac:dyDescent="0.25">
      <c r="A320" s="98"/>
      <c r="B320" s="95"/>
      <c r="C320" s="95"/>
      <c r="D320" s="95"/>
      <c r="E320" s="95"/>
      <c r="F320" s="95"/>
      <c r="G320" s="95"/>
      <c r="H320" s="95"/>
      <c r="I320" s="95"/>
      <c r="J320" s="754"/>
      <c r="K320" s="754"/>
      <c r="L320" s="95"/>
      <c r="M320" s="990" t="s">
        <v>58</v>
      </c>
      <c r="N320" s="750">
        <f>SUM(N319:N319)</f>
        <v>7.9317225000000005E-2</v>
      </c>
      <c r="O320" s="93"/>
    </row>
    <row r="321" spans="1:15" x14ac:dyDescent="0.25">
      <c r="A321" s="107"/>
      <c r="B321" s="94"/>
      <c r="C321" s="94"/>
      <c r="D321" s="94"/>
      <c r="E321" s="94"/>
      <c r="F321" s="94"/>
      <c r="G321" s="94"/>
      <c r="H321" s="94"/>
      <c r="I321" s="94"/>
      <c r="J321" s="94"/>
      <c r="K321" s="94"/>
      <c r="L321" s="94"/>
      <c r="M321" s="94"/>
      <c r="N321" s="94"/>
      <c r="O321" s="93"/>
    </row>
    <row r="322" spans="1:15" x14ac:dyDescent="0.25">
      <c r="A322" s="1005" t="s">
        <v>67</v>
      </c>
      <c r="B322" s="1001" t="s">
        <v>106</v>
      </c>
      <c r="C322" s="1001" t="s">
        <v>66</v>
      </c>
      <c r="D322" s="1001" t="s">
        <v>65</v>
      </c>
      <c r="E322" s="1001" t="s">
        <v>64</v>
      </c>
      <c r="F322" s="1001" t="s">
        <v>40</v>
      </c>
      <c r="G322" s="1001" t="s">
        <v>105</v>
      </c>
      <c r="H322" s="1001" t="s">
        <v>104</v>
      </c>
      <c r="I322" s="1001" t="s">
        <v>58</v>
      </c>
      <c r="J322" s="95"/>
      <c r="K322" s="95"/>
      <c r="L322" s="95"/>
      <c r="M322" s="95"/>
      <c r="N322" s="95"/>
      <c r="O322" s="93"/>
    </row>
    <row r="323" spans="1:15" x14ac:dyDescent="0.25">
      <c r="A323" s="1041">
        <v>10</v>
      </c>
      <c r="B323" s="951" t="s">
        <v>516</v>
      </c>
      <c r="C323" s="1004" t="s">
        <v>802</v>
      </c>
      <c r="D323" s="988">
        <v>1.3</v>
      </c>
      <c r="E323" s="951" t="s">
        <v>64</v>
      </c>
      <c r="F323" s="1004">
        <v>1</v>
      </c>
      <c r="G323" s="1004"/>
      <c r="H323" s="1041"/>
      <c r="I323" s="1040">
        <f>IF(H323="",D323*F323,D323*F323*H323)</f>
        <v>1.3</v>
      </c>
      <c r="J323" s="142"/>
      <c r="K323" s="142"/>
      <c r="L323" s="142"/>
      <c r="M323" s="142"/>
      <c r="N323" s="142"/>
      <c r="O323" s="120"/>
    </row>
    <row r="324" spans="1:15" ht="15.75" customHeight="1" x14ac:dyDescent="0.25">
      <c r="A324" s="986">
        <v>20</v>
      </c>
      <c r="B324" s="951" t="s">
        <v>541</v>
      </c>
      <c r="C324" s="986" t="s">
        <v>834</v>
      </c>
      <c r="D324" s="1024">
        <v>0.01</v>
      </c>
      <c r="E324" s="986" t="s">
        <v>101</v>
      </c>
      <c r="F324" s="1025">
        <v>19.3</v>
      </c>
      <c r="G324" s="951" t="s">
        <v>724</v>
      </c>
      <c r="H324" s="1023">
        <v>3</v>
      </c>
      <c r="I324" s="1040">
        <f>IF(H324="",D324*F324,D324*F324*H324)</f>
        <v>0.57899999999999996</v>
      </c>
      <c r="J324" s="142"/>
      <c r="K324" s="142"/>
      <c r="L324" s="142"/>
      <c r="M324" s="142"/>
      <c r="N324" s="142"/>
      <c r="O324" s="120"/>
    </row>
    <row r="325" spans="1:15" x14ac:dyDescent="0.25">
      <c r="A325" s="98"/>
      <c r="B325" s="95"/>
      <c r="C325" s="95"/>
      <c r="D325" s="95"/>
      <c r="E325" s="95"/>
      <c r="F325" s="95"/>
      <c r="G325" s="95"/>
      <c r="H325" s="751" t="s">
        <v>58</v>
      </c>
      <c r="I325" s="750">
        <f>SUM(I323:I324)</f>
        <v>1.879</v>
      </c>
      <c r="J325" s="95"/>
      <c r="K325" s="95"/>
      <c r="L325" s="95"/>
      <c r="M325" s="95"/>
      <c r="N325" s="95"/>
      <c r="O325" s="93"/>
    </row>
    <row r="326" spans="1:15" ht="15.75" thickBot="1" x14ac:dyDescent="0.3">
      <c r="A326" s="92"/>
      <c r="B326" s="91"/>
      <c r="C326" s="91"/>
      <c r="D326" s="91"/>
      <c r="E326" s="91"/>
      <c r="F326" s="91"/>
      <c r="G326" s="91"/>
      <c r="H326" s="91"/>
      <c r="I326" s="91"/>
      <c r="J326" s="91"/>
      <c r="K326" s="91"/>
      <c r="L326" s="91"/>
      <c r="M326" s="91"/>
      <c r="N326" s="91"/>
      <c r="O326" s="90"/>
    </row>
    <row r="327" spans="1:15" ht="15.75" thickBot="1" x14ac:dyDescent="0.3"/>
    <row r="328" spans="1:15" x14ac:dyDescent="0.25">
      <c r="A328" s="141"/>
      <c r="B328" s="140"/>
      <c r="C328" s="140"/>
      <c r="D328" s="140"/>
      <c r="E328" s="140"/>
      <c r="F328" s="140"/>
      <c r="G328" s="140"/>
      <c r="H328" s="140"/>
      <c r="I328" s="140"/>
      <c r="J328" s="272"/>
      <c r="K328" s="140"/>
      <c r="L328" s="140"/>
      <c r="M328" s="140"/>
      <c r="N328" s="140"/>
      <c r="O328" s="139"/>
    </row>
    <row r="329" spans="1:15" x14ac:dyDescent="0.25">
      <c r="A329" s="757" t="s">
        <v>57</v>
      </c>
      <c r="B329" s="133" t="s">
        <v>523</v>
      </c>
      <c r="C329" s="94"/>
      <c r="D329" s="94"/>
      <c r="E329" s="94"/>
      <c r="F329" s="94"/>
      <c r="G329" s="94"/>
      <c r="H329" s="94"/>
      <c r="I329" s="94"/>
      <c r="J329" s="760" t="s">
        <v>51</v>
      </c>
      <c r="K329" s="138">
        <v>81</v>
      </c>
      <c r="L329" s="94"/>
      <c r="M329" s="757" t="s">
        <v>113</v>
      </c>
      <c r="N329" s="100">
        <f>FR_04003_m+FR_04003_p</f>
        <v>15.147995519999998</v>
      </c>
      <c r="O329" s="93"/>
    </row>
    <row r="330" spans="1:15" x14ac:dyDescent="0.25">
      <c r="A330" s="757" t="s">
        <v>125</v>
      </c>
      <c r="B330" s="133" t="s">
        <v>1412</v>
      </c>
      <c r="C330" s="94"/>
      <c r="D330" s="757" t="s">
        <v>122</v>
      </c>
      <c r="E330" s="270" t="s">
        <v>522</v>
      </c>
      <c r="F330" s="94"/>
      <c r="G330" s="94"/>
      <c r="H330" s="94"/>
      <c r="I330" s="94"/>
      <c r="J330" s="94"/>
      <c r="K330" s="94"/>
      <c r="L330" s="94"/>
      <c r="M330" s="757" t="s">
        <v>124</v>
      </c>
      <c r="N330" s="136">
        <v>2</v>
      </c>
      <c r="O330" s="93"/>
    </row>
    <row r="331" spans="1:15" x14ac:dyDescent="0.25">
      <c r="A331" s="757" t="s">
        <v>123</v>
      </c>
      <c r="B331" s="270" t="str">
        <f>'FR Assemblies'!B104</f>
        <v>Pedal Assembly</v>
      </c>
      <c r="C331" s="94"/>
      <c r="D331" s="757" t="s">
        <v>119</v>
      </c>
      <c r="E331" s="94"/>
      <c r="F331" s="94"/>
      <c r="G331" s="94"/>
      <c r="H331" s="94"/>
      <c r="I331" s="94"/>
      <c r="J331" s="758" t="s">
        <v>122</v>
      </c>
      <c r="K331" s="94"/>
      <c r="L331" s="94"/>
      <c r="M331" s="94"/>
      <c r="N331" s="94"/>
      <c r="O331" s="93"/>
    </row>
    <row r="332" spans="1:15" x14ac:dyDescent="0.25">
      <c r="A332" s="757" t="s">
        <v>114</v>
      </c>
      <c r="B332" s="764" t="s">
        <v>1668</v>
      </c>
      <c r="C332" s="94"/>
      <c r="D332" s="757" t="s">
        <v>116</v>
      </c>
      <c r="E332" s="94"/>
      <c r="F332" s="94"/>
      <c r="G332" s="94"/>
      <c r="H332" s="94"/>
      <c r="I332" s="94"/>
      <c r="J332" s="758" t="s">
        <v>119</v>
      </c>
      <c r="K332" s="94"/>
      <c r="L332" s="94"/>
      <c r="M332" s="757" t="s">
        <v>118</v>
      </c>
      <c r="N332" s="100">
        <f>N330*N329</f>
        <v>30.295991039999997</v>
      </c>
      <c r="O332" s="93"/>
    </row>
    <row r="333" spans="1:15" x14ac:dyDescent="0.25">
      <c r="A333" s="757" t="s">
        <v>121</v>
      </c>
      <c r="B333" s="269" t="s">
        <v>1667</v>
      </c>
      <c r="C333" s="94"/>
      <c r="D333" s="94"/>
      <c r="E333" s="94"/>
      <c r="F333" s="94"/>
      <c r="G333" s="94"/>
      <c r="H333" s="94"/>
      <c r="I333" s="94"/>
      <c r="J333" s="758" t="s">
        <v>116</v>
      </c>
      <c r="K333" s="94"/>
      <c r="L333" s="94"/>
      <c r="M333" s="94"/>
      <c r="N333" s="94"/>
      <c r="O333" s="93"/>
    </row>
    <row r="334" spans="1:15" x14ac:dyDescent="0.25">
      <c r="A334" s="757" t="s">
        <v>117</v>
      </c>
      <c r="B334" s="133" t="s">
        <v>23</v>
      </c>
      <c r="C334" s="94"/>
      <c r="D334" s="94"/>
      <c r="E334" s="94"/>
      <c r="F334" s="94"/>
      <c r="G334" s="94"/>
      <c r="H334" s="94"/>
      <c r="I334" s="94"/>
      <c r="J334" s="94"/>
      <c r="K334" s="94"/>
      <c r="L334" s="94"/>
      <c r="M334" s="94"/>
      <c r="N334" s="94"/>
      <c r="O334" s="93"/>
    </row>
    <row r="335" spans="1:15" x14ac:dyDescent="0.25">
      <c r="A335" s="757" t="s">
        <v>115</v>
      </c>
      <c r="B335" s="744" t="s">
        <v>1666</v>
      </c>
      <c r="C335" s="94"/>
      <c r="D335" s="94"/>
      <c r="E335" s="94"/>
      <c r="F335" s="94"/>
      <c r="G335" s="94"/>
      <c r="H335" s="94"/>
      <c r="I335" s="94"/>
      <c r="J335" s="94"/>
      <c r="K335" s="94"/>
      <c r="L335" s="94"/>
      <c r="M335" s="94"/>
      <c r="N335" s="94"/>
      <c r="O335" s="93"/>
    </row>
    <row r="336" spans="1:15" x14ac:dyDescent="0.25">
      <c r="A336" s="266"/>
      <c r="B336" s="265"/>
      <c r="C336" s="265"/>
      <c r="D336" s="265"/>
      <c r="E336" s="265"/>
      <c r="F336" s="94"/>
      <c r="G336" s="94"/>
      <c r="H336" s="94"/>
      <c r="I336" s="94"/>
      <c r="J336" s="94"/>
      <c r="K336" s="94"/>
      <c r="L336" s="94"/>
      <c r="M336" s="94"/>
      <c r="N336" s="94"/>
      <c r="O336" s="93"/>
    </row>
    <row r="337" spans="1:15" x14ac:dyDescent="0.25">
      <c r="A337" s="756" t="s">
        <v>67</v>
      </c>
      <c r="B337" s="755" t="s">
        <v>112</v>
      </c>
      <c r="C337" s="755" t="s">
        <v>66</v>
      </c>
      <c r="D337" s="755" t="s">
        <v>65</v>
      </c>
      <c r="E337" s="755" t="s">
        <v>81</v>
      </c>
      <c r="F337" s="1001" t="s">
        <v>80</v>
      </c>
      <c r="G337" s="1001" t="s">
        <v>79</v>
      </c>
      <c r="H337" s="1001" t="s">
        <v>78</v>
      </c>
      <c r="I337" s="1001" t="s">
        <v>111</v>
      </c>
      <c r="J337" s="1001" t="s">
        <v>110</v>
      </c>
      <c r="K337" s="1001" t="s">
        <v>109</v>
      </c>
      <c r="L337" s="1001" t="s">
        <v>108</v>
      </c>
      <c r="M337" s="1001" t="s">
        <v>40</v>
      </c>
      <c r="N337" s="1001" t="s">
        <v>58</v>
      </c>
      <c r="O337" s="93"/>
    </row>
    <row r="338" spans="1:15" ht="33" customHeight="1" x14ac:dyDescent="0.25">
      <c r="A338" s="1011">
        <v>10</v>
      </c>
      <c r="B338" s="1011" t="s">
        <v>1665</v>
      </c>
      <c r="C338" s="1011" t="s">
        <v>1664</v>
      </c>
      <c r="D338" s="1038">
        <v>4.2</v>
      </c>
      <c r="E338" s="1011">
        <v>25</v>
      </c>
      <c r="F338" s="1011" t="s">
        <v>68</v>
      </c>
      <c r="G338" s="1011">
        <v>25</v>
      </c>
      <c r="H338" s="1006" t="s">
        <v>68</v>
      </c>
      <c r="I338" s="1011" t="s">
        <v>1663</v>
      </c>
      <c r="J338" s="1006">
        <v>9.6000000000000002E-5</v>
      </c>
      <c r="K338" s="1006">
        <v>0.41</v>
      </c>
      <c r="L338" s="1006">
        <v>2710</v>
      </c>
      <c r="M338" s="1006">
        <v>1</v>
      </c>
      <c r="N338" s="991">
        <f>D338*J338*M338*K338*L338</f>
        <v>0.44799552000000004</v>
      </c>
      <c r="O338" s="143"/>
    </row>
    <row r="339" spans="1:15" x14ac:dyDescent="0.25">
      <c r="A339" s="98"/>
      <c r="B339" s="95"/>
      <c r="C339" s="95"/>
      <c r="D339" s="95"/>
      <c r="E339" s="95"/>
      <c r="F339" s="95"/>
      <c r="G339" s="95"/>
      <c r="H339" s="95"/>
      <c r="I339" s="95"/>
      <c r="J339" s="754"/>
      <c r="K339" s="754"/>
      <c r="L339" s="95"/>
      <c r="M339" s="990" t="s">
        <v>58</v>
      </c>
      <c r="N339" s="750">
        <f>SUM(N338:N338)</f>
        <v>0.44799552000000004</v>
      </c>
      <c r="O339" s="93"/>
    </row>
    <row r="340" spans="1:15" x14ac:dyDescent="0.25">
      <c r="A340" s="107"/>
      <c r="B340" s="94"/>
      <c r="C340" s="94"/>
      <c r="D340" s="94"/>
      <c r="E340" s="94"/>
      <c r="F340" s="94"/>
      <c r="G340" s="94"/>
      <c r="H340" s="94"/>
      <c r="I340" s="94"/>
      <c r="J340" s="94"/>
      <c r="K340" s="94"/>
      <c r="L340" s="94"/>
      <c r="M340" s="94"/>
      <c r="N340" s="94"/>
      <c r="O340" s="93"/>
    </row>
    <row r="341" spans="1:15" x14ac:dyDescent="0.25">
      <c r="A341" s="1005" t="s">
        <v>67</v>
      </c>
      <c r="B341" s="1001" t="s">
        <v>106</v>
      </c>
      <c r="C341" s="1001" t="s">
        <v>66</v>
      </c>
      <c r="D341" s="1001" t="s">
        <v>65</v>
      </c>
      <c r="E341" s="1001" t="s">
        <v>64</v>
      </c>
      <c r="F341" s="1001" t="s">
        <v>40</v>
      </c>
      <c r="G341" s="1001" t="s">
        <v>105</v>
      </c>
      <c r="H341" s="1001" t="s">
        <v>104</v>
      </c>
      <c r="I341" s="1001" t="s">
        <v>58</v>
      </c>
      <c r="J341" s="95"/>
      <c r="K341" s="95"/>
      <c r="L341" s="95"/>
      <c r="N341" s="95"/>
      <c r="O341" s="93"/>
    </row>
    <row r="342" spans="1:15" ht="30" x14ac:dyDescent="0.25">
      <c r="A342" s="1011">
        <v>10</v>
      </c>
      <c r="B342" s="951" t="s">
        <v>296</v>
      </c>
      <c r="C342" s="1011" t="s">
        <v>1662</v>
      </c>
      <c r="D342" s="1012">
        <v>0.35</v>
      </c>
      <c r="E342" s="951" t="s">
        <v>294</v>
      </c>
      <c r="F342" s="951">
        <v>42</v>
      </c>
      <c r="G342" s="1011"/>
      <c r="H342" s="1011"/>
      <c r="I342" s="1040">
        <f>IF(H342="",D342*F342,D342*F342*H342)</f>
        <v>14.7</v>
      </c>
      <c r="J342" s="142"/>
      <c r="K342" s="142"/>
      <c r="L342" s="142"/>
      <c r="M342" s="142"/>
      <c r="N342" s="142"/>
      <c r="O342" s="120"/>
    </row>
    <row r="343" spans="1:15" x14ac:dyDescent="0.25">
      <c r="A343" s="98"/>
      <c r="B343" s="95"/>
      <c r="C343" s="95"/>
      <c r="D343" s="95"/>
      <c r="E343" s="95"/>
      <c r="F343" s="95"/>
      <c r="G343" s="95"/>
      <c r="H343" s="751" t="s">
        <v>58</v>
      </c>
      <c r="I343" s="750">
        <f>SUM(I342:I342)</f>
        <v>14.7</v>
      </c>
      <c r="J343" s="95"/>
      <c r="K343" s="95"/>
      <c r="L343" s="95"/>
      <c r="M343" s="95"/>
      <c r="N343" s="95"/>
      <c r="O343" s="93"/>
    </row>
    <row r="344" spans="1:15" x14ac:dyDescent="0.25">
      <c r="A344" s="98"/>
      <c r="B344" s="95"/>
      <c r="C344" s="95"/>
      <c r="D344" s="95"/>
      <c r="E344" s="95"/>
      <c r="F344" s="95"/>
      <c r="G344" s="95"/>
      <c r="J344" s="95"/>
      <c r="K344" s="95"/>
      <c r="L344" s="95"/>
      <c r="M344" s="95"/>
      <c r="N344" s="95"/>
      <c r="O344" s="93"/>
    </row>
    <row r="345" spans="1:15" x14ac:dyDescent="0.25">
      <c r="A345" s="98"/>
      <c r="B345" s="95"/>
      <c r="C345" s="95"/>
      <c r="D345" s="95"/>
      <c r="E345" s="95"/>
      <c r="F345" s="95"/>
      <c r="G345" s="95"/>
      <c r="J345" s="95"/>
      <c r="K345" s="95"/>
      <c r="L345" s="95"/>
      <c r="M345" s="95"/>
      <c r="N345" s="95"/>
      <c r="O345" s="93"/>
    </row>
    <row r="346" spans="1:15" x14ac:dyDescent="0.25">
      <c r="A346" s="98"/>
      <c r="B346" s="95"/>
      <c r="C346" s="95"/>
      <c r="D346" s="95"/>
      <c r="E346" s="95"/>
      <c r="F346" s="95"/>
      <c r="G346" s="95"/>
      <c r="J346" s="95"/>
      <c r="K346" s="95"/>
      <c r="L346" s="95"/>
      <c r="M346" s="95"/>
      <c r="N346" s="95"/>
      <c r="O346" s="93"/>
    </row>
    <row r="347" spans="1:15" x14ac:dyDescent="0.25">
      <c r="A347" s="98"/>
      <c r="B347" s="95"/>
      <c r="C347" s="95"/>
      <c r="D347" s="95"/>
      <c r="E347" s="95"/>
      <c r="F347" s="95"/>
      <c r="G347" s="95"/>
      <c r="J347" s="95"/>
      <c r="K347" s="95"/>
      <c r="L347" s="95"/>
      <c r="M347" s="95"/>
      <c r="N347" s="95"/>
      <c r="O347" s="93"/>
    </row>
    <row r="348" spans="1:15" x14ac:dyDescent="0.25">
      <c r="A348" s="98"/>
      <c r="B348" s="95"/>
      <c r="C348" s="95"/>
      <c r="D348" s="95"/>
      <c r="E348" s="95"/>
      <c r="F348" s="95"/>
      <c r="G348" s="95"/>
      <c r="J348" s="95"/>
      <c r="K348" s="95"/>
      <c r="L348" s="95"/>
      <c r="M348" s="95"/>
      <c r="N348" s="95"/>
      <c r="O348" s="93"/>
    </row>
    <row r="349" spans="1:15" ht="15.75" thickBot="1" x14ac:dyDescent="0.3">
      <c r="A349" s="92"/>
      <c r="B349" s="91"/>
      <c r="C349" s="91"/>
      <c r="D349" s="91"/>
      <c r="E349" s="91"/>
      <c r="F349" s="91"/>
      <c r="G349" s="91"/>
      <c r="H349" s="91"/>
      <c r="I349" s="91"/>
      <c r="J349" s="91"/>
      <c r="K349" s="91"/>
      <c r="L349" s="91"/>
      <c r="M349" s="91"/>
      <c r="N349" s="91"/>
      <c r="O349" s="90"/>
    </row>
    <row r="350" spans="1:15" ht="15.75" thickBot="1" x14ac:dyDescent="0.3"/>
    <row r="351" spans="1:15" x14ac:dyDescent="0.25">
      <c r="A351" s="141"/>
      <c r="B351" s="140"/>
      <c r="C351" s="140"/>
      <c r="D351" s="140"/>
      <c r="E351" s="140"/>
      <c r="F351" s="140"/>
      <c r="G351" s="140"/>
      <c r="H351" s="140"/>
      <c r="I351" s="140"/>
      <c r="J351" s="272"/>
      <c r="K351" s="140"/>
      <c r="L351" s="140"/>
      <c r="M351" s="140"/>
      <c r="N351" s="140"/>
      <c r="O351" s="139"/>
    </row>
    <row r="352" spans="1:15" x14ac:dyDescent="0.25">
      <c r="A352" s="757" t="s">
        <v>57</v>
      </c>
      <c r="B352" s="133" t="s">
        <v>523</v>
      </c>
      <c r="C352" s="94"/>
      <c r="D352" s="94"/>
      <c r="E352" s="94"/>
      <c r="F352" s="94"/>
      <c r="G352" s="94"/>
      <c r="H352" s="94"/>
      <c r="I352" s="94"/>
      <c r="J352" s="760" t="s">
        <v>51</v>
      </c>
      <c r="K352" s="138">
        <v>81</v>
      </c>
      <c r="L352" s="94"/>
      <c r="M352" s="757" t="s">
        <v>113</v>
      </c>
      <c r="N352" s="100">
        <f>FR_04004_m+FR_04004_p</f>
        <v>11.961692159999998</v>
      </c>
      <c r="O352" s="93"/>
    </row>
    <row r="353" spans="1:15" x14ac:dyDescent="0.25">
      <c r="A353" s="757" t="s">
        <v>125</v>
      </c>
      <c r="B353" s="133" t="s">
        <v>1412</v>
      </c>
      <c r="C353" s="94"/>
      <c r="D353" s="757" t="s">
        <v>122</v>
      </c>
      <c r="E353" s="270" t="s">
        <v>522</v>
      </c>
      <c r="F353" s="94"/>
      <c r="G353" s="94"/>
      <c r="H353" s="94"/>
      <c r="I353" s="94"/>
      <c r="J353" s="94"/>
      <c r="K353" s="94"/>
      <c r="L353" s="94"/>
      <c r="M353" s="757" t="s">
        <v>124</v>
      </c>
      <c r="N353" s="136">
        <v>1</v>
      </c>
      <c r="O353" s="93"/>
    </row>
    <row r="354" spans="1:15" x14ac:dyDescent="0.25">
      <c r="A354" s="757" t="s">
        <v>123</v>
      </c>
      <c r="B354" s="270" t="str">
        <f>'FR Assemblies'!B104</f>
        <v>Pedal Assembly</v>
      </c>
      <c r="C354" s="94"/>
      <c r="D354" s="757" t="s">
        <v>119</v>
      </c>
      <c r="E354" s="94"/>
      <c r="F354" s="94"/>
      <c r="G354" s="94"/>
      <c r="H354" s="94"/>
      <c r="I354" s="94"/>
      <c r="J354" s="758" t="s">
        <v>122</v>
      </c>
      <c r="K354" s="94"/>
      <c r="L354" s="94"/>
      <c r="M354" s="94"/>
      <c r="N354" s="94"/>
      <c r="O354" s="93"/>
    </row>
    <row r="355" spans="1:15" x14ac:dyDescent="0.25">
      <c r="A355" s="757" t="s">
        <v>114</v>
      </c>
      <c r="B355" s="764" t="s">
        <v>1661</v>
      </c>
      <c r="C355" s="94"/>
      <c r="D355" s="757" t="s">
        <v>116</v>
      </c>
      <c r="E355" s="94"/>
      <c r="F355" s="94"/>
      <c r="G355" s="94"/>
      <c r="H355" s="94"/>
      <c r="I355" s="94"/>
      <c r="J355" s="758" t="s">
        <v>119</v>
      </c>
      <c r="K355" s="94"/>
      <c r="L355" s="94"/>
      <c r="M355" s="757" t="s">
        <v>118</v>
      </c>
      <c r="N355" s="100">
        <f>N353*N352</f>
        <v>11.961692159999998</v>
      </c>
      <c r="O355" s="93"/>
    </row>
    <row r="356" spans="1:15" x14ac:dyDescent="0.25">
      <c r="A356" s="757" t="s">
        <v>121</v>
      </c>
      <c r="B356" s="269" t="s">
        <v>1660</v>
      </c>
      <c r="C356" s="94"/>
      <c r="D356" s="94"/>
      <c r="E356" s="94"/>
      <c r="F356" s="94"/>
      <c r="G356" s="94"/>
      <c r="H356" s="94"/>
      <c r="I356" s="94"/>
      <c r="J356" s="758" t="s">
        <v>116</v>
      </c>
      <c r="K356" s="94"/>
      <c r="L356" s="94"/>
      <c r="M356" s="94"/>
      <c r="N356" s="94"/>
      <c r="O356" s="93"/>
    </row>
    <row r="357" spans="1:15" x14ac:dyDescent="0.25">
      <c r="A357" s="757" t="s">
        <v>117</v>
      </c>
      <c r="B357" s="133" t="s">
        <v>23</v>
      </c>
      <c r="C357" s="94"/>
      <c r="D357" s="94"/>
      <c r="E357" s="94"/>
      <c r="F357" s="94"/>
      <c r="G357" s="94"/>
      <c r="H357" s="94"/>
      <c r="I357" s="94"/>
      <c r="J357" s="94"/>
      <c r="K357" s="94"/>
      <c r="L357" s="94"/>
      <c r="M357" s="94"/>
      <c r="N357" s="94"/>
      <c r="O357" s="93"/>
    </row>
    <row r="358" spans="1:15" x14ac:dyDescent="0.25">
      <c r="A358" s="757" t="s">
        <v>115</v>
      </c>
      <c r="B358" s="744"/>
      <c r="C358" s="94"/>
      <c r="D358" s="94"/>
      <c r="E358" s="94"/>
      <c r="F358" s="94"/>
      <c r="G358" s="94"/>
      <c r="H358" s="94"/>
      <c r="I358" s="94"/>
      <c r="J358" s="94"/>
      <c r="K358" s="94"/>
      <c r="L358" s="94"/>
      <c r="M358" s="94"/>
      <c r="N358" s="94"/>
      <c r="O358" s="93"/>
    </row>
    <row r="359" spans="1:15" x14ac:dyDescent="0.25">
      <c r="A359" s="266"/>
      <c r="B359" s="265"/>
      <c r="C359" s="265"/>
      <c r="D359" s="265"/>
      <c r="E359" s="265"/>
      <c r="F359" s="94"/>
      <c r="G359" s="94"/>
      <c r="H359" s="94"/>
      <c r="I359" s="94"/>
      <c r="J359" s="94"/>
      <c r="K359" s="94"/>
      <c r="L359" s="94"/>
      <c r="M359" s="94"/>
      <c r="N359" s="94"/>
      <c r="O359" s="93"/>
    </row>
    <row r="360" spans="1:15" x14ac:dyDescent="0.25">
      <c r="A360" s="756" t="s">
        <v>67</v>
      </c>
      <c r="B360" s="755" t="s">
        <v>112</v>
      </c>
      <c r="C360" s="755" t="s">
        <v>66</v>
      </c>
      <c r="D360" s="755" t="s">
        <v>65</v>
      </c>
      <c r="E360" s="755" t="s">
        <v>81</v>
      </c>
      <c r="F360" s="1001" t="s">
        <v>80</v>
      </c>
      <c r="G360" s="1001" t="s">
        <v>79</v>
      </c>
      <c r="H360" s="1001" t="s">
        <v>78</v>
      </c>
      <c r="I360" s="1001" t="s">
        <v>111</v>
      </c>
      <c r="J360" s="1001" t="s">
        <v>110</v>
      </c>
      <c r="K360" s="1001" t="s">
        <v>109</v>
      </c>
      <c r="L360" s="1001" t="s">
        <v>108</v>
      </c>
      <c r="M360" s="1001" t="s">
        <v>40</v>
      </c>
      <c r="N360" s="1001" t="s">
        <v>58</v>
      </c>
      <c r="O360" s="93"/>
    </row>
    <row r="361" spans="1:15" ht="30" x14ac:dyDescent="0.25">
      <c r="A361" s="987">
        <v>10</v>
      </c>
      <c r="B361" s="987" t="s">
        <v>1602</v>
      </c>
      <c r="C361" s="987" t="s">
        <v>1601</v>
      </c>
      <c r="D361" s="988">
        <v>4.2</v>
      </c>
      <c r="E361" s="987">
        <v>38</v>
      </c>
      <c r="F361" s="987" t="s">
        <v>68</v>
      </c>
      <c r="G361" s="987">
        <v>24</v>
      </c>
      <c r="H361" s="1010" t="s">
        <v>68</v>
      </c>
      <c r="I361" s="996" t="s">
        <v>1659</v>
      </c>
      <c r="J361" s="1039">
        <v>9.1199999999999994E-4</v>
      </c>
      <c r="K361" s="1010">
        <v>0.24</v>
      </c>
      <c r="L361" s="1010">
        <v>2710</v>
      </c>
      <c r="M361" s="1006">
        <v>1</v>
      </c>
      <c r="N361" s="991">
        <f>D361*J361*M361*K361*L361</f>
        <v>2.4912921599999995</v>
      </c>
      <c r="O361" s="143"/>
    </row>
    <row r="362" spans="1:15" x14ac:dyDescent="0.25">
      <c r="A362" s="98"/>
      <c r="B362" s="95"/>
      <c r="C362" s="95"/>
      <c r="D362" s="95"/>
      <c r="E362" s="95"/>
      <c r="F362" s="95"/>
      <c r="G362" s="95"/>
      <c r="H362" s="95"/>
      <c r="I362" s="95"/>
      <c r="J362" s="754"/>
      <c r="K362" s="754"/>
      <c r="L362" s="95"/>
      <c r="M362" s="990" t="s">
        <v>58</v>
      </c>
      <c r="N362" s="750">
        <f>SUM(N361:N361)</f>
        <v>2.4912921599999995</v>
      </c>
      <c r="O362" s="93"/>
    </row>
    <row r="363" spans="1:15" x14ac:dyDescent="0.25">
      <c r="A363" s="107"/>
      <c r="B363" s="94"/>
      <c r="C363" s="94"/>
      <c r="D363" s="94"/>
      <c r="E363" s="94"/>
      <c r="F363" s="94"/>
      <c r="G363" s="94"/>
      <c r="H363" s="94"/>
      <c r="I363" s="94"/>
      <c r="J363" s="94"/>
      <c r="K363" s="94"/>
      <c r="L363" s="94"/>
      <c r="M363" s="94"/>
      <c r="N363" s="94"/>
      <c r="O363" s="93"/>
    </row>
    <row r="364" spans="1:15" x14ac:dyDescent="0.25">
      <c r="A364" s="1005" t="s">
        <v>67</v>
      </c>
      <c r="B364" s="1001" t="s">
        <v>106</v>
      </c>
      <c r="C364" s="1001" t="s">
        <v>66</v>
      </c>
      <c r="D364" s="1001" t="s">
        <v>65</v>
      </c>
      <c r="E364" s="1001" t="s">
        <v>64</v>
      </c>
      <c r="F364" s="1001" t="s">
        <v>40</v>
      </c>
      <c r="G364" s="1001" t="s">
        <v>105</v>
      </c>
      <c r="H364" s="1001" t="s">
        <v>104</v>
      </c>
      <c r="I364" s="1001" t="s">
        <v>58</v>
      </c>
      <c r="J364" s="95"/>
      <c r="K364" s="95"/>
      <c r="L364" s="95"/>
      <c r="M364" s="95"/>
      <c r="N364" s="95"/>
      <c r="O364" s="93"/>
    </row>
    <row r="365" spans="1:15" x14ac:dyDescent="0.25">
      <c r="A365" s="987">
        <v>10</v>
      </c>
      <c r="B365" s="778" t="s">
        <v>516</v>
      </c>
      <c r="C365" s="1011" t="s">
        <v>1577</v>
      </c>
      <c r="D365" s="1012">
        <v>1.3</v>
      </c>
      <c r="E365" s="824" t="s">
        <v>64</v>
      </c>
      <c r="F365" s="987">
        <v>1</v>
      </c>
      <c r="G365" s="987"/>
      <c r="H365" s="987"/>
      <c r="I365" s="949">
        <f t="shared" ref="I365:I370" si="3">IF(H365="",D365*F365,D365*F365*H365)</f>
        <v>1.3</v>
      </c>
      <c r="J365" s="142"/>
      <c r="K365" s="142"/>
      <c r="L365" s="142"/>
      <c r="M365" s="142"/>
      <c r="N365" s="142"/>
      <c r="O365" s="120"/>
    </row>
    <row r="366" spans="1:15" ht="30" x14ac:dyDescent="0.25">
      <c r="A366" s="987">
        <v>20</v>
      </c>
      <c r="B366" s="1011" t="s">
        <v>514</v>
      </c>
      <c r="C366" s="1011" t="s">
        <v>1658</v>
      </c>
      <c r="D366" s="1012">
        <v>0.04</v>
      </c>
      <c r="E366" s="824" t="s">
        <v>512</v>
      </c>
      <c r="F366" s="987">
        <v>151.76</v>
      </c>
      <c r="G366" s="987" t="s">
        <v>870</v>
      </c>
      <c r="H366" s="987">
        <v>1</v>
      </c>
      <c r="I366" s="949">
        <f t="shared" si="3"/>
        <v>6.0703999999999994</v>
      </c>
      <c r="J366" s="142"/>
      <c r="K366" s="142"/>
      <c r="L366" s="142"/>
      <c r="M366" s="142"/>
      <c r="N366" s="142"/>
      <c r="O366" s="120"/>
    </row>
    <row r="367" spans="1:15" x14ac:dyDescent="0.25">
      <c r="A367" s="987">
        <v>30</v>
      </c>
      <c r="B367" s="951" t="s">
        <v>296</v>
      </c>
      <c r="C367" s="1011" t="s">
        <v>1598</v>
      </c>
      <c r="D367" s="988">
        <v>0.35</v>
      </c>
      <c r="E367" s="987" t="s">
        <v>294</v>
      </c>
      <c r="F367" s="987">
        <v>1</v>
      </c>
      <c r="G367" s="987"/>
      <c r="H367" s="987"/>
      <c r="I367" s="949">
        <f t="shared" si="3"/>
        <v>0.35</v>
      </c>
      <c r="J367" s="142"/>
      <c r="K367" s="142"/>
      <c r="L367" s="142"/>
      <c r="M367" s="142"/>
      <c r="N367" s="142"/>
      <c r="O367" s="120"/>
    </row>
    <row r="368" spans="1:15" x14ac:dyDescent="0.25">
      <c r="A368" s="987">
        <v>40</v>
      </c>
      <c r="B368" s="1011" t="s">
        <v>1594</v>
      </c>
      <c r="C368" s="1011" t="s">
        <v>1593</v>
      </c>
      <c r="D368" s="988">
        <v>0.35</v>
      </c>
      <c r="E368" s="987" t="s">
        <v>294</v>
      </c>
      <c r="F368" s="987">
        <v>1</v>
      </c>
      <c r="G368" s="987"/>
      <c r="H368" s="987"/>
      <c r="I368" s="949">
        <f t="shared" si="3"/>
        <v>0.35</v>
      </c>
      <c r="J368" s="142"/>
      <c r="K368" s="142"/>
      <c r="L368" s="142"/>
      <c r="M368" s="142"/>
      <c r="N368" s="142"/>
      <c r="O368" s="120"/>
    </row>
    <row r="369" spans="1:15" x14ac:dyDescent="0.25">
      <c r="A369" s="987">
        <v>50</v>
      </c>
      <c r="B369" s="1011" t="s">
        <v>1657</v>
      </c>
      <c r="C369" s="1011" t="s">
        <v>1598</v>
      </c>
      <c r="D369" s="988">
        <v>0.35</v>
      </c>
      <c r="E369" s="987" t="s">
        <v>294</v>
      </c>
      <c r="F369" s="987">
        <v>2</v>
      </c>
      <c r="G369" s="987"/>
      <c r="H369" s="987"/>
      <c r="I369" s="949">
        <f t="shared" si="3"/>
        <v>0.7</v>
      </c>
      <c r="J369" s="142"/>
      <c r="K369" s="142"/>
      <c r="L369" s="142"/>
      <c r="M369" s="142"/>
      <c r="N369" s="142"/>
      <c r="O369" s="120"/>
    </row>
    <row r="370" spans="1:15" x14ac:dyDescent="0.25">
      <c r="A370" s="987">
        <v>60</v>
      </c>
      <c r="B370" s="1011" t="s">
        <v>1656</v>
      </c>
      <c r="C370" s="1011" t="s">
        <v>1598</v>
      </c>
      <c r="D370" s="988">
        <v>0.35</v>
      </c>
      <c r="E370" s="987" t="s">
        <v>294</v>
      </c>
      <c r="F370" s="987">
        <v>2</v>
      </c>
      <c r="G370" s="987"/>
      <c r="H370" s="987"/>
      <c r="I370" s="949">
        <f t="shared" si="3"/>
        <v>0.7</v>
      </c>
      <c r="J370" s="142"/>
      <c r="K370" s="142"/>
      <c r="L370" s="142"/>
      <c r="M370" s="142"/>
      <c r="N370" s="142"/>
      <c r="O370" s="120"/>
    </row>
    <row r="371" spans="1:15" x14ac:dyDescent="0.25">
      <c r="A371" s="98"/>
      <c r="B371" s="95"/>
      <c r="C371" s="95"/>
      <c r="D371" s="95"/>
      <c r="E371" s="95"/>
      <c r="F371" s="95"/>
      <c r="G371" s="95"/>
      <c r="H371" s="751" t="s">
        <v>58</v>
      </c>
      <c r="I371" s="750">
        <f>SUM(I365:I370)</f>
        <v>9.4703999999999979</v>
      </c>
      <c r="J371" s="95"/>
      <c r="K371" s="95"/>
      <c r="L371" s="95"/>
      <c r="M371" s="95"/>
      <c r="N371" s="95"/>
      <c r="O371" s="93"/>
    </row>
    <row r="372" spans="1:15" ht="15.75" thickBot="1" x14ac:dyDescent="0.3">
      <c r="A372" s="92"/>
      <c r="B372" s="91"/>
      <c r="C372" s="91"/>
      <c r="D372" s="91"/>
      <c r="E372" s="91"/>
      <c r="F372" s="91"/>
      <c r="G372" s="91"/>
      <c r="H372" s="91"/>
      <c r="I372" s="91"/>
      <c r="J372" s="91"/>
      <c r="K372" s="91"/>
      <c r="L372" s="91"/>
      <c r="M372" s="91"/>
      <c r="N372" s="91"/>
      <c r="O372" s="90"/>
    </row>
    <row r="373" spans="1:15" ht="15.75" thickBot="1" x14ac:dyDescent="0.3"/>
    <row r="374" spans="1:15" x14ac:dyDescent="0.25">
      <c r="A374" s="141"/>
      <c r="B374" s="140"/>
      <c r="C374" s="140"/>
      <c r="D374" s="140"/>
      <c r="E374" s="140"/>
      <c r="F374" s="140"/>
      <c r="G374" s="140"/>
      <c r="H374" s="140"/>
      <c r="I374" s="140"/>
      <c r="J374" s="272"/>
      <c r="K374" s="140"/>
      <c r="L374" s="140"/>
      <c r="M374" s="140"/>
      <c r="N374" s="140"/>
      <c r="O374" s="139"/>
    </row>
    <row r="375" spans="1:15" x14ac:dyDescent="0.25">
      <c r="A375" s="757" t="s">
        <v>57</v>
      </c>
      <c r="B375" s="133" t="s">
        <v>523</v>
      </c>
      <c r="C375" s="94"/>
      <c r="D375" s="94"/>
      <c r="E375" s="94"/>
      <c r="F375" s="94"/>
      <c r="G375" s="94"/>
      <c r="H375" s="94"/>
      <c r="I375" s="94"/>
      <c r="J375" s="760" t="s">
        <v>51</v>
      </c>
      <c r="K375" s="138">
        <v>81</v>
      </c>
      <c r="L375" s="94"/>
      <c r="M375" s="757" t="s">
        <v>113</v>
      </c>
      <c r="N375" s="100">
        <f>FR_04005_m+FR_04005_p</f>
        <v>1.4159114171956693</v>
      </c>
      <c r="O375" s="93"/>
    </row>
    <row r="376" spans="1:15" x14ac:dyDescent="0.25">
      <c r="A376" s="757" t="s">
        <v>125</v>
      </c>
      <c r="B376" s="133" t="s">
        <v>1412</v>
      </c>
      <c r="C376" s="94"/>
      <c r="D376" s="757" t="s">
        <v>122</v>
      </c>
      <c r="E376" s="94"/>
      <c r="F376" s="94"/>
      <c r="G376" s="94"/>
      <c r="H376" s="94"/>
      <c r="I376" s="94"/>
      <c r="J376" s="94"/>
      <c r="K376" s="94"/>
      <c r="L376" s="94"/>
      <c r="M376" s="757" t="s">
        <v>124</v>
      </c>
      <c r="N376" s="136">
        <v>2</v>
      </c>
      <c r="O376" s="93"/>
    </row>
    <row r="377" spans="1:15" x14ac:dyDescent="0.25">
      <c r="A377" s="757" t="s">
        <v>123</v>
      </c>
      <c r="B377" s="270" t="str">
        <f>'FR Assemblies'!B104</f>
        <v>Pedal Assembly</v>
      </c>
      <c r="C377" s="94"/>
      <c r="D377" s="757" t="s">
        <v>119</v>
      </c>
      <c r="E377" s="94"/>
      <c r="F377" s="94"/>
      <c r="G377" s="94"/>
      <c r="H377" s="94"/>
      <c r="I377" s="94"/>
      <c r="J377" s="758" t="s">
        <v>122</v>
      </c>
      <c r="K377" s="94"/>
      <c r="L377" s="94"/>
      <c r="M377" s="94"/>
      <c r="N377" s="94"/>
      <c r="O377" s="93"/>
    </row>
    <row r="378" spans="1:15" x14ac:dyDescent="0.25">
      <c r="A378" s="757" t="s">
        <v>114</v>
      </c>
      <c r="B378" s="764" t="s">
        <v>1655</v>
      </c>
      <c r="C378" s="94"/>
      <c r="D378" s="757" t="s">
        <v>116</v>
      </c>
      <c r="E378" s="94"/>
      <c r="F378" s="94"/>
      <c r="G378" s="94"/>
      <c r="H378" s="94"/>
      <c r="I378" s="94"/>
      <c r="J378" s="758" t="s">
        <v>119</v>
      </c>
      <c r="K378" s="94"/>
      <c r="L378" s="94"/>
      <c r="M378" s="757" t="s">
        <v>118</v>
      </c>
      <c r="N378" s="100">
        <f>N376*N375</f>
        <v>2.8318228343913385</v>
      </c>
      <c r="O378" s="93"/>
    </row>
    <row r="379" spans="1:15" x14ac:dyDescent="0.25">
      <c r="A379" s="757" t="s">
        <v>121</v>
      </c>
      <c r="B379" s="269" t="s">
        <v>1654</v>
      </c>
      <c r="C379" s="94"/>
      <c r="D379" s="94"/>
      <c r="E379" s="94"/>
      <c r="F379" s="94"/>
      <c r="G379" s="94"/>
      <c r="H379" s="94"/>
      <c r="I379" s="94"/>
      <c r="J379" s="758" t="s">
        <v>116</v>
      </c>
      <c r="K379" s="94"/>
      <c r="L379" s="94"/>
      <c r="M379" s="94"/>
      <c r="N379" s="94"/>
      <c r="O379" s="93"/>
    </row>
    <row r="380" spans="1:15" x14ac:dyDescent="0.25">
      <c r="A380" s="757" t="s">
        <v>117</v>
      </c>
      <c r="B380" s="133" t="s">
        <v>23</v>
      </c>
      <c r="C380" s="94"/>
      <c r="D380" s="94"/>
      <c r="E380" s="94"/>
      <c r="F380" s="94"/>
      <c r="G380" s="94"/>
      <c r="H380" s="94"/>
      <c r="I380" s="94"/>
      <c r="J380" s="94"/>
      <c r="K380" s="94"/>
      <c r="L380" s="94"/>
      <c r="M380" s="94"/>
      <c r="N380" s="94"/>
      <c r="O380" s="93"/>
    </row>
    <row r="381" spans="1:15" x14ac:dyDescent="0.25">
      <c r="A381" s="757" t="s">
        <v>115</v>
      </c>
      <c r="B381" s="744" t="s">
        <v>1653</v>
      </c>
      <c r="C381" s="94"/>
      <c r="D381" s="94"/>
      <c r="E381" s="94"/>
      <c r="F381" s="94"/>
      <c r="G381" s="94"/>
      <c r="H381" s="94"/>
      <c r="I381" s="94"/>
      <c r="J381" s="94"/>
      <c r="K381" s="94"/>
      <c r="L381" s="94"/>
      <c r="M381" s="94"/>
      <c r="N381" s="94"/>
      <c r="O381" s="93"/>
    </row>
    <row r="382" spans="1:15" x14ac:dyDescent="0.25">
      <c r="A382" s="266"/>
      <c r="B382" s="265"/>
      <c r="C382" s="265"/>
      <c r="D382" s="265"/>
      <c r="E382" s="265"/>
      <c r="F382" s="94"/>
      <c r="G382" s="94"/>
      <c r="H382" s="94"/>
      <c r="I382" s="94"/>
      <c r="J382" s="94"/>
      <c r="K382" s="94"/>
      <c r="L382" s="94"/>
      <c r="M382" s="94"/>
      <c r="N382" s="94"/>
      <c r="O382" s="93"/>
    </row>
    <row r="383" spans="1:15" x14ac:dyDescent="0.25">
      <c r="A383" s="756" t="s">
        <v>67</v>
      </c>
      <c r="B383" s="755" t="s">
        <v>112</v>
      </c>
      <c r="C383" s="755" t="s">
        <v>66</v>
      </c>
      <c r="D383" s="755" t="s">
        <v>65</v>
      </c>
      <c r="E383" s="755" t="s">
        <v>81</v>
      </c>
      <c r="F383" s="1001" t="s">
        <v>80</v>
      </c>
      <c r="G383" s="1001" t="s">
        <v>79</v>
      </c>
      <c r="H383" s="1001" t="s">
        <v>78</v>
      </c>
      <c r="I383" s="1001" t="s">
        <v>111</v>
      </c>
      <c r="J383" s="1001" t="s">
        <v>110</v>
      </c>
      <c r="K383" s="1001" t="s">
        <v>109</v>
      </c>
      <c r="L383" s="1001" t="s">
        <v>108</v>
      </c>
      <c r="M383" s="1001" t="s">
        <v>40</v>
      </c>
      <c r="N383" s="1001" t="s">
        <v>58</v>
      </c>
      <c r="O383" s="93"/>
    </row>
    <row r="384" spans="1:15" x14ac:dyDescent="0.25">
      <c r="A384" s="1011">
        <v>10</v>
      </c>
      <c r="B384" s="1011" t="s">
        <v>1589</v>
      </c>
      <c r="C384" s="1011" t="s">
        <v>1588</v>
      </c>
      <c r="D384" s="1038">
        <v>2.2000000000000002</v>
      </c>
      <c r="E384" s="1011">
        <v>25</v>
      </c>
      <c r="F384" s="1011" t="s">
        <v>68</v>
      </c>
      <c r="G384" s="1011"/>
      <c r="H384" s="1006"/>
      <c r="I384" s="1011" t="s">
        <v>1652</v>
      </c>
      <c r="J384" s="1009">
        <v>1.227184630308513E-4</v>
      </c>
      <c r="K384" s="1006">
        <v>1.2999999999999999E-2</v>
      </c>
      <c r="L384" s="1007">
        <v>2710</v>
      </c>
      <c r="M384" s="1006">
        <v>1</v>
      </c>
      <c r="N384" s="991">
        <f>D384*J384*M384*K384*L384</f>
        <v>9.5114171956691626E-3</v>
      </c>
      <c r="O384" s="143"/>
    </row>
    <row r="385" spans="1:15" x14ac:dyDescent="0.25">
      <c r="A385" s="98"/>
      <c r="B385" s="95"/>
      <c r="C385" s="95"/>
      <c r="D385" s="95"/>
      <c r="E385" s="95"/>
      <c r="F385" s="95"/>
      <c r="G385" s="95"/>
      <c r="H385" s="95"/>
      <c r="I385" s="95"/>
      <c r="J385" s="754"/>
      <c r="K385" s="754"/>
      <c r="L385" s="95"/>
      <c r="M385" s="990" t="s">
        <v>58</v>
      </c>
      <c r="N385" s="750">
        <f>SUM(N384:N384)</f>
        <v>9.5114171956691626E-3</v>
      </c>
      <c r="O385" s="93"/>
    </row>
    <row r="386" spans="1:15" x14ac:dyDescent="0.25">
      <c r="A386" s="107"/>
      <c r="B386" s="94"/>
      <c r="C386" s="94"/>
      <c r="D386" s="94"/>
      <c r="E386" s="94"/>
      <c r="F386" s="94"/>
      <c r="G386" s="94"/>
      <c r="H386" s="94"/>
      <c r="I386" s="94"/>
      <c r="J386" s="94"/>
      <c r="K386" s="94"/>
      <c r="L386" s="94"/>
      <c r="M386" s="94"/>
      <c r="N386" s="94"/>
      <c r="O386" s="93"/>
    </row>
    <row r="387" spans="1:15" x14ac:dyDescent="0.25">
      <c r="A387" s="1005" t="s">
        <v>67</v>
      </c>
      <c r="B387" s="1001" t="s">
        <v>106</v>
      </c>
      <c r="C387" s="1001" t="s">
        <v>66</v>
      </c>
      <c r="D387" s="1001" t="s">
        <v>65</v>
      </c>
      <c r="E387" s="1001" t="s">
        <v>64</v>
      </c>
      <c r="F387" s="1001" t="s">
        <v>40</v>
      </c>
      <c r="G387" s="1001" t="s">
        <v>105</v>
      </c>
      <c r="H387" s="1001" t="s">
        <v>104</v>
      </c>
      <c r="I387" s="1001" t="s">
        <v>58</v>
      </c>
      <c r="J387" s="95"/>
      <c r="K387" s="95"/>
      <c r="L387" s="95"/>
      <c r="M387" s="95"/>
      <c r="N387" s="95"/>
      <c r="O387" s="93"/>
    </row>
    <row r="388" spans="1:15" x14ac:dyDescent="0.25">
      <c r="A388" s="1011">
        <v>10</v>
      </c>
      <c r="B388" s="1037" t="s">
        <v>516</v>
      </c>
      <c r="C388" s="1011" t="s">
        <v>1577</v>
      </c>
      <c r="D388" s="1012">
        <v>1.3</v>
      </c>
      <c r="E388" s="951" t="s">
        <v>64</v>
      </c>
      <c r="F388" s="1011">
        <v>1</v>
      </c>
      <c r="G388" s="1011"/>
      <c r="H388" s="1011"/>
      <c r="I388" s="949">
        <f>IF(H388="",D388*F388,D388*F388*H388)</f>
        <v>1.3</v>
      </c>
      <c r="J388" s="142"/>
      <c r="K388" s="142"/>
      <c r="L388" s="142"/>
      <c r="M388" s="142"/>
      <c r="N388" s="142"/>
      <c r="O388" s="120"/>
    </row>
    <row r="389" spans="1:15" x14ac:dyDescent="0.25">
      <c r="A389" s="1011">
        <v>20</v>
      </c>
      <c r="B389" s="951" t="s">
        <v>296</v>
      </c>
      <c r="C389" s="1011" t="s">
        <v>1586</v>
      </c>
      <c r="D389" s="1012">
        <v>0.04</v>
      </c>
      <c r="E389" s="951" t="s">
        <v>512</v>
      </c>
      <c r="F389" s="951">
        <v>2</v>
      </c>
      <c r="G389" s="1011" t="s">
        <v>1585</v>
      </c>
      <c r="H389" s="1011">
        <v>1.33</v>
      </c>
      <c r="I389" s="949">
        <f>IF(H389="",D389*F389,D389*F389*H389)</f>
        <v>0.10640000000000001</v>
      </c>
      <c r="J389" s="142"/>
      <c r="K389" s="142"/>
      <c r="L389" s="142"/>
      <c r="M389" s="142"/>
      <c r="N389" s="142"/>
      <c r="O389" s="120"/>
    </row>
    <row r="390" spans="1:15" x14ac:dyDescent="0.25">
      <c r="A390" s="98"/>
      <c r="B390" s="95"/>
      <c r="C390" s="95"/>
      <c r="D390" s="95"/>
      <c r="E390" s="95"/>
      <c r="F390" s="95"/>
      <c r="G390" s="95"/>
      <c r="H390" s="751" t="s">
        <v>58</v>
      </c>
      <c r="I390" s="750">
        <f>SUM(I388:I389)</f>
        <v>1.4064000000000001</v>
      </c>
      <c r="J390" s="95"/>
      <c r="K390" s="95"/>
      <c r="L390" s="95"/>
      <c r="M390" s="95"/>
      <c r="N390" s="95"/>
      <c r="O390" s="93"/>
    </row>
    <row r="391" spans="1:15" ht="15.75" thickBot="1" x14ac:dyDescent="0.3">
      <c r="A391" s="92"/>
      <c r="B391" s="91"/>
      <c r="C391" s="91"/>
      <c r="D391" s="91"/>
      <c r="E391" s="91"/>
      <c r="F391" s="91"/>
      <c r="G391" s="91"/>
      <c r="H391" s="91"/>
      <c r="I391" s="91"/>
      <c r="J391" s="91"/>
      <c r="K391" s="91"/>
      <c r="L391" s="91"/>
      <c r="M391" s="91"/>
      <c r="N391" s="91"/>
      <c r="O391" s="90"/>
    </row>
    <row r="392" spans="1:15" ht="15.75" thickBot="1" x14ac:dyDescent="0.3"/>
    <row r="393" spans="1:15" x14ac:dyDescent="0.25">
      <c r="A393" s="141"/>
      <c r="B393" s="140"/>
      <c r="C393" s="140"/>
      <c r="D393" s="140"/>
      <c r="E393" s="140"/>
      <c r="F393" s="140"/>
      <c r="G393" s="140"/>
      <c r="H393" s="140"/>
      <c r="I393" s="140"/>
      <c r="J393" s="272"/>
      <c r="K393" s="140"/>
      <c r="L393" s="140"/>
      <c r="M393" s="140"/>
      <c r="N393" s="140"/>
      <c r="O393" s="139"/>
    </row>
    <row r="394" spans="1:15" x14ac:dyDescent="0.25">
      <c r="A394" s="757" t="s">
        <v>57</v>
      </c>
      <c r="B394" s="133" t="s">
        <v>523</v>
      </c>
      <c r="C394" s="94"/>
      <c r="D394" s="94"/>
      <c r="E394" s="94"/>
      <c r="F394" s="94"/>
      <c r="G394" s="94"/>
      <c r="H394" s="94"/>
      <c r="I394" s="94"/>
      <c r="J394" s="760" t="s">
        <v>51</v>
      </c>
      <c r="K394" s="138">
        <v>81</v>
      </c>
      <c r="L394" s="94"/>
      <c r="M394" s="757" t="s">
        <v>113</v>
      </c>
      <c r="N394" s="100">
        <f>FR_04006_m+FR_04006_p</f>
        <v>1.8584537669601673</v>
      </c>
      <c r="O394" s="93"/>
    </row>
    <row r="395" spans="1:15" x14ac:dyDescent="0.25">
      <c r="A395" s="757" t="s">
        <v>125</v>
      </c>
      <c r="B395" s="133" t="s">
        <v>1412</v>
      </c>
      <c r="C395" s="94"/>
      <c r="D395" s="757" t="s">
        <v>122</v>
      </c>
      <c r="E395" s="94"/>
      <c r="F395" s="94"/>
      <c r="G395" s="94"/>
      <c r="H395" s="94"/>
      <c r="I395" s="94"/>
      <c r="J395" s="94"/>
      <c r="K395" s="94"/>
      <c r="L395" s="94"/>
      <c r="M395" s="757" t="s">
        <v>124</v>
      </c>
      <c r="N395" s="136">
        <v>2</v>
      </c>
      <c r="O395" s="93"/>
    </row>
    <row r="396" spans="1:15" x14ac:dyDescent="0.25">
      <c r="A396" s="757" t="s">
        <v>123</v>
      </c>
      <c r="B396" s="270" t="str">
        <f>'FR Assemblies'!B104</f>
        <v>Pedal Assembly</v>
      </c>
      <c r="C396" s="94"/>
      <c r="D396" s="757" t="s">
        <v>119</v>
      </c>
      <c r="E396" s="94"/>
      <c r="F396" s="94"/>
      <c r="G396" s="94"/>
      <c r="H396" s="94"/>
      <c r="I396" s="94"/>
      <c r="J396" s="758" t="s">
        <v>122</v>
      </c>
      <c r="K396" s="94"/>
      <c r="L396" s="94"/>
      <c r="M396" s="94"/>
      <c r="N396" s="94"/>
      <c r="O396" s="93"/>
    </row>
    <row r="397" spans="1:15" x14ac:dyDescent="0.25">
      <c r="A397" s="757" t="s">
        <v>114</v>
      </c>
      <c r="B397" s="764" t="s">
        <v>1651</v>
      </c>
      <c r="C397" s="94"/>
      <c r="D397" s="757" t="s">
        <v>116</v>
      </c>
      <c r="E397" s="94"/>
      <c r="F397" s="94"/>
      <c r="G397" s="94"/>
      <c r="H397" s="94"/>
      <c r="I397" s="94"/>
      <c r="J397" s="758" t="s">
        <v>119</v>
      </c>
      <c r="K397" s="94"/>
      <c r="L397" s="94"/>
      <c r="M397" s="757" t="s">
        <v>118</v>
      </c>
      <c r="N397" s="100">
        <f>N395*N394</f>
        <v>3.7169075339203346</v>
      </c>
      <c r="O397" s="93"/>
    </row>
    <row r="398" spans="1:15" x14ac:dyDescent="0.25">
      <c r="A398" s="757" t="s">
        <v>121</v>
      </c>
      <c r="B398" s="269" t="s">
        <v>1650</v>
      </c>
      <c r="C398" s="94"/>
      <c r="D398" s="94"/>
      <c r="E398" s="94"/>
      <c r="F398" s="94"/>
      <c r="G398" s="94"/>
      <c r="H398" s="94"/>
      <c r="I398" s="94"/>
      <c r="J398" s="758" t="s">
        <v>116</v>
      </c>
      <c r="K398" s="94"/>
      <c r="L398" s="94"/>
      <c r="M398" s="94"/>
      <c r="N398" s="94"/>
      <c r="O398" s="93"/>
    </row>
    <row r="399" spans="1:15" x14ac:dyDescent="0.25">
      <c r="A399" s="757" t="s">
        <v>117</v>
      </c>
      <c r="B399" s="133" t="s">
        <v>23</v>
      </c>
      <c r="C399" s="94"/>
      <c r="D399" s="94"/>
      <c r="E399" s="94"/>
      <c r="F399" s="94"/>
      <c r="G399" s="94"/>
      <c r="H399" s="94"/>
      <c r="I399" s="94"/>
      <c r="J399" s="94"/>
      <c r="K399" s="94"/>
      <c r="L399" s="94"/>
      <c r="M399" s="94"/>
      <c r="N399" s="94"/>
      <c r="O399" s="93"/>
    </row>
    <row r="400" spans="1:15" x14ac:dyDescent="0.25">
      <c r="A400" s="757" t="s">
        <v>115</v>
      </c>
      <c r="B400" s="744" t="s">
        <v>1649</v>
      </c>
      <c r="C400" s="94"/>
      <c r="D400" s="94"/>
      <c r="E400" s="94"/>
      <c r="F400" s="94"/>
      <c r="G400" s="94"/>
      <c r="H400" s="94"/>
      <c r="I400" s="94"/>
      <c r="J400" s="94"/>
      <c r="K400" s="94"/>
      <c r="L400" s="94"/>
      <c r="M400" s="94"/>
      <c r="N400" s="94"/>
      <c r="O400" s="93"/>
    </row>
    <row r="401" spans="1:15" x14ac:dyDescent="0.25">
      <c r="A401" s="266"/>
      <c r="B401" s="265"/>
      <c r="C401" s="265"/>
      <c r="D401" s="265"/>
      <c r="E401" s="265"/>
      <c r="F401" s="94"/>
      <c r="G401" s="94"/>
      <c r="H401" s="94"/>
      <c r="I401" s="94"/>
      <c r="J401" s="94"/>
      <c r="K401" s="94"/>
      <c r="L401" s="94"/>
      <c r="M401" s="94"/>
      <c r="N401" s="94"/>
      <c r="O401" s="93"/>
    </row>
    <row r="402" spans="1:15" x14ac:dyDescent="0.25">
      <c r="A402" s="756" t="s">
        <v>67</v>
      </c>
      <c r="B402" s="755" t="s">
        <v>112</v>
      </c>
      <c r="C402" s="755" t="s">
        <v>66</v>
      </c>
      <c r="D402" s="755" t="s">
        <v>65</v>
      </c>
      <c r="E402" s="755" t="s">
        <v>81</v>
      </c>
      <c r="F402" s="1001" t="s">
        <v>80</v>
      </c>
      <c r="G402" s="1001" t="s">
        <v>79</v>
      </c>
      <c r="H402" s="1001" t="s">
        <v>78</v>
      </c>
      <c r="I402" s="1001" t="s">
        <v>111</v>
      </c>
      <c r="J402" s="1001" t="s">
        <v>110</v>
      </c>
      <c r="K402" s="1001" t="s">
        <v>109</v>
      </c>
      <c r="L402" s="1001" t="s">
        <v>108</v>
      </c>
      <c r="M402" s="1001" t="s">
        <v>40</v>
      </c>
      <c r="N402" s="1001" t="s">
        <v>58</v>
      </c>
      <c r="O402" s="93"/>
    </row>
    <row r="403" spans="1:15" ht="32.25" customHeight="1" x14ac:dyDescent="0.25">
      <c r="A403" s="987">
        <v>10</v>
      </c>
      <c r="B403" s="987" t="s">
        <v>583</v>
      </c>
      <c r="C403" s="987"/>
      <c r="D403" s="988">
        <v>2.25</v>
      </c>
      <c r="E403" s="987">
        <v>13</v>
      </c>
      <c r="F403" s="987" t="s">
        <v>68</v>
      </c>
      <c r="G403" s="987"/>
      <c r="H403" s="1010"/>
      <c r="I403" s="996" t="s">
        <v>1648</v>
      </c>
      <c r="J403" s="1009">
        <v>1.3273228961416879E-4</v>
      </c>
      <c r="K403" s="1010">
        <v>2.8000000000000001E-2</v>
      </c>
      <c r="L403" s="1010">
        <v>7860</v>
      </c>
      <c r="M403" s="1006">
        <v>1</v>
      </c>
      <c r="N403" s="991">
        <f>D403*J403*M403*K403*L403</f>
        <v>6.5726375171144102E-2</v>
      </c>
      <c r="O403" s="143"/>
    </row>
    <row r="404" spans="1:15" x14ac:dyDescent="0.25">
      <c r="A404" s="98"/>
      <c r="B404" s="95"/>
      <c r="C404" s="95"/>
      <c r="D404" s="95"/>
      <c r="E404" s="95"/>
      <c r="F404" s="95"/>
      <c r="G404" s="95"/>
      <c r="H404" s="95"/>
      <c r="I404" s="95"/>
      <c r="J404" s="754"/>
      <c r="K404" s="754"/>
      <c r="L404" s="95"/>
      <c r="M404" s="990" t="s">
        <v>58</v>
      </c>
      <c r="N404" s="750">
        <f>SUM(N403:N403)</f>
        <v>6.5726375171144102E-2</v>
      </c>
      <c r="O404" s="93"/>
    </row>
    <row r="405" spans="1:15" x14ac:dyDescent="0.25">
      <c r="A405" s="107"/>
      <c r="B405" s="94"/>
      <c r="C405" s="94"/>
      <c r="D405" s="94"/>
      <c r="E405" s="94"/>
      <c r="F405" s="94"/>
      <c r="G405" s="94"/>
      <c r="H405" s="94"/>
      <c r="I405" s="94"/>
      <c r="J405" s="94"/>
      <c r="K405" s="94"/>
      <c r="L405" s="94"/>
      <c r="M405" s="94"/>
      <c r="N405" s="94"/>
      <c r="O405" s="93"/>
    </row>
    <row r="406" spans="1:15" x14ac:dyDescent="0.25">
      <c r="A406" s="1005" t="s">
        <v>67</v>
      </c>
      <c r="B406" s="1001" t="s">
        <v>106</v>
      </c>
      <c r="C406" s="1001" t="s">
        <v>66</v>
      </c>
      <c r="D406" s="1001" t="s">
        <v>65</v>
      </c>
      <c r="E406" s="1001" t="s">
        <v>64</v>
      </c>
      <c r="F406" s="1001" t="s">
        <v>40</v>
      </c>
      <c r="G406" s="1001" t="s">
        <v>105</v>
      </c>
      <c r="H406" s="1001" t="s">
        <v>104</v>
      </c>
      <c r="I406" s="1001" t="s">
        <v>58</v>
      </c>
      <c r="J406" s="95"/>
      <c r="K406" s="95"/>
      <c r="L406" s="95"/>
      <c r="M406" s="95"/>
      <c r="N406" s="95"/>
      <c r="O406" s="93"/>
    </row>
    <row r="407" spans="1:15" x14ac:dyDescent="0.25">
      <c r="A407" s="987">
        <v>10</v>
      </c>
      <c r="B407" s="1011" t="s">
        <v>1614</v>
      </c>
      <c r="C407" s="1011" t="s">
        <v>1577</v>
      </c>
      <c r="D407" s="988">
        <v>1.3</v>
      </c>
      <c r="E407" s="987" t="s">
        <v>64</v>
      </c>
      <c r="F407" s="987">
        <v>1</v>
      </c>
      <c r="G407" s="987"/>
      <c r="H407" s="987"/>
      <c r="I407" s="949">
        <f>IF(H407="",D407*F407,D407*F407*H407)</f>
        <v>1.3</v>
      </c>
      <c r="J407" s="142"/>
      <c r="K407" s="142"/>
      <c r="L407" s="142"/>
      <c r="M407" s="142"/>
      <c r="N407" s="142"/>
      <c r="O407" s="120"/>
    </row>
    <row r="408" spans="1:15" ht="16.5" customHeight="1" x14ac:dyDescent="0.25">
      <c r="A408" s="987">
        <v>20</v>
      </c>
      <c r="B408" s="1011" t="s">
        <v>514</v>
      </c>
      <c r="C408" s="1011" t="s">
        <v>1647</v>
      </c>
      <c r="D408" s="988">
        <v>0.04</v>
      </c>
      <c r="E408" s="987" t="s">
        <v>512</v>
      </c>
      <c r="F408" s="1034">
        <v>4.10606159824186</v>
      </c>
      <c r="G408" s="951" t="s">
        <v>724</v>
      </c>
      <c r="H408" s="987">
        <v>3</v>
      </c>
      <c r="I408" s="949">
        <f>IF(H408="",D408*F408,D408*F408*H408)</f>
        <v>0.49272739178902319</v>
      </c>
      <c r="J408" s="142"/>
      <c r="K408" s="142"/>
      <c r="L408" s="142"/>
      <c r="M408" s="142"/>
      <c r="N408" s="142"/>
      <c r="O408" s="120"/>
    </row>
    <row r="409" spans="1:15" x14ac:dyDescent="0.25">
      <c r="A409" s="98"/>
      <c r="B409" s="95"/>
      <c r="C409" s="95"/>
      <c r="D409" s="95"/>
      <c r="E409" s="95"/>
      <c r="F409" s="95"/>
      <c r="G409" s="95"/>
      <c r="H409" s="751" t="s">
        <v>58</v>
      </c>
      <c r="I409" s="750">
        <f>SUM(I407:I408)</f>
        <v>1.7927273917890232</v>
      </c>
      <c r="J409" s="95"/>
      <c r="K409" s="95"/>
      <c r="L409" s="95"/>
      <c r="M409" s="95"/>
      <c r="N409" s="95"/>
      <c r="O409" s="93"/>
    </row>
    <row r="410" spans="1:15" ht="15.75" thickBot="1" x14ac:dyDescent="0.3">
      <c r="A410" s="92"/>
      <c r="B410" s="91"/>
      <c r="C410" s="91"/>
      <c r="D410" s="91"/>
      <c r="E410" s="91"/>
      <c r="F410" s="91"/>
      <c r="G410" s="91"/>
      <c r="H410" s="91"/>
      <c r="I410" s="91"/>
      <c r="J410" s="91"/>
      <c r="K410" s="91"/>
      <c r="L410" s="91"/>
      <c r="M410" s="91"/>
      <c r="N410" s="91"/>
      <c r="O410" s="90"/>
    </row>
    <row r="411" spans="1:15" ht="15.75" thickBot="1" x14ac:dyDescent="0.3"/>
    <row r="412" spans="1:15" x14ac:dyDescent="0.25">
      <c r="A412" s="141"/>
      <c r="B412" s="140"/>
      <c r="C412" s="140"/>
      <c r="D412" s="140"/>
      <c r="E412" s="140"/>
      <c r="F412" s="140"/>
      <c r="G412" s="140"/>
      <c r="H412" s="140"/>
      <c r="I412" s="140"/>
      <c r="J412" s="272"/>
      <c r="K412" s="140"/>
      <c r="L412" s="140"/>
      <c r="M412" s="140"/>
      <c r="N412" s="140"/>
      <c r="O412" s="139"/>
    </row>
    <row r="413" spans="1:15" x14ac:dyDescent="0.25">
      <c r="A413" s="757" t="s">
        <v>57</v>
      </c>
      <c r="B413" s="133" t="s">
        <v>523</v>
      </c>
      <c r="C413" s="94"/>
      <c r="D413" s="94"/>
      <c r="E413" s="94"/>
      <c r="F413" s="94"/>
      <c r="G413" s="94"/>
      <c r="H413" s="94"/>
      <c r="I413" s="94"/>
      <c r="J413" s="760" t="s">
        <v>51</v>
      </c>
      <c r="K413" s="138">
        <v>81</v>
      </c>
      <c r="L413" s="94"/>
      <c r="M413" s="757" t="s">
        <v>113</v>
      </c>
      <c r="N413" s="100">
        <f>FR_04007_m+FR_04007_p</f>
        <v>4.4701679759999999</v>
      </c>
      <c r="O413" s="93"/>
    </row>
    <row r="414" spans="1:15" x14ac:dyDescent="0.25">
      <c r="A414" s="757" t="s">
        <v>125</v>
      </c>
      <c r="B414" s="133" t="s">
        <v>1412</v>
      </c>
      <c r="C414" s="94"/>
      <c r="D414" s="757" t="s">
        <v>122</v>
      </c>
      <c r="E414" s="270" t="s">
        <v>522</v>
      </c>
      <c r="F414" s="94"/>
      <c r="G414" s="94"/>
      <c r="H414" s="94"/>
      <c r="I414" s="94"/>
      <c r="J414" s="94"/>
      <c r="K414" s="94"/>
      <c r="L414" s="94"/>
      <c r="M414" s="757" t="s">
        <v>124</v>
      </c>
      <c r="N414" s="136">
        <v>1</v>
      </c>
      <c r="O414" s="93"/>
    </row>
    <row r="415" spans="1:15" x14ac:dyDescent="0.25">
      <c r="A415" s="757" t="s">
        <v>123</v>
      </c>
      <c r="B415" s="270" t="str">
        <f>'FR Assemblies'!B104</f>
        <v>Pedal Assembly</v>
      </c>
      <c r="C415" s="94"/>
      <c r="D415" s="757" t="s">
        <v>119</v>
      </c>
      <c r="E415" s="94"/>
      <c r="F415" s="94"/>
      <c r="G415" s="94"/>
      <c r="H415" s="94"/>
      <c r="I415" s="94"/>
      <c r="J415" s="758" t="s">
        <v>122</v>
      </c>
      <c r="K415" s="94"/>
      <c r="L415" s="94"/>
      <c r="M415" s="94"/>
      <c r="N415" s="94"/>
      <c r="O415" s="93"/>
    </row>
    <row r="416" spans="1:15" x14ac:dyDescent="0.25">
      <c r="A416" s="757" t="s">
        <v>114</v>
      </c>
      <c r="B416" s="764" t="s">
        <v>1646</v>
      </c>
      <c r="C416" s="94"/>
      <c r="D416" s="757" t="s">
        <v>116</v>
      </c>
      <c r="E416" s="94"/>
      <c r="F416" s="94"/>
      <c r="G416" s="94"/>
      <c r="H416" s="94"/>
      <c r="I416" s="94"/>
      <c r="J416" s="758" t="s">
        <v>119</v>
      </c>
      <c r="K416" s="94"/>
      <c r="L416" s="94"/>
      <c r="M416" s="757" t="s">
        <v>118</v>
      </c>
      <c r="N416" s="100">
        <f>N414*N413</f>
        <v>4.4701679759999999</v>
      </c>
      <c r="O416" s="93"/>
    </row>
    <row r="417" spans="1:15" x14ac:dyDescent="0.25">
      <c r="A417" s="757" t="s">
        <v>121</v>
      </c>
      <c r="B417" s="269" t="s">
        <v>1645</v>
      </c>
      <c r="C417" s="94"/>
      <c r="D417" s="94"/>
      <c r="E417" s="94"/>
      <c r="F417" s="94"/>
      <c r="G417" s="94"/>
      <c r="H417" s="94"/>
      <c r="I417" s="94"/>
      <c r="J417" s="758" t="s">
        <v>116</v>
      </c>
      <c r="K417" s="94"/>
      <c r="L417" s="94"/>
      <c r="M417" s="94"/>
      <c r="N417" s="94"/>
      <c r="O417" s="93"/>
    </row>
    <row r="418" spans="1:15" x14ac:dyDescent="0.25">
      <c r="A418" s="757" t="s">
        <v>117</v>
      </c>
      <c r="B418" s="133" t="s">
        <v>23</v>
      </c>
      <c r="C418" s="94"/>
      <c r="D418" s="94"/>
      <c r="E418" s="94"/>
      <c r="F418" s="94"/>
      <c r="G418" s="94"/>
      <c r="H418" s="94"/>
      <c r="I418" s="94"/>
      <c r="J418" s="94"/>
      <c r="K418" s="94"/>
      <c r="L418" s="94"/>
      <c r="M418" s="94"/>
      <c r="N418" s="94"/>
      <c r="O418" s="93"/>
    </row>
    <row r="419" spans="1:15" x14ac:dyDescent="0.25">
      <c r="A419" s="757" t="s">
        <v>115</v>
      </c>
      <c r="B419" s="744"/>
      <c r="C419" s="94"/>
      <c r="D419" s="94"/>
      <c r="E419" s="94"/>
      <c r="F419" s="94"/>
      <c r="G419" s="94"/>
      <c r="H419" s="94"/>
      <c r="I419" s="94"/>
      <c r="J419" s="94"/>
      <c r="K419" s="94"/>
      <c r="L419" s="94"/>
      <c r="M419" s="94"/>
      <c r="N419" s="94"/>
      <c r="O419" s="93"/>
    </row>
    <row r="420" spans="1:15" x14ac:dyDescent="0.25">
      <c r="A420" s="266"/>
      <c r="B420" s="265"/>
      <c r="C420" s="265"/>
      <c r="D420" s="265"/>
      <c r="E420" s="265"/>
      <c r="F420" s="94"/>
      <c r="G420" s="94"/>
      <c r="H420" s="94"/>
      <c r="I420" s="94"/>
      <c r="J420" s="94"/>
      <c r="K420" s="94"/>
      <c r="L420" s="94"/>
      <c r="M420" s="94"/>
      <c r="N420" s="94"/>
      <c r="O420" s="93"/>
    </row>
    <row r="421" spans="1:15" x14ac:dyDescent="0.25">
      <c r="A421" s="756" t="s">
        <v>67</v>
      </c>
      <c r="B421" s="755" t="s">
        <v>112</v>
      </c>
      <c r="C421" s="755" t="s">
        <v>66</v>
      </c>
      <c r="D421" s="755" t="s">
        <v>65</v>
      </c>
      <c r="E421" s="755" t="s">
        <v>81</v>
      </c>
      <c r="F421" s="1001" t="s">
        <v>80</v>
      </c>
      <c r="G421" s="1001" t="s">
        <v>79</v>
      </c>
      <c r="H421" s="1001" t="s">
        <v>78</v>
      </c>
      <c r="I421" s="1001" t="s">
        <v>111</v>
      </c>
      <c r="J421" s="1001" t="s">
        <v>110</v>
      </c>
      <c r="K421" s="1001" t="s">
        <v>109</v>
      </c>
      <c r="L421" s="1001" t="s">
        <v>108</v>
      </c>
      <c r="M421" s="1001" t="s">
        <v>40</v>
      </c>
      <c r="N421" s="1001" t="s">
        <v>58</v>
      </c>
      <c r="O421" s="93"/>
    </row>
    <row r="422" spans="1:15" ht="31.5" customHeight="1" x14ac:dyDescent="0.25">
      <c r="A422" s="987">
        <v>10</v>
      </c>
      <c r="B422" s="987" t="s">
        <v>1602</v>
      </c>
      <c r="C422" s="987" t="s">
        <v>682</v>
      </c>
      <c r="D422" s="988">
        <v>4.2</v>
      </c>
      <c r="E422" s="987">
        <v>36</v>
      </c>
      <c r="F422" s="987" t="s">
        <v>68</v>
      </c>
      <c r="G422" s="987">
        <v>23</v>
      </c>
      <c r="H422" s="1010" t="s">
        <v>68</v>
      </c>
      <c r="I422" s="996" t="s">
        <v>1644</v>
      </c>
      <c r="J422" s="1009">
        <v>8.2799999999999996E-4</v>
      </c>
      <c r="K422" s="1006">
        <v>8.1000000000000003E-2</v>
      </c>
      <c r="L422" s="1010">
        <v>2710</v>
      </c>
      <c r="M422" s="1006">
        <v>1</v>
      </c>
      <c r="N422" s="991">
        <f>D422*J422*M422*K422*L422</f>
        <v>0.76336797599999995</v>
      </c>
      <c r="O422" s="143"/>
    </row>
    <row r="423" spans="1:15" x14ac:dyDescent="0.25">
      <c r="A423" s="98"/>
      <c r="B423" s="95"/>
      <c r="C423" s="95"/>
      <c r="D423" s="95"/>
      <c r="E423" s="95"/>
      <c r="F423" s="95"/>
      <c r="G423" s="95"/>
      <c r="H423" s="95"/>
      <c r="I423" s="95"/>
      <c r="J423" s="754"/>
      <c r="K423" s="754"/>
      <c r="L423" s="95"/>
      <c r="M423" s="990" t="s">
        <v>58</v>
      </c>
      <c r="N423" s="750">
        <f>SUM(N422:N422)</f>
        <v>0.76336797599999995</v>
      </c>
      <c r="O423" s="93"/>
    </row>
    <row r="424" spans="1:15" x14ac:dyDescent="0.25">
      <c r="A424" s="107"/>
      <c r="B424" s="94"/>
      <c r="C424" s="94"/>
      <c r="D424" s="94"/>
      <c r="E424" s="94"/>
      <c r="F424" s="94"/>
      <c r="G424" s="94"/>
      <c r="H424" s="94"/>
      <c r="I424" s="94"/>
      <c r="J424" s="94"/>
      <c r="K424" s="94"/>
      <c r="L424" s="94"/>
      <c r="M424" s="94"/>
      <c r="N424" s="94"/>
      <c r="O424" s="93"/>
    </row>
    <row r="425" spans="1:15" x14ac:dyDescent="0.25">
      <c r="A425" s="1005" t="s">
        <v>67</v>
      </c>
      <c r="B425" s="1001" t="s">
        <v>106</v>
      </c>
      <c r="C425" s="1001" t="s">
        <v>66</v>
      </c>
      <c r="D425" s="1001" t="s">
        <v>65</v>
      </c>
      <c r="E425" s="1001" t="s">
        <v>64</v>
      </c>
      <c r="F425" s="1001" t="s">
        <v>40</v>
      </c>
      <c r="G425" s="1001" t="s">
        <v>105</v>
      </c>
      <c r="H425" s="1001" t="s">
        <v>104</v>
      </c>
      <c r="I425" s="1001" t="s">
        <v>58</v>
      </c>
      <c r="J425" s="95"/>
      <c r="K425" s="95"/>
      <c r="L425" s="95"/>
      <c r="M425" s="95"/>
      <c r="N425" s="95"/>
      <c r="O425" s="93"/>
    </row>
    <row r="426" spans="1:15" x14ac:dyDescent="0.25">
      <c r="A426" s="987">
        <v>10</v>
      </c>
      <c r="B426" s="1011" t="s">
        <v>1614</v>
      </c>
      <c r="C426" s="1011" t="s">
        <v>1577</v>
      </c>
      <c r="D426" s="988">
        <v>1.3</v>
      </c>
      <c r="E426" s="987" t="s">
        <v>64</v>
      </c>
      <c r="F426" s="987">
        <v>1</v>
      </c>
      <c r="G426" s="987"/>
      <c r="H426" s="987"/>
      <c r="I426" s="949">
        <f>IF(H426="",D426*F426,D426*F426*H426)</f>
        <v>1.3</v>
      </c>
      <c r="J426" s="142"/>
      <c r="K426" s="142"/>
      <c r="L426" s="142"/>
      <c r="M426" s="142"/>
      <c r="N426" s="142"/>
      <c r="O426" s="120"/>
    </row>
    <row r="427" spans="1:15" ht="30" x14ac:dyDescent="0.25">
      <c r="A427" s="987">
        <v>20</v>
      </c>
      <c r="B427" s="1011" t="s">
        <v>514</v>
      </c>
      <c r="C427" s="1011" t="s">
        <v>1613</v>
      </c>
      <c r="D427" s="1035">
        <v>0.04</v>
      </c>
      <c r="E427" s="824" t="s">
        <v>512</v>
      </c>
      <c r="F427" s="987">
        <v>33</v>
      </c>
      <c r="G427" s="987" t="s">
        <v>870</v>
      </c>
      <c r="H427" s="987">
        <v>1</v>
      </c>
      <c r="I427" s="949">
        <f>IF(H427="",D427*F427,D427*F427*H427)</f>
        <v>1.32</v>
      </c>
      <c r="J427" s="142"/>
      <c r="K427" s="142"/>
      <c r="L427" s="142"/>
      <c r="M427" s="142"/>
      <c r="N427" s="142"/>
      <c r="O427" s="120"/>
    </row>
    <row r="428" spans="1:15" x14ac:dyDescent="0.25">
      <c r="A428" s="987">
        <v>30</v>
      </c>
      <c r="B428" s="1036" t="s">
        <v>822</v>
      </c>
      <c r="C428" s="1011" t="s">
        <v>1643</v>
      </c>
      <c r="D428" s="988">
        <v>0.65</v>
      </c>
      <c r="E428" s="987" t="s">
        <v>64</v>
      </c>
      <c r="F428" s="987">
        <v>1</v>
      </c>
      <c r="G428" s="987"/>
      <c r="H428" s="987"/>
      <c r="I428" s="949">
        <f>IF(H428="",D428*F428,D428*F428*H428)</f>
        <v>0.65</v>
      </c>
      <c r="J428" s="142"/>
      <c r="K428" s="142"/>
      <c r="L428" s="142"/>
      <c r="M428" s="142"/>
      <c r="N428" s="142"/>
      <c r="O428" s="120"/>
    </row>
    <row r="429" spans="1:15" ht="30" x14ac:dyDescent="0.25">
      <c r="A429" s="1004">
        <v>40</v>
      </c>
      <c r="B429" s="983" t="s">
        <v>514</v>
      </c>
      <c r="C429" s="983" t="s">
        <v>1642</v>
      </c>
      <c r="D429" s="984">
        <v>0.04</v>
      </c>
      <c r="E429" s="983" t="s">
        <v>512</v>
      </c>
      <c r="F429" s="983">
        <v>10.92</v>
      </c>
      <c r="G429" s="983" t="s">
        <v>870</v>
      </c>
      <c r="H429" s="983">
        <v>1</v>
      </c>
      <c r="I429" s="949">
        <f>IF(H429="",D429*F429,D429*F429*H429)</f>
        <v>0.43680000000000002</v>
      </c>
      <c r="J429" s="142"/>
      <c r="K429" s="142"/>
      <c r="L429" s="142"/>
      <c r="M429" s="142"/>
      <c r="N429" s="142"/>
      <c r="O429" s="120"/>
    </row>
    <row r="430" spans="1:15" x14ac:dyDescent="0.25">
      <c r="A430" s="98"/>
      <c r="B430" s="95"/>
      <c r="C430" s="95"/>
      <c r="D430" s="95"/>
      <c r="E430" s="95"/>
      <c r="F430" s="95"/>
      <c r="G430" s="95"/>
      <c r="H430" s="751" t="s">
        <v>58</v>
      </c>
      <c r="I430" s="750">
        <f>SUM(I426:I429)</f>
        <v>3.7067999999999999</v>
      </c>
      <c r="J430" s="95"/>
      <c r="K430" s="95"/>
      <c r="L430" s="95"/>
      <c r="M430" s="95"/>
      <c r="N430" s="95"/>
      <c r="O430" s="93"/>
    </row>
    <row r="431" spans="1:15" ht="15.75" thickBot="1" x14ac:dyDescent="0.3">
      <c r="A431" s="92"/>
      <c r="B431" s="91"/>
      <c r="C431" s="91"/>
      <c r="D431" s="91"/>
      <c r="E431" s="91"/>
      <c r="F431" s="91"/>
      <c r="G431" s="91"/>
      <c r="H431" s="91"/>
      <c r="I431" s="91"/>
      <c r="J431" s="91"/>
      <c r="K431" s="91"/>
      <c r="L431" s="91"/>
      <c r="M431" s="91"/>
      <c r="N431" s="91"/>
      <c r="O431" s="90"/>
    </row>
    <row r="432" spans="1:15" ht="15.75" thickBot="1" x14ac:dyDescent="0.3"/>
    <row r="433" spans="1:15" x14ac:dyDescent="0.25">
      <c r="A433" s="141"/>
      <c r="B433" s="140"/>
      <c r="C433" s="140"/>
      <c r="D433" s="140"/>
      <c r="E433" s="140"/>
      <c r="F433" s="140"/>
      <c r="G433" s="140"/>
      <c r="H433" s="140"/>
      <c r="I433" s="140"/>
      <c r="J433" s="272"/>
      <c r="K433" s="140"/>
      <c r="L433" s="140"/>
      <c r="M433" s="140"/>
      <c r="N433" s="140"/>
      <c r="O433" s="139"/>
    </row>
    <row r="434" spans="1:15" x14ac:dyDescent="0.25">
      <c r="A434" s="757" t="s">
        <v>57</v>
      </c>
      <c r="B434" s="133" t="s">
        <v>523</v>
      </c>
      <c r="C434" s="94"/>
      <c r="D434" s="94"/>
      <c r="E434" s="94"/>
      <c r="F434" s="94"/>
      <c r="G434" s="94"/>
      <c r="H434" s="94"/>
      <c r="I434" s="94"/>
      <c r="J434" s="760" t="s">
        <v>51</v>
      </c>
      <c r="K434" s="138">
        <v>81</v>
      </c>
      <c r="L434" s="94"/>
      <c r="M434" s="757" t="s">
        <v>113</v>
      </c>
      <c r="N434" s="100">
        <f>FR_04008_m+FR_04008_p</f>
        <v>1.3250303253082114</v>
      </c>
      <c r="O434" s="93"/>
    </row>
    <row r="435" spans="1:15" x14ac:dyDescent="0.25">
      <c r="A435" s="757" t="s">
        <v>125</v>
      </c>
      <c r="B435" s="133" t="s">
        <v>1412</v>
      </c>
      <c r="C435" s="94"/>
      <c r="D435" s="757" t="s">
        <v>122</v>
      </c>
      <c r="E435" s="270" t="s">
        <v>522</v>
      </c>
      <c r="F435" s="94"/>
      <c r="G435" s="94"/>
      <c r="H435" s="94"/>
      <c r="I435" s="94"/>
      <c r="J435" s="94"/>
      <c r="K435" s="94"/>
      <c r="L435" s="94"/>
      <c r="M435" s="757" t="s">
        <v>124</v>
      </c>
      <c r="N435" s="136">
        <v>2</v>
      </c>
      <c r="O435" s="93"/>
    </row>
    <row r="436" spans="1:15" x14ac:dyDescent="0.25">
      <c r="A436" s="757" t="s">
        <v>123</v>
      </c>
      <c r="B436" s="270" t="str">
        <f>'FR Assemblies'!B104</f>
        <v>Pedal Assembly</v>
      </c>
      <c r="C436" s="94"/>
      <c r="D436" s="757" t="s">
        <v>119</v>
      </c>
      <c r="E436" s="94"/>
      <c r="F436" s="94"/>
      <c r="G436" s="94"/>
      <c r="H436" s="94"/>
      <c r="I436" s="94"/>
      <c r="J436" s="758" t="s">
        <v>122</v>
      </c>
      <c r="K436" s="94"/>
      <c r="L436" s="94"/>
      <c r="M436" s="94"/>
      <c r="N436" s="94"/>
      <c r="O436" s="93"/>
    </row>
    <row r="437" spans="1:15" x14ac:dyDescent="0.25">
      <c r="A437" s="757" t="s">
        <v>114</v>
      </c>
      <c r="B437" s="764" t="s">
        <v>1641</v>
      </c>
      <c r="C437" s="94"/>
      <c r="D437" s="757" t="s">
        <v>116</v>
      </c>
      <c r="E437" s="94"/>
      <c r="F437" s="94"/>
      <c r="G437" s="94"/>
      <c r="H437" s="94"/>
      <c r="I437" s="94"/>
      <c r="J437" s="758" t="s">
        <v>119</v>
      </c>
      <c r="K437" s="94"/>
      <c r="L437" s="94"/>
      <c r="M437" s="757" t="s">
        <v>118</v>
      </c>
      <c r="N437" s="100">
        <f>N435*N434</f>
        <v>2.6500606506164228</v>
      </c>
      <c r="O437" s="93"/>
    </row>
    <row r="438" spans="1:15" x14ac:dyDescent="0.25">
      <c r="A438" s="757" t="s">
        <v>121</v>
      </c>
      <c r="B438" s="269" t="s">
        <v>1640</v>
      </c>
      <c r="C438" s="94"/>
      <c r="D438" s="94"/>
      <c r="E438" s="94"/>
      <c r="F438" s="94"/>
      <c r="G438" s="94"/>
      <c r="H438" s="94"/>
      <c r="I438" s="94"/>
      <c r="J438" s="758" t="s">
        <v>116</v>
      </c>
      <c r="K438" s="94"/>
      <c r="L438" s="94"/>
      <c r="M438" s="94"/>
      <c r="N438" s="94"/>
      <c r="O438" s="93"/>
    </row>
    <row r="439" spans="1:15" x14ac:dyDescent="0.25">
      <c r="A439" s="757" t="s">
        <v>117</v>
      </c>
      <c r="B439" s="133" t="s">
        <v>23</v>
      </c>
      <c r="C439" s="94"/>
      <c r="D439" s="94"/>
      <c r="E439" s="94"/>
      <c r="F439" s="94"/>
      <c r="G439" s="94"/>
      <c r="H439" s="94"/>
      <c r="I439" s="94"/>
      <c r="J439" s="94"/>
      <c r="K439" s="94"/>
      <c r="L439" s="94"/>
      <c r="M439" s="94"/>
      <c r="N439" s="94"/>
      <c r="O439" s="93"/>
    </row>
    <row r="440" spans="1:15" x14ac:dyDescent="0.25">
      <c r="A440" s="757" t="s">
        <v>115</v>
      </c>
      <c r="B440" s="744"/>
      <c r="C440" s="94"/>
      <c r="D440" s="94"/>
      <c r="E440" s="94"/>
      <c r="F440" s="94"/>
      <c r="G440" s="94"/>
      <c r="H440" s="94"/>
      <c r="I440" s="94"/>
      <c r="J440" s="94"/>
      <c r="K440" s="94"/>
      <c r="L440" s="94"/>
      <c r="M440" s="94"/>
      <c r="N440" s="94"/>
      <c r="O440" s="93"/>
    </row>
    <row r="441" spans="1:15" x14ac:dyDescent="0.25">
      <c r="A441" s="266"/>
      <c r="B441" s="265"/>
      <c r="C441" s="265"/>
      <c r="D441" s="265"/>
      <c r="E441" s="265"/>
      <c r="F441" s="94"/>
      <c r="G441" s="94"/>
      <c r="H441" s="94"/>
      <c r="I441" s="94"/>
      <c r="J441" s="94"/>
      <c r="K441" s="94"/>
      <c r="L441" s="94"/>
      <c r="M441" s="94"/>
      <c r="N441" s="94"/>
      <c r="O441" s="93"/>
    </row>
    <row r="442" spans="1:15" x14ac:dyDescent="0.25">
      <c r="A442" s="756" t="s">
        <v>67</v>
      </c>
      <c r="B442" s="755" t="s">
        <v>112</v>
      </c>
      <c r="C442" s="755" t="s">
        <v>66</v>
      </c>
      <c r="D442" s="755" t="s">
        <v>65</v>
      </c>
      <c r="E442" s="755" t="s">
        <v>81</v>
      </c>
      <c r="F442" s="1001" t="s">
        <v>80</v>
      </c>
      <c r="G442" s="1001" t="s">
        <v>79</v>
      </c>
      <c r="H442" s="1001" t="s">
        <v>78</v>
      </c>
      <c r="I442" s="1001" t="s">
        <v>111</v>
      </c>
      <c r="J442" s="1001" t="s">
        <v>110</v>
      </c>
      <c r="K442" s="1001" t="s">
        <v>109</v>
      </c>
      <c r="L442" s="1001" t="s">
        <v>108</v>
      </c>
      <c r="M442" s="1001" t="s">
        <v>40</v>
      </c>
      <c r="N442" s="1001" t="s">
        <v>58</v>
      </c>
      <c r="O442" s="93"/>
    </row>
    <row r="443" spans="1:15" ht="17.25" customHeight="1" x14ac:dyDescent="0.25">
      <c r="A443" s="987">
        <v>10</v>
      </c>
      <c r="B443" s="987" t="s">
        <v>1602</v>
      </c>
      <c r="C443" s="987" t="s">
        <v>1639</v>
      </c>
      <c r="D443" s="988">
        <v>4.2</v>
      </c>
      <c r="E443" s="987">
        <v>5</v>
      </c>
      <c r="F443" s="987" t="s">
        <v>68</v>
      </c>
      <c r="G443" s="987">
        <v>2</v>
      </c>
      <c r="H443" s="1010" t="s">
        <v>68</v>
      </c>
      <c r="I443" s="996" t="s">
        <v>1638</v>
      </c>
      <c r="J443" s="1009">
        <v>7.8539816339744827E-5</v>
      </c>
      <c r="K443" s="1010">
        <v>2.8000000000000001E-2</v>
      </c>
      <c r="L443" s="1010">
        <v>2710</v>
      </c>
      <c r="M443" s="1006">
        <v>1</v>
      </c>
      <c r="N443" s="991">
        <f>D443*J443*M443*K443*L443</f>
        <v>2.503032530821132E-2</v>
      </c>
      <c r="O443" s="143"/>
    </row>
    <row r="444" spans="1:15" x14ac:dyDescent="0.25">
      <c r="A444" s="98"/>
      <c r="B444" s="95"/>
      <c r="C444" s="95"/>
      <c r="D444" s="95"/>
      <c r="E444" s="95"/>
      <c r="F444" s="95"/>
      <c r="G444" s="95"/>
      <c r="H444" s="95"/>
      <c r="I444" s="95"/>
      <c r="J444" s="754"/>
      <c r="K444" s="754"/>
      <c r="L444" s="95"/>
      <c r="M444" s="990" t="s">
        <v>58</v>
      </c>
      <c r="N444" s="750">
        <f>SUM(N443:N443)</f>
        <v>2.503032530821132E-2</v>
      </c>
      <c r="O444" s="93"/>
    </row>
    <row r="445" spans="1:15" x14ac:dyDescent="0.25">
      <c r="A445" s="107"/>
      <c r="B445" s="94"/>
      <c r="C445" s="94"/>
      <c r="D445" s="94"/>
      <c r="E445" s="94"/>
      <c r="F445" s="94"/>
      <c r="G445" s="94"/>
      <c r="H445" s="94"/>
      <c r="I445" s="94"/>
      <c r="J445" s="94"/>
      <c r="K445" s="94"/>
      <c r="L445" s="94"/>
      <c r="M445" s="94"/>
      <c r="N445" s="94"/>
      <c r="O445" s="93"/>
    </row>
    <row r="446" spans="1:15" x14ac:dyDescent="0.25">
      <c r="A446" s="1005" t="s">
        <v>67</v>
      </c>
      <c r="B446" s="776" t="s">
        <v>106</v>
      </c>
      <c r="C446" s="1001" t="s">
        <v>66</v>
      </c>
      <c r="D446" s="1001" t="s">
        <v>65</v>
      </c>
      <c r="E446" s="1001" t="s">
        <v>64</v>
      </c>
      <c r="F446" s="1001" t="s">
        <v>40</v>
      </c>
      <c r="G446" s="1001" t="s">
        <v>105</v>
      </c>
      <c r="H446" s="1001" t="s">
        <v>104</v>
      </c>
      <c r="I446" s="1001" t="s">
        <v>58</v>
      </c>
      <c r="J446" s="95"/>
      <c r="K446" s="95"/>
      <c r="L446" s="95"/>
      <c r="M446" s="95"/>
      <c r="N446" s="95"/>
      <c r="O446" s="93"/>
    </row>
    <row r="447" spans="1:15" x14ac:dyDescent="0.25">
      <c r="A447" s="987">
        <v>10</v>
      </c>
      <c r="B447" s="1011" t="s">
        <v>1614</v>
      </c>
      <c r="C447" s="1011" t="s">
        <v>1577</v>
      </c>
      <c r="D447" s="988">
        <v>1.3</v>
      </c>
      <c r="E447" s="987" t="s">
        <v>64</v>
      </c>
      <c r="F447" s="987">
        <v>1</v>
      </c>
      <c r="G447" s="987"/>
      <c r="H447" s="987"/>
      <c r="I447" s="949">
        <f>IF(H447="",D447*F447,D447*F447*H447)</f>
        <v>1.3</v>
      </c>
      <c r="J447" s="142"/>
      <c r="K447" s="142"/>
      <c r="L447" s="142"/>
      <c r="M447" s="142"/>
      <c r="N447" s="142"/>
      <c r="O447" s="120"/>
    </row>
    <row r="448" spans="1:15" x14ac:dyDescent="0.25">
      <c r="A448" s="98"/>
      <c r="B448" s="95"/>
      <c r="C448" s="95"/>
      <c r="D448" s="95"/>
      <c r="E448" s="95"/>
      <c r="F448" s="95"/>
      <c r="G448" s="95"/>
      <c r="H448" s="751" t="s">
        <v>58</v>
      </c>
      <c r="I448" s="750">
        <f>SUM(I447:I447)</f>
        <v>1.3</v>
      </c>
      <c r="J448" s="95"/>
      <c r="K448" s="95"/>
      <c r="L448" s="95"/>
      <c r="M448" s="95"/>
      <c r="N448" s="95"/>
      <c r="O448" s="93"/>
    </row>
    <row r="449" spans="1:15" ht="15.75" thickBot="1" x14ac:dyDescent="0.3">
      <c r="A449" s="92"/>
      <c r="B449" s="91"/>
      <c r="C449" s="91"/>
      <c r="D449" s="91"/>
      <c r="E449" s="91"/>
      <c r="F449" s="91"/>
      <c r="G449" s="91"/>
      <c r="H449" s="91"/>
      <c r="I449" s="91"/>
      <c r="J449" s="91"/>
      <c r="K449" s="91"/>
      <c r="L449" s="91"/>
      <c r="M449" s="91"/>
      <c r="N449" s="91"/>
      <c r="O449" s="90"/>
    </row>
    <row r="450" spans="1:15" ht="15.75" thickBot="1" x14ac:dyDescent="0.3"/>
    <row r="451" spans="1:15" x14ac:dyDescent="0.25">
      <c r="A451" s="141"/>
      <c r="B451" s="140"/>
      <c r="C451" s="140"/>
      <c r="D451" s="140"/>
      <c r="E451" s="140"/>
      <c r="F451" s="140"/>
      <c r="G451" s="140"/>
      <c r="H451" s="140"/>
      <c r="I451" s="140"/>
      <c r="J451" s="272"/>
      <c r="K451" s="140"/>
      <c r="L451" s="140"/>
      <c r="M451" s="140"/>
      <c r="N451" s="140"/>
      <c r="O451" s="139"/>
    </row>
    <row r="452" spans="1:15" x14ac:dyDescent="0.25">
      <c r="A452" s="757" t="s">
        <v>57</v>
      </c>
      <c r="B452" s="133" t="s">
        <v>523</v>
      </c>
      <c r="C452" s="94"/>
      <c r="D452" s="94"/>
      <c r="E452" s="94"/>
      <c r="F452" s="94"/>
      <c r="G452" s="94"/>
      <c r="H452" s="94"/>
      <c r="I452" s="94"/>
      <c r="J452" s="760" t="s">
        <v>51</v>
      </c>
      <c r="K452" s="138">
        <v>81</v>
      </c>
      <c r="L452" s="94"/>
      <c r="M452" s="757" t="s">
        <v>113</v>
      </c>
      <c r="N452" s="100">
        <f>FR_04009_m+FR_04009_p</f>
        <v>1.8344585000000002</v>
      </c>
      <c r="O452" s="93"/>
    </row>
    <row r="453" spans="1:15" x14ac:dyDescent="0.25">
      <c r="A453" s="757" t="s">
        <v>125</v>
      </c>
      <c r="B453" s="133" t="s">
        <v>1412</v>
      </c>
      <c r="C453" s="94"/>
      <c r="D453" s="757" t="s">
        <v>122</v>
      </c>
      <c r="E453" s="270" t="s">
        <v>522</v>
      </c>
      <c r="F453" s="94"/>
      <c r="G453" s="94"/>
      <c r="H453" s="94"/>
      <c r="I453" s="94"/>
      <c r="J453" s="94"/>
      <c r="K453" s="94"/>
      <c r="L453" s="94"/>
      <c r="M453" s="757" t="s">
        <v>124</v>
      </c>
      <c r="N453" s="136">
        <v>1</v>
      </c>
      <c r="O453" s="93"/>
    </row>
    <row r="454" spans="1:15" x14ac:dyDescent="0.25">
      <c r="A454" s="757" t="s">
        <v>123</v>
      </c>
      <c r="B454" s="270" t="str">
        <f>'FR Assemblies'!B104</f>
        <v>Pedal Assembly</v>
      </c>
      <c r="C454" s="94"/>
      <c r="D454" s="757" t="s">
        <v>119</v>
      </c>
      <c r="E454" s="94"/>
      <c r="F454" s="94"/>
      <c r="G454" s="94"/>
      <c r="H454" s="94"/>
      <c r="I454" s="94"/>
      <c r="J454" s="758" t="s">
        <v>122</v>
      </c>
      <c r="K454" s="94"/>
      <c r="L454" s="94"/>
      <c r="M454" s="94"/>
      <c r="N454" s="94"/>
      <c r="O454" s="93"/>
    </row>
    <row r="455" spans="1:15" x14ac:dyDescent="0.25">
      <c r="A455" s="757" t="s">
        <v>114</v>
      </c>
      <c r="B455" s="764" t="s">
        <v>1637</v>
      </c>
      <c r="C455" s="94"/>
      <c r="D455" s="757" t="s">
        <v>116</v>
      </c>
      <c r="E455" s="94"/>
      <c r="F455" s="94"/>
      <c r="G455" s="94"/>
      <c r="H455" s="94"/>
      <c r="I455" s="94"/>
      <c r="J455" s="758" t="s">
        <v>119</v>
      </c>
      <c r="K455" s="94"/>
      <c r="L455" s="94"/>
      <c r="M455" s="757" t="s">
        <v>118</v>
      </c>
      <c r="N455" s="100">
        <f>N453*N452</f>
        <v>1.8344585000000002</v>
      </c>
      <c r="O455" s="93"/>
    </row>
    <row r="456" spans="1:15" x14ac:dyDescent="0.25">
      <c r="A456" s="757" t="s">
        <v>121</v>
      </c>
      <c r="B456" s="269" t="s">
        <v>1636</v>
      </c>
      <c r="C456" s="94"/>
      <c r="D456" s="94"/>
      <c r="E456" s="94"/>
      <c r="F456" s="94"/>
      <c r="G456" s="94"/>
      <c r="H456" s="94"/>
      <c r="I456" s="94"/>
      <c r="J456" s="758" t="s">
        <v>116</v>
      </c>
      <c r="K456" s="94"/>
      <c r="L456" s="94"/>
      <c r="M456" s="94"/>
      <c r="N456" s="94"/>
      <c r="O456" s="93"/>
    </row>
    <row r="457" spans="1:15" x14ac:dyDescent="0.25">
      <c r="A457" s="757" t="s">
        <v>117</v>
      </c>
      <c r="B457" s="133" t="s">
        <v>23</v>
      </c>
      <c r="C457" s="94"/>
      <c r="D457" s="94"/>
      <c r="E457" s="94"/>
      <c r="F457" s="94"/>
      <c r="G457" s="94"/>
      <c r="H457" s="94"/>
      <c r="I457" s="94"/>
      <c r="J457" s="94"/>
      <c r="K457" s="94"/>
      <c r="L457" s="94"/>
      <c r="M457" s="94"/>
      <c r="N457" s="94"/>
      <c r="O457" s="93"/>
    </row>
    <row r="458" spans="1:15" x14ac:dyDescent="0.25">
      <c r="A458" s="757" t="s">
        <v>115</v>
      </c>
      <c r="B458" s="744"/>
      <c r="C458" s="94"/>
      <c r="D458" s="94"/>
      <c r="E458" s="94"/>
      <c r="F458" s="94"/>
      <c r="G458" s="94"/>
      <c r="H458" s="94"/>
      <c r="I458" s="94"/>
      <c r="J458" s="94"/>
      <c r="K458" s="94"/>
      <c r="L458" s="94"/>
      <c r="M458" s="94"/>
      <c r="N458" s="94"/>
      <c r="O458" s="93"/>
    </row>
    <row r="459" spans="1:15" x14ac:dyDescent="0.25">
      <c r="A459" s="266"/>
      <c r="B459" s="265"/>
      <c r="C459" s="265"/>
      <c r="D459" s="265"/>
      <c r="E459" s="265"/>
      <c r="F459" s="94"/>
      <c r="G459" s="94"/>
      <c r="H459" s="94"/>
      <c r="I459" s="94"/>
      <c r="J459" s="94"/>
      <c r="K459" s="94"/>
      <c r="L459" s="94"/>
      <c r="M459" s="94"/>
      <c r="N459" s="94"/>
      <c r="O459" s="93"/>
    </row>
    <row r="460" spans="1:15" x14ac:dyDescent="0.25">
      <c r="A460" s="756" t="s">
        <v>67</v>
      </c>
      <c r="B460" s="755" t="s">
        <v>112</v>
      </c>
      <c r="C460" s="755" t="s">
        <v>66</v>
      </c>
      <c r="D460" s="755" t="s">
        <v>65</v>
      </c>
      <c r="E460" s="755" t="s">
        <v>81</v>
      </c>
      <c r="F460" s="1001" t="s">
        <v>80</v>
      </c>
      <c r="G460" s="1001" t="s">
        <v>79</v>
      </c>
      <c r="H460" s="1001" t="s">
        <v>78</v>
      </c>
      <c r="I460" s="1001" t="s">
        <v>111</v>
      </c>
      <c r="J460" s="1001" t="s">
        <v>110</v>
      </c>
      <c r="K460" s="1001" t="s">
        <v>109</v>
      </c>
      <c r="L460" s="1001" t="s">
        <v>108</v>
      </c>
      <c r="M460" s="1001" t="s">
        <v>40</v>
      </c>
      <c r="N460" s="1001" t="s">
        <v>58</v>
      </c>
      <c r="O460" s="93"/>
    </row>
    <row r="461" spans="1:15" ht="33" customHeight="1" x14ac:dyDescent="0.25">
      <c r="A461" s="987">
        <v>10</v>
      </c>
      <c r="B461" s="987" t="s">
        <v>1602</v>
      </c>
      <c r="C461" s="987" t="s">
        <v>682</v>
      </c>
      <c r="D461" s="988">
        <v>25</v>
      </c>
      <c r="E461" s="987">
        <v>19</v>
      </c>
      <c r="F461" s="987" t="s">
        <v>68</v>
      </c>
      <c r="G461" s="987">
        <v>34</v>
      </c>
      <c r="H461" s="1010" t="s">
        <v>68</v>
      </c>
      <c r="I461" s="996" t="s">
        <v>1635</v>
      </c>
      <c r="J461" s="1009">
        <v>6.4599999999999998E-4</v>
      </c>
      <c r="K461" s="1006">
        <v>8.9999999999999993E-3</v>
      </c>
      <c r="L461" s="1010">
        <v>2710</v>
      </c>
      <c r="M461" s="1006">
        <v>1</v>
      </c>
      <c r="N461" s="991">
        <f>D461*J461*M461*K461*L461</f>
        <v>0.39389850000000004</v>
      </c>
      <c r="O461" s="143"/>
    </row>
    <row r="462" spans="1:15" x14ac:dyDescent="0.25">
      <c r="A462" s="98"/>
      <c r="B462" s="95"/>
      <c r="C462" s="95"/>
      <c r="D462" s="95"/>
      <c r="E462" s="95"/>
      <c r="F462" s="95"/>
      <c r="G462" s="95"/>
      <c r="H462" s="95"/>
      <c r="I462" s="95"/>
      <c r="J462" s="754"/>
      <c r="K462" s="754"/>
      <c r="L462" s="95"/>
      <c r="M462" s="990" t="s">
        <v>58</v>
      </c>
      <c r="N462" s="750">
        <f>SUM(N461:N461)</f>
        <v>0.39389850000000004</v>
      </c>
      <c r="O462" s="93"/>
    </row>
    <row r="463" spans="1:15" x14ac:dyDescent="0.25">
      <c r="A463" s="107"/>
      <c r="B463" s="94"/>
      <c r="C463" s="94"/>
      <c r="D463" s="94"/>
      <c r="E463" s="94"/>
      <c r="F463" s="94"/>
      <c r="G463" s="94"/>
      <c r="H463" s="94"/>
      <c r="I463" s="94"/>
      <c r="J463" s="94"/>
      <c r="K463" s="94"/>
      <c r="L463" s="94"/>
      <c r="M463" s="94"/>
      <c r="N463" s="94"/>
      <c r="O463" s="93"/>
    </row>
    <row r="464" spans="1:15" x14ac:dyDescent="0.25">
      <c r="A464" s="1005" t="s">
        <v>67</v>
      </c>
      <c r="B464" s="776" t="s">
        <v>106</v>
      </c>
      <c r="C464" s="1001" t="s">
        <v>66</v>
      </c>
      <c r="D464" s="1001" t="s">
        <v>65</v>
      </c>
      <c r="E464" s="1001" t="s">
        <v>64</v>
      </c>
      <c r="F464" s="1001" t="s">
        <v>40</v>
      </c>
      <c r="G464" s="1001" t="s">
        <v>105</v>
      </c>
      <c r="H464" s="1001" t="s">
        <v>104</v>
      </c>
      <c r="I464" s="1001" t="s">
        <v>58</v>
      </c>
      <c r="J464" s="95"/>
      <c r="K464" s="95"/>
      <c r="L464" s="95"/>
      <c r="M464" s="95"/>
      <c r="N464" s="95"/>
      <c r="O464" s="93"/>
    </row>
    <row r="465" spans="1:15" x14ac:dyDescent="0.25">
      <c r="A465" s="987">
        <v>10</v>
      </c>
      <c r="B465" s="1011" t="s">
        <v>1614</v>
      </c>
      <c r="C465" s="1011" t="s">
        <v>1577</v>
      </c>
      <c r="D465" s="988">
        <v>1.3</v>
      </c>
      <c r="E465" s="987" t="s">
        <v>64</v>
      </c>
      <c r="F465" s="987">
        <v>1</v>
      </c>
      <c r="G465" s="987"/>
      <c r="H465" s="987"/>
      <c r="I465" s="949">
        <f>IF(H465="",D465*F465,D465*F465*H465)</f>
        <v>1.3</v>
      </c>
      <c r="J465" s="142"/>
      <c r="K465" s="142"/>
      <c r="L465" s="142"/>
      <c r="M465" s="142"/>
      <c r="N465" s="142"/>
      <c r="O465" s="120"/>
    </row>
    <row r="466" spans="1:15" ht="30" x14ac:dyDescent="0.25">
      <c r="A466" s="987">
        <v>20</v>
      </c>
      <c r="B466" s="1011" t="s">
        <v>514</v>
      </c>
      <c r="C466" s="1011" t="s">
        <v>1613</v>
      </c>
      <c r="D466" s="1035">
        <v>0.04</v>
      </c>
      <c r="E466" s="824" t="s">
        <v>512</v>
      </c>
      <c r="F466" s="1034">
        <v>3.5140000000000002</v>
      </c>
      <c r="G466" s="987" t="s">
        <v>870</v>
      </c>
      <c r="H466" s="987">
        <v>1</v>
      </c>
      <c r="I466" s="949">
        <f>IF(H466="",D466*F466,D466*F466*H466)</f>
        <v>0.14056000000000002</v>
      </c>
      <c r="J466" s="142"/>
      <c r="K466" s="142"/>
      <c r="L466" s="142"/>
      <c r="M466" s="142"/>
      <c r="N466" s="142"/>
      <c r="O466" s="120"/>
    </row>
    <row r="467" spans="1:15" x14ac:dyDescent="0.25">
      <c r="A467" s="98"/>
      <c r="B467" s="95"/>
      <c r="C467" s="95"/>
      <c r="D467" s="95"/>
      <c r="E467" s="95"/>
      <c r="F467" s="95"/>
      <c r="G467" s="95"/>
      <c r="H467" s="751" t="s">
        <v>58</v>
      </c>
      <c r="I467" s="750">
        <f>SUM(I465:I466)</f>
        <v>1.4405600000000001</v>
      </c>
      <c r="J467" s="95"/>
      <c r="K467" s="95"/>
      <c r="L467" s="95"/>
      <c r="M467" s="95"/>
      <c r="N467" s="95"/>
      <c r="O467" s="93"/>
    </row>
    <row r="468" spans="1:15" ht="15.75" thickBot="1" x14ac:dyDescent="0.3">
      <c r="A468" s="92"/>
      <c r="B468" s="91"/>
      <c r="C468" s="91"/>
      <c r="D468" s="91"/>
      <c r="E468" s="91"/>
      <c r="F468" s="91"/>
      <c r="G468" s="91"/>
      <c r="H468" s="91"/>
      <c r="I468" s="91"/>
      <c r="J468" s="91"/>
      <c r="K468" s="91"/>
      <c r="L468" s="91"/>
      <c r="M468" s="91"/>
      <c r="N468" s="91"/>
      <c r="O468" s="90"/>
    </row>
    <row r="469" spans="1:15" ht="15.75" thickBot="1" x14ac:dyDescent="0.3"/>
    <row r="470" spans="1:15" x14ac:dyDescent="0.25">
      <c r="A470" s="141"/>
      <c r="B470" s="140"/>
      <c r="C470" s="140"/>
      <c r="D470" s="140"/>
      <c r="E470" s="140"/>
      <c r="F470" s="140"/>
      <c r="G470" s="140"/>
      <c r="H470" s="140"/>
      <c r="I470" s="140"/>
      <c r="J470" s="272"/>
      <c r="K470" s="140"/>
      <c r="L470" s="140"/>
      <c r="M470" s="140"/>
      <c r="N470" s="140"/>
      <c r="O470" s="139"/>
    </row>
    <row r="471" spans="1:15" x14ac:dyDescent="0.25">
      <c r="A471" s="757" t="s">
        <v>57</v>
      </c>
      <c r="B471" s="133" t="s">
        <v>523</v>
      </c>
      <c r="C471" s="94"/>
      <c r="D471" s="94"/>
      <c r="E471" s="94"/>
      <c r="F471" s="94"/>
      <c r="G471" s="94"/>
      <c r="H471" s="94"/>
      <c r="I471" s="94"/>
      <c r="J471" s="760" t="s">
        <v>51</v>
      </c>
      <c r="K471" s="138">
        <v>81</v>
      </c>
      <c r="L471" s="94"/>
      <c r="M471" s="757" t="s">
        <v>113</v>
      </c>
      <c r="N471" s="100">
        <f>FR_04010_m+FR_04010_p</f>
        <v>3.2236863999999996</v>
      </c>
      <c r="O471" s="93"/>
    </row>
    <row r="472" spans="1:15" x14ac:dyDescent="0.25">
      <c r="A472" s="757" t="s">
        <v>125</v>
      </c>
      <c r="B472" s="133" t="s">
        <v>1412</v>
      </c>
      <c r="C472" s="94"/>
      <c r="D472" s="757" t="s">
        <v>122</v>
      </c>
      <c r="E472" s="270" t="s">
        <v>522</v>
      </c>
      <c r="F472" s="94"/>
      <c r="G472" s="94"/>
      <c r="H472" s="94"/>
      <c r="I472" s="94"/>
      <c r="J472" s="94"/>
      <c r="K472" s="94"/>
      <c r="L472" s="94"/>
      <c r="M472" s="757" t="s">
        <v>124</v>
      </c>
      <c r="N472" s="136">
        <v>1</v>
      </c>
      <c r="O472" s="93"/>
    </row>
    <row r="473" spans="1:15" x14ac:dyDescent="0.25">
      <c r="A473" s="757" t="s">
        <v>123</v>
      </c>
      <c r="B473" s="270" t="str">
        <f>'FR Assemblies'!B104</f>
        <v>Pedal Assembly</v>
      </c>
      <c r="C473" s="94"/>
      <c r="D473" s="757" t="s">
        <v>119</v>
      </c>
      <c r="E473" s="94"/>
      <c r="F473" s="94"/>
      <c r="G473" s="94"/>
      <c r="H473" s="94"/>
      <c r="I473" s="94"/>
      <c r="J473" s="758" t="s">
        <v>122</v>
      </c>
      <c r="K473" s="94"/>
      <c r="L473" s="94"/>
      <c r="M473" s="94"/>
      <c r="N473" s="94"/>
      <c r="O473" s="93"/>
    </row>
    <row r="474" spans="1:15" x14ac:dyDescent="0.25">
      <c r="A474" s="757" t="s">
        <v>114</v>
      </c>
      <c r="B474" s="764" t="s">
        <v>1634</v>
      </c>
      <c r="C474" s="94"/>
      <c r="D474" s="757" t="s">
        <v>116</v>
      </c>
      <c r="E474" s="94"/>
      <c r="F474" s="94"/>
      <c r="G474" s="94"/>
      <c r="H474" s="94"/>
      <c r="I474" s="94"/>
      <c r="J474" s="758" t="s">
        <v>119</v>
      </c>
      <c r="K474" s="94"/>
      <c r="L474" s="94"/>
      <c r="M474" s="757" t="s">
        <v>118</v>
      </c>
      <c r="N474" s="100">
        <f>N472*N471</f>
        <v>3.2236863999999996</v>
      </c>
      <c r="O474" s="93"/>
    </row>
    <row r="475" spans="1:15" x14ac:dyDescent="0.25">
      <c r="A475" s="757" t="s">
        <v>121</v>
      </c>
      <c r="B475" s="269" t="s">
        <v>1633</v>
      </c>
      <c r="C475" s="94"/>
      <c r="D475" s="94"/>
      <c r="E475" s="94"/>
      <c r="F475" s="94"/>
      <c r="G475" s="94"/>
      <c r="H475" s="94"/>
      <c r="I475" s="94"/>
      <c r="J475" s="758" t="s">
        <v>116</v>
      </c>
      <c r="K475" s="94"/>
      <c r="L475" s="94"/>
      <c r="M475" s="94"/>
      <c r="N475" s="94"/>
      <c r="O475" s="93"/>
    </row>
    <row r="476" spans="1:15" x14ac:dyDescent="0.25">
      <c r="A476" s="757" t="s">
        <v>117</v>
      </c>
      <c r="B476" s="133" t="s">
        <v>23</v>
      </c>
      <c r="C476" s="94"/>
      <c r="D476" s="94"/>
      <c r="E476" s="94"/>
      <c r="F476" s="94"/>
      <c r="G476" s="94"/>
      <c r="H476" s="94"/>
      <c r="I476" s="94"/>
      <c r="J476" s="94"/>
      <c r="K476" s="94"/>
      <c r="L476" s="94"/>
      <c r="M476" s="94"/>
      <c r="N476" s="94"/>
      <c r="O476" s="93"/>
    </row>
    <row r="477" spans="1:15" x14ac:dyDescent="0.25">
      <c r="A477" s="757" t="s">
        <v>115</v>
      </c>
      <c r="B477" s="744"/>
      <c r="C477" s="94"/>
      <c r="D477" s="94"/>
      <c r="E477" s="94"/>
      <c r="F477" s="94"/>
      <c r="G477" s="94"/>
      <c r="H477" s="94"/>
      <c r="I477" s="94"/>
      <c r="J477" s="94"/>
      <c r="K477" s="94"/>
      <c r="L477" s="94"/>
      <c r="M477" s="94"/>
      <c r="N477" s="94"/>
      <c r="O477" s="93"/>
    </row>
    <row r="478" spans="1:15" x14ac:dyDescent="0.25">
      <c r="A478" s="266"/>
      <c r="B478" s="265"/>
      <c r="C478" s="265"/>
      <c r="D478" s="265"/>
      <c r="E478" s="265"/>
      <c r="F478" s="94"/>
      <c r="G478" s="94"/>
      <c r="H478" s="94"/>
      <c r="I478" s="94"/>
      <c r="J478" s="94"/>
      <c r="K478" s="94"/>
      <c r="L478" s="94"/>
      <c r="M478" s="94"/>
      <c r="N478" s="94"/>
      <c r="O478" s="93"/>
    </row>
    <row r="479" spans="1:15" x14ac:dyDescent="0.25">
      <c r="A479" s="756" t="s">
        <v>67</v>
      </c>
      <c r="B479" s="755" t="s">
        <v>112</v>
      </c>
      <c r="C479" s="755" t="s">
        <v>66</v>
      </c>
      <c r="D479" s="755" t="s">
        <v>65</v>
      </c>
      <c r="E479" s="755" t="s">
        <v>81</v>
      </c>
      <c r="F479" s="1001" t="s">
        <v>80</v>
      </c>
      <c r="G479" s="1001" t="s">
        <v>79</v>
      </c>
      <c r="H479" s="1001" t="s">
        <v>78</v>
      </c>
      <c r="I479" s="1001" t="s">
        <v>111</v>
      </c>
      <c r="J479" s="1001" t="s">
        <v>110</v>
      </c>
      <c r="K479" s="1001" t="s">
        <v>109</v>
      </c>
      <c r="L479" s="1001" t="s">
        <v>108</v>
      </c>
      <c r="M479" s="1001" t="s">
        <v>40</v>
      </c>
      <c r="N479" s="1001" t="s">
        <v>58</v>
      </c>
      <c r="O479" s="93"/>
    </row>
    <row r="480" spans="1:15" ht="30" x14ac:dyDescent="0.25">
      <c r="A480" s="1031">
        <v>10</v>
      </c>
      <c r="B480" s="1033" t="s">
        <v>1256</v>
      </c>
      <c r="C480" s="1031" t="s">
        <v>841</v>
      </c>
      <c r="D480" s="1032">
        <v>2.25</v>
      </c>
      <c r="E480" s="1031">
        <v>40</v>
      </c>
      <c r="F480" s="1031" t="s">
        <v>68</v>
      </c>
      <c r="G480" s="1031">
        <v>3</v>
      </c>
      <c r="H480" s="1030" t="s">
        <v>68</v>
      </c>
      <c r="I480" s="996" t="s">
        <v>1632</v>
      </c>
      <c r="J480" s="1029">
        <f>0.04*0.003</f>
        <v>1.2E-4</v>
      </c>
      <c r="K480" s="1028">
        <v>0.112</v>
      </c>
      <c r="L480" s="1027">
        <v>7860</v>
      </c>
      <c r="M480" s="1026">
        <v>1</v>
      </c>
      <c r="N480" s="991">
        <f>D480*J480*M480*K480*L480</f>
        <v>0.23768640000000002</v>
      </c>
      <c r="O480" s="143"/>
    </row>
    <row r="481" spans="1:15" x14ac:dyDescent="0.25">
      <c r="A481" s="98"/>
      <c r="B481" s="95"/>
      <c r="C481" s="95"/>
      <c r="D481" s="95"/>
      <c r="E481" s="95"/>
      <c r="F481" s="95"/>
      <c r="G481" s="95"/>
      <c r="H481" s="95"/>
      <c r="I481" s="95"/>
      <c r="J481" s="754"/>
      <c r="K481" s="754"/>
      <c r="L481" s="95"/>
      <c r="M481" s="990" t="s">
        <v>58</v>
      </c>
      <c r="N481" s="750">
        <f>SUM(N480:N480)</f>
        <v>0.23768640000000002</v>
      </c>
      <c r="O481" s="93"/>
    </row>
    <row r="482" spans="1:15" x14ac:dyDescent="0.25">
      <c r="A482" s="107"/>
      <c r="B482" s="94"/>
      <c r="C482" s="94"/>
      <c r="D482" s="94"/>
      <c r="E482" s="94"/>
      <c r="F482" s="94"/>
      <c r="G482" s="94"/>
      <c r="H482" s="94"/>
      <c r="I482" s="94"/>
      <c r="J482" s="94"/>
      <c r="K482" s="94"/>
      <c r="L482" s="94"/>
      <c r="M482" s="94"/>
      <c r="N482" s="94"/>
      <c r="O482" s="93"/>
    </row>
    <row r="483" spans="1:15" x14ac:dyDescent="0.25">
      <c r="A483" s="1005" t="s">
        <v>67</v>
      </c>
      <c r="B483" s="776" t="s">
        <v>106</v>
      </c>
      <c r="C483" s="1001" t="s">
        <v>66</v>
      </c>
      <c r="D483" s="1001" t="s">
        <v>65</v>
      </c>
      <c r="E483" s="1001" t="s">
        <v>64</v>
      </c>
      <c r="F483" s="1001" t="s">
        <v>40</v>
      </c>
      <c r="G483" s="1001" t="s">
        <v>105</v>
      </c>
      <c r="H483" s="1001" t="s">
        <v>104</v>
      </c>
      <c r="I483" s="1001" t="s">
        <v>58</v>
      </c>
      <c r="J483" s="95"/>
      <c r="K483" s="95"/>
      <c r="L483" s="95"/>
      <c r="M483" s="95"/>
      <c r="N483" s="95"/>
      <c r="O483" s="93"/>
    </row>
    <row r="484" spans="1:15" x14ac:dyDescent="0.25">
      <c r="A484" s="1004">
        <v>10</v>
      </c>
      <c r="B484" s="951" t="s">
        <v>516</v>
      </c>
      <c r="C484" s="1004" t="s">
        <v>802</v>
      </c>
      <c r="D484" s="988">
        <v>1.3</v>
      </c>
      <c r="E484" s="951" t="s">
        <v>64</v>
      </c>
      <c r="F484" s="1004">
        <v>1</v>
      </c>
      <c r="G484" s="1004"/>
      <c r="H484" s="1004"/>
      <c r="I484" s="949">
        <f>IF(H484="",D484*F484,D484*F484*H484)</f>
        <v>1.3</v>
      </c>
      <c r="J484" s="142"/>
      <c r="K484" s="142"/>
      <c r="L484" s="142"/>
      <c r="M484" s="142"/>
      <c r="N484" s="142"/>
      <c r="O484" s="120"/>
    </row>
    <row r="485" spans="1:15" x14ac:dyDescent="0.25">
      <c r="A485" s="986">
        <v>20</v>
      </c>
      <c r="B485" s="951" t="s">
        <v>541</v>
      </c>
      <c r="C485" s="986" t="s">
        <v>834</v>
      </c>
      <c r="D485" s="1024">
        <v>0.01</v>
      </c>
      <c r="E485" s="986" t="s">
        <v>101</v>
      </c>
      <c r="F485" s="1025">
        <v>31.2</v>
      </c>
      <c r="G485" s="951" t="s">
        <v>724</v>
      </c>
      <c r="H485" s="1002">
        <v>3</v>
      </c>
      <c r="I485" s="949">
        <f>IF(H485="",D485*F485,D485*F485*H485)</f>
        <v>0.93599999999999994</v>
      </c>
      <c r="J485" s="142"/>
      <c r="K485" s="142"/>
      <c r="L485" s="142"/>
      <c r="M485" s="142"/>
      <c r="N485" s="142"/>
      <c r="O485" s="120"/>
    </row>
    <row r="486" spans="1:15" x14ac:dyDescent="0.25">
      <c r="A486" s="986">
        <v>30</v>
      </c>
      <c r="B486" s="951" t="s">
        <v>539</v>
      </c>
      <c r="C486" s="986" t="s">
        <v>1567</v>
      </c>
      <c r="D486" s="1024">
        <v>0.25</v>
      </c>
      <c r="E486" s="986" t="s">
        <v>64</v>
      </c>
      <c r="F486" s="1025">
        <v>3</v>
      </c>
      <c r="G486" s="951"/>
      <c r="H486" s="1002"/>
      <c r="I486" s="949">
        <f>IF(H486="",D486*F486,D486*F486*H486)</f>
        <v>0.75</v>
      </c>
      <c r="J486" s="142"/>
      <c r="K486" s="142"/>
      <c r="L486" s="142"/>
      <c r="M486" s="142"/>
      <c r="N486" s="142"/>
      <c r="O486" s="120"/>
    </row>
    <row r="487" spans="1:15" x14ac:dyDescent="0.25">
      <c r="A487" s="98"/>
      <c r="B487" s="95"/>
      <c r="C487" s="95"/>
      <c r="D487" s="95"/>
      <c r="E487" s="95"/>
      <c r="F487" s="95"/>
      <c r="G487" s="95"/>
      <c r="H487" s="751" t="s">
        <v>58</v>
      </c>
      <c r="I487" s="750">
        <f>SUM(I484:I486)</f>
        <v>2.9859999999999998</v>
      </c>
      <c r="J487" s="95"/>
      <c r="K487" s="95"/>
      <c r="L487" s="95"/>
      <c r="M487" s="95"/>
      <c r="N487" s="95"/>
      <c r="O487" s="93"/>
    </row>
    <row r="488" spans="1:15" ht="15.75" thickBot="1" x14ac:dyDescent="0.3">
      <c r="A488" s="92"/>
      <c r="B488" s="91"/>
      <c r="C488" s="91"/>
      <c r="D488" s="91"/>
      <c r="E488" s="91"/>
      <c r="F488" s="91"/>
      <c r="G488" s="91"/>
      <c r="H488" s="91"/>
      <c r="I488" s="91"/>
      <c r="J488" s="91"/>
      <c r="K488" s="91"/>
      <c r="L488" s="91"/>
      <c r="M488" s="91"/>
      <c r="N488" s="91"/>
      <c r="O488" s="90"/>
    </row>
    <row r="489" spans="1:15" ht="15.75" thickBot="1" x14ac:dyDescent="0.3"/>
    <row r="490" spans="1:15" x14ac:dyDescent="0.25">
      <c r="A490" s="141"/>
      <c r="B490" s="140"/>
      <c r="C490" s="140"/>
      <c r="D490" s="140"/>
      <c r="E490" s="140"/>
      <c r="F490" s="140"/>
      <c r="G490" s="140"/>
      <c r="H490" s="140"/>
      <c r="I490" s="140"/>
      <c r="J490" s="272"/>
      <c r="K490" s="140"/>
      <c r="L490" s="140"/>
      <c r="M490" s="140"/>
      <c r="N490" s="140"/>
      <c r="O490" s="139"/>
    </row>
    <row r="491" spans="1:15" x14ac:dyDescent="0.25">
      <c r="A491" s="757" t="s">
        <v>57</v>
      </c>
      <c r="B491" s="133" t="s">
        <v>523</v>
      </c>
      <c r="C491" s="94"/>
      <c r="D491" s="94"/>
      <c r="E491" s="94"/>
      <c r="F491" s="94"/>
      <c r="G491" s="94"/>
      <c r="H491" s="94"/>
      <c r="I491" s="94"/>
      <c r="J491" s="760" t="s">
        <v>51</v>
      </c>
      <c r="K491" s="138">
        <v>81</v>
      </c>
      <c r="L491" s="94"/>
      <c r="M491" s="757" t="s">
        <v>113</v>
      </c>
      <c r="N491" s="100">
        <f>FR_04011_m+FR_04011_p+FR_04011_t</f>
        <v>14.220897533333334</v>
      </c>
      <c r="O491" s="93"/>
    </row>
    <row r="492" spans="1:15" x14ac:dyDescent="0.25">
      <c r="A492" s="757" t="s">
        <v>125</v>
      </c>
      <c r="B492" s="133" t="s">
        <v>1412</v>
      </c>
      <c r="C492" s="94"/>
      <c r="D492" s="757" t="s">
        <v>122</v>
      </c>
      <c r="E492" s="270" t="s">
        <v>522</v>
      </c>
      <c r="F492" s="94"/>
      <c r="G492" s="94"/>
      <c r="H492" s="94"/>
      <c r="I492" s="94"/>
      <c r="J492" s="94"/>
      <c r="K492" s="94"/>
      <c r="L492" s="94"/>
      <c r="M492" s="757" t="s">
        <v>124</v>
      </c>
      <c r="N492" s="136">
        <v>1</v>
      </c>
      <c r="O492" s="93"/>
    </row>
    <row r="493" spans="1:15" x14ac:dyDescent="0.25">
      <c r="A493" s="757" t="s">
        <v>123</v>
      </c>
      <c r="B493" s="270" t="str">
        <f>'FR Assemblies'!B104</f>
        <v>Pedal Assembly</v>
      </c>
      <c r="C493" s="94"/>
      <c r="D493" s="757" t="s">
        <v>119</v>
      </c>
      <c r="E493" s="94"/>
      <c r="F493" s="94"/>
      <c r="G493" s="94"/>
      <c r="H493" s="94"/>
      <c r="I493" s="94"/>
      <c r="J493" s="758" t="s">
        <v>122</v>
      </c>
      <c r="K493" s="94"/>
      <c r="L493" s="94"/>
      <c r="M493" s="94"/>
      <c r="N493" s="94"/>
      <c r="O493" s="93"/>
    </row>
    <row r="494" spans="1:15" x14ac:dyDescent="0.25">
      <c r="A494" s="757" t="s">
        <v>114</v>
      </c>
      <c r="B494" s="764" t="s">
        <v>1631</v>
      </c>
      <c r="C494" s="94"/>
      <c r="D494" s="757" t="s">
        <v>116</v>
      </c>
      <c r="E494" s="94"/>
      <c r="F494" s="94"/>
      <c r="G494" s="94"/>
      <c r="H494" s="94"/>
      <c r="I494" s="94"/>
      <c r="J494" s="758" t="s">
        <v>119</v>
      </c>
      <c r="K494" s="94"/>
      <c r="L494" s="94"/>
      <c r="M494" s="757" t="s">
        <v>118</v>
      </c>
      <c r="N494" s="100">
        <f>N492*N491</f>
        <v>14.220897533333334</v>
      </c>
      <c r="O494" s="93"/>
    </row>
    <row r="495" spans="1:15" x14ac:dyDescent="0.25">
      <c r="A495" s="757" t="s">
        <v>121</v>
      </c>
      <c r="B495" s="269" t="s">
        <v>1630</v>
      </c>
      <c r="C495" s="94"/>
      <c r="D495" s="94"/>
      <c r="E495" s="94"/>
      <c r="F495" s="94"/>
      <c r="G495" s="94"/>
      <c r="H495" s="94"/>
      <c r="I495" s="94"/>
      <c r="J495" s="758" t="s">
        <v>116</v>
      </c>
      <c r="K495" s="94"/>
      <c r="L495" s="94"/>
      <c r="M495" s="94"/>
      <c r="N495" s="94"/>
      <c r="O495" s="93"/>
    </row>
    <row r="496" spans="1:15" x14ac:dyDescent="0.25">
      <c r="A496" s="757" t="s">
        <v>117</v>
      </c>
      <c r="B496" s="133" t="s">
        <v>23</v>
      </c>
      <c r="C496" s="94"/>
      <c r="D496" s="94"/>
      <c r="E496" s="94"/>
      <c r="F496" s="94"/>
      <c r="G496" s="94"/>
      <c r="H496" s="94"/>
      <c r="I496" s="94"/>
      <c r="J496" s="94"/>
      <c r="K496" s="94"/>
      <c r="L496" s="94"/>
      <c r="M496" s="94"/>
      <c r="N496" s="94"/>
      <c r="O496" s="93"/>
    </row>
    <row r="497" spans="1:15" x14ac:dyDescent="0.25">
      <c r="A497" s="757" t="s">
        <v>115</v>
      </c>
      <c r="B497" s="744"/>
      <c r="C497" s="94"/>
      <c r="D497" s="94"/>
      <c r="E497" s="94"/>
      <c r="F497" s="94"/>
      <c r="G497" s="94"/>
      <c r="H497" s="94"/>
      <c r="I497" s="94"/>
      <c r="J497" s="94"/>
      <c r="K497" s="94"/>
      <c r="L497" s="94"/>
      <c r="M497" s="94"/>
      <c r="N497" s="94"/>
      <c r="O497" s="93"/>
    </row>
    <row r="498" spans="1:15" x14ac:dyDescent="0.25">
      <c r="A498" s="266"/>
      <c r="B498" s="265"/>
      <c r="C498" s="265"/>
      <c r="D498" s="265"/>
      <c r="E498" s="265"/>
      <c r="F498" s="94"/>
      <c r="G498" s="94"/>
      <c r="H498" s="94"/>
      <c r="I498" s="94"/>
      <c r="J498" s="94"/>
      <c r="K498" s="94"/>
      <c r="L498" s="94"/>
      <c r="M498" s="94"/>
      <c r="N498" s="94"/>
      <c r="O498" s="93"/>
    </row>
    <row r="499" spans="1:15" x14ac:dyDescent="0.25">
      <c r="A499" s="756" t="s">
        <v>67</v>
      </c>
      <c r="B499" s="755" t="s">
        <v>112</v>
      </c>
      <c r="C499" s="755" t="s">
        <v>66</v>
      </c>
      <c r="D499" s="755" t="s">
        <v>65</v>
      </c>
      <c r="E499" s="755" t="s">
        <v>81</v>
      </c>
      <c r="F499" s="1001" t="s">
        <v>80</v>
      </c>
      <c r="G499" s="1001" t="s">
        <v>79</v>
      </c>
      <c r="H499" s="1001" t="s">
        <v>78</v>
      </c>
      <c r="I499" s="1001" t="s">
        <v>111</v>
      </c>
      <c r="J499" s="1001" t="s">
        <v>110</v>
      </c>
      <c r="K499" s="1001" t="s">
        <v>109</v>
      </c>
      <c r="L499" s="1001" t="s">
        <v>108</v>
      </c>
      <c r="M499" s="1001" t="s">
        <v>40</v>
      </c>
      <c r="N499" s="1001" t="s">
        <v>58</v>
      </c>
      <c r="O499" s="93"/>
    </row>
    <row r="500" spans="1:15" ht="30" x14ac:dyDescent="0.25">
      <c r="A500" s="1031">
        <v>10</v>
      </c>
      <c r="B500" s="1033" t="s">
        <v>1256</v>
      </c>
      <c r="C500" s="1031" t="s">
        <v>841</v>
      </c>
      <c r="D500" s="1032">
        <v>2.25</v>
      </c>
      <c r="E500" s="1031">
        <v>60</v>
      </c>
      <c r="F500" s="1031" t="s">
        <v>68</v>
      </c>
      <c r="G500" s="1031">
        <v>2</v>
      </c>
      <c r="H500" s="1030" t="s">
        <v>68</v>
      </c>
      <c r="I500" s="996" t="s">
        <v>1629</v>
      </c>
      <c r="J500" s="1029">
        <f>0.002*0.06</f>
        <v>1.2E-4</v>
      </c>
      <c r="K500" s="1028">
        <v>0.1</v>
      </c>
      <c r="L500" s="1027">
        <v>7860</v>
      </c>
      <c r="M500" s="1026">
        <v>1</v>
      </c>
      <c r="N500" s="991">
        <f>D500*J500*M500*K500*L500</f>
        <v>0.21222000000000002</v>
      </c>
      <c r="O500" s="93"/>
    </row>
    <row r="501" spans="1:15" ht="30" x14ac:dyDescent="0.25">
      <c r="A501" s="1031">
        <v>20</v>
      </c>
      <c r="B501" s="1033" t="s">
        <v>1256</v>
      </c>
      <c r="C501" s="1031" t="s">
        <v>841</v>
      </c>
      <c r="D501" s="1032">
        <v>2.25</v>
      </c>
      <c r="E501" s="1031">
        <v>20</v>
      </c>
      <c r="F501" s="1031" t="s">
        <v>68</v>
      </c>
      <c r="G501" s="1031">
        <v>2</v>
      </c>
      <c r="H501" s="1030" t="s">
        <v>68</v>
      </c>
      <c r="I501" s="996" t="s">
        <v>1628</v>
      </c>
      <c r="J501" s="1029">
        <f>0.002*0.02</f>
        <v>4.0000000000000003E-5</v>
      </c>
      <c r="K501" s="1028">
        <v>3.3000000000000002E-2</v>
      </c>
      <c r="L501" s="1027">
        <v>7860</v>
      </c>
      <c r="M501" s="1026">
        <v>1</v>
      </c>
      <c r="N501" s="991">
        <f>D501*J501*M501*K501*L501</f>
        <v>2.3344200000000002E-2</v>
      </c>
      <c r="O501" s="143"/>
    </row>
    <row r="502" spans="1:15" x14ac:dyDescent="0.25">
      <c r="A502" s="98"/>
      <c r="B502" s="95"/>
      <c r="C502" s="95"/>
      <c r="D502" s="95"/>
      <c r="E502" s="95"/>
      <c r="F502" s="95"/>
      <c r="G502" s="95"/>
      <c r="H502" s="95"/>
      <c r="I502" s="95"/>
      <c r="J502" s="754"/>
      <c r="K502" s="754"/>
      <c r="L502" s="95"/>
      <c r="M502" s="990" t="s">
        <v>58</v>
      </c>
      <c r="N502" s="750">
        <f>SUM(N500:N501)</f>
        <v>0.23556420000000003</v>
      </c>
      <c r="O502" s="93"/>
    </row>
    <row r="503" spans="1:15" x14ac:dyDescent="0.25">
      <c r="A503" s="107"/>
      <c r="B503" s="94"/>
      <c r="C503" s="94"/>
      <c r="D503" s="94"/>
      <c r="E503" s="94"/>
      <c r="F503" s="94"/>
      <c r="G503" s="94"/>
      <c r="H503" s="94"/>
      <c r="I503" s="94"/>
      <c r="J503" s="94"/>
      <c r="K503" s="94"/>
      <c r="L503" s="94"/>
      <c r="M503" s="94"/>
      <c r="N503" s="94"/>
      <c r="O503" s="93"/>
    </row>
    <row r="504" spans="1:15" x14ac:dyDescent="0.25">
      <c r="A504" s="1005" t="s">
        <v>67</v>
      </c>
      <c r="B504" s="776" t="s">
        <v>106</v>
      </c>
      <c r="C504" s="1001" t="s">
        <v>66</v>
      </c>
      <c r="D504" s="1001" t="s">
        <v>65</v>
      </c>
      <c r="E504" s="1001" t="s">
        <v>64</v>
      </c>
      <c r="F504" s="1001" t="s">
        <v>40</v>
      </c>
      <c r="G504" s="1001" t="s">
        <v>105</v>
      </c>
      <c r="H504" s="1001" t="s">
        <v>104</v>
      </c>
      <c r="I504" s="1001" t="s">
        <v>58</v>
      </c>
      <c r="J504" s="95"/>
      <c r="K504" s="95"/>
      <c r="L504" s="95"/>
      <c r="M504" s="95"/>
      <c r="N504" s="95"/>
      <c r="O504" s="93"/>
    </row>
    <row r="505" spans="1:15" x14ac:dyDescent="0.25">
      <c r="A505" s="986">
        <v>10</v>
      </c>
      <c r="B505" s="986" t="s">
        <v>1625</v>
      </c>
      <c r="C505" s="986" t="s">
        <v>1627</v>
      </c>
      <c r="D505" s="1024">
        <v>1.6</v>
      </c>
      <c r="E505" s="986" t="s">
        <v>64</v>
      </c>
      <c r="F505" s="1023">
        <v>1</v>
      </c>
      <c r="G505" s="1023"/>
      <c r="H505" s="1023"/>
      <c r="I505" s="949">
        <f t="shared" ref="I505:I510" si="4">IF(H505="",D505*F505,D505*F505*H505)</f>
        <v>1.6</v>
      </c>
      <c r="J505" s="142"/>
      <c r="K505" s="142"/>
      <c r="L505" s="142"/>
      <c r="M505" s="142"/>
      <c r="N505" s="142"/>
      <c r="O505" s="120"/>
    </row>
    <row r="506" spans="1:15" x14ac:dyDescent="0.25">
      <c r="A506" s="986">
        <v>20</v>
      </c>
      <c r="B506" s="951" t="s">
        <v>1623</v>
      </c>
      <c r="C506" s="989" t="s">
        <v>1626</v>
      </c>
      <c r="D506" s="1024">
        <v>0.04</v>
      </c>
      <c r="E506" s="951" t="s">
        <v>101</v>
      </c>
      <c r="F506" s="1002">
        <v>66.900000000000006</v>
      </c>
      <c r="G506" s="986" t="s">
        <v>724</v>
      </c>
      <c r="H506" s="986">
        <v>3</v>
      </c>
      <c r="I506" s="949">
        <f t="shared" si="4"/>
        <v>8.0280000000000005</v>
      </c>
      <c r="J506" s="142"/>
      <c r="K506" s="142"/>
      <c r="L506" s="142"/>
      <c r="M506" s="142"/>
      <c r="N506" s="142"/>
      <c r="O506" s="120"/>
    </row>
    <row r="507" spans="1:15" x14ac:dyDescent="0.25">
      <c r="A507" s="986">
        <v>30</v>
      </c>
      <c r="B507" s="986" t="s">
        <v>1625</v>
      </c>
      <c r="C507" s="986" t="s">
        <v>1624</v>
      </c>
      <c r="D507" s="1024">
        <v>1.6</v>
      </c>
      <c r="E507" s="986" t="s">
        <v>64</v>
      </c>
      <c r="F507" s="1002">
        <v>1</v>
      </c>
      <c r="G507" s="1002"/>
      <c r="H507" s="1023"/>
      <c r="I507" s="949">
        <f t="shared" si="4"/>
        <v>1.6</v>
      </c>
      <c r="J507" s="142"/>
      <c r="K507" s="142"/>
      <c r="L507" s="142"/>
      <c r="M507" s="142"/>
      <c r="N507" s="142"/>
      <c r="O507" s="120"/>
    </row>
    <row r="508" spans="1:15" x14ac:dyDescent="0.25">
      <c r="A508" s="986">
        <v>40</v>
      </c>
      <c r="B508" s="951" t="s">
        <v>1623</v>
      </c>
      <c r="C508" s="989" t="s">
        <v>1622</v>
      </c>
      <c r="D508" s="1024">
        <v>0.04</v>
      </c>
      <c r="E508" s="951" t="s">
        <v>101</v>
      </c>
      <c r="F508" s="1002">
        <v>10.199999999999999</v>
      </c>
      <c r="G508" s="986" t="s">
        <v>724</v>
      </c>
      <c r="H508" s="986">
        <v>3</v>
      </c>
      <c r="I508" s="949">
        <f t="shared" si="4"/>
        <v>1.224</v>
      </c>
      <c r="J508" s="142"/>
      <c r="K508" s="142"/>
      <c r="L508" s="142"/>
      <c r="M508" s="142"/>
      <c r="N508" s="142"/>
      <c r="O508" s="120"/>
    </row>
    <row r="509" spans="1:15" x14ac:dyDescent="0.25">
      <c r="A509" s="986">
        <v>50</v>
      </c>
      <c r="B509" s="951" t="s">
        <v>539</v>
      </c>
      <c r="C509" s="986" t="s">
        <v>1621</v>
      </c>
      <c r="D509" s="1024">
        <v>0.25</v>
      </c>
      <c r="E509" s="986" t="s">
        <v>64</v>
      </c>
      <c r="F509" s="1025">
        <v>3</v>
      </c>
      <c r="G509" s="1002"/>
      <c r="H509" s="1023"/>
      <c r="I509" s="949">
        <f t="shared" si="4"/>
        <v>0.75</v>
      </c>
      <c r="J509" s="142"/>
      <c r="K509" s="142"/>
      <c r="L509" s="142"/>
      <c r="M509" s="142"/>
      <c r="N509" s="142"/>
      <c r="O509" s="120"/>
    </row>
    <row r="510" spans="1:15" x14ac:dyDescent="0.25">
      <c r="A510" s="986">
        <v>60</v>
      </c>
      <c r="B510" s="986" t="s">
        <v>103</v>
      </c>
      <c r="C510" s="986" t="s">
        <v>1620</v>
      </c>
      <c r="D510" s="1024">
        <v>0.15</v>
      </c>
      <c r="E510" s="986" t="s">
        <v>101</v>
      </c>
      <c r="F510" s="1002">
        <v>3</v>
      </c>
      <c r="G510" s="1002"/>
      <c r="H510" s="1023"/>
      <c r="I510" s="949">
        <f t="shared" si="4"/>
        <v>0.44999999999999996</v>
      </c>
      <c r="J510" s="142"/>
      <c r="K510" s="142"/>
      <c r="L510" s="142"/>
      <c r="M510" s="142"/>
      <c r="N510" s="142"/>
      <c r="O510" s="120"/>
    </row>
    <row r="511" spans="1:15" x14ac:dyDescent="0.25">
      <c r="A511" s="98"/>
      <c r="B511" s="95"/>
      <c r="C511" s="95"/>
      <c r="D511" s="95"/>
      <c r="E511" s="95"/>
      <c r="F511" s="95"/>
      <c r="G511" s="95"/>
      <c r="H511" s="751" t="s">
        <v>58</v>
      </c>
      <c r="I511" s="750">
        <f>SUM(I505:I510)</f>
        <v>13.651999999999999</v>
      </c>
      <c r="J511" s="95"/>
      <c r="K511" s="95"/>
      <c r="L511" s="95"/>
      <c r="M511" s="95"/>
      <c r="N511" s="95"/>
      <c r="O511" s="93"/>
    </row>
    <row r="512" spans="1:15" x14ac:dyDescent="0.25">
      <c r="A512" s="98"/>
      <c r="B512" s="95"/>
      <c r="C512" s="95"/>
      <c r="D512" s="95"/>
      <c r="E512" s="95"/>
      <c r="F512" s="95"/>
      <c r="G512" s="95"/>
      <c r="J512" s="95"/>
      <c r="K512" s="95"/>
      <c r="L512" s="95"/>
      <c r="M512" s="95"/>
      <c r="N512" s="95"/>
      <c r="O512" s="93"/>
    </row>
    <row r="513" spans="1:15" x14ac:dyDescent="0.25">
      <c r="A513" s="1022" t="s">
        <v>67</v>
      </c>
      <c r="B513" s="1022" t="s">
        <v>13</v>
      </c>
      <c r="C513" s="1022" t="s">
        <v>66</v>
      </c>
      <c r="D513" s="1022" t="s">
        <v>65</v>
      </c>
      <c r="E513" s="1022" t="s">
        <v>64</v>
      </c>
      <c r="F513" s="1022" t="s">
        <v>40</v>
      </c>
      <c r="G513" s="1022" t="s">
        <v>63</v>
      </c>
      <c r="H513" s="1022" t="s">
        <v>62</v>
      </c>
      <c r="I513" s="1022" t="s">
        <v>58</v>
      </c>
      <c r="J513" s="95"/>
      <c r="K513" s="95"/>
      <c r="L513" s="95"/>
      <c r="M513" s="95"/>
      <c r="N513" s="95"/>
      <c r="O513" s="93"/>
    </row>
    <row r="514" spans="1:15" x14ac:dyDescent="0.25">
      <c r="A514" s="986">
        <v>10</v>
      </c>
      <c r="B514" s="986" t="s">
        <v>61</v>
      </c>
      <c r="C514" s="986" t="s">
        <v>1619</v>
      </c>
      <c r="D514" s="950">
        <v>500</v>
      </c>
      <c r="E514" s="986" t="s">
        <v>59</v>
      </c>
      <c r="F514" s="986">
        <v>2</v>
      </c>
      <c r="G514" s="986">
        <v>3000</v>
      </c>
      <c r="H514" s="986">
        <v>1</v>
      </c>
      <c r="I514" s="1021">
        <f>D514*F514/(G514*H514)</f>
        <v>0.33333333333333331</v>
      </c>
      <c r="J514" s="95"/>
      <c r="K514" s="95"/>
      <c r="L514" s="95"/>
      <c r="M514" s="95"/>
      <c r="N514" s="95"/>
      <c r="O514" s="93"/>
    </row>
    <row r="515" spans="1:15" x14ac:dyDescent="0.25">
      <c r="A515" s="726"/>
      <c r="B515" s="726"/>
      <c r="C515" s="726"/>
      <c r="D515" s="726"/>
      <c r="E515" s="726"/>
      <c r="F515" s="726"/>
      <c r="G515" s="726"/>
      <c r="H515" s="1020" t="s">
        <v>58</v>
      </c>
      <c r="I515" s="1019">
        <f>I514</f>
        <v>0.33333333333333331</v>
      </c>
      <c r="J515" s="95"/>
      <c r="K515" s="95"/>
      <c r="L515" s="95"/>
      <c r="M515" s="95"/>
      <c r="N515" s="95"/>
      <c r="O515" s="93"/>
    </row>
    <row r="516" spans="1:15" ht="15.75" thickBot="1" x14ac:dyDescent="0.3">
      <c r="A516" s="92"/>
      <c r="B516" s="91"/>
      <c r="C516" s="91"/>
      <c r="D516" s="91"/>
      <c r="E516" s="91"/>
      <c r="F516" s="91"/>
      <c r="G516" s="91"/>
      <c r="H516" s="91"/>
      <c r="I516" s="91"/>
      <c r="J516" s="91"/>
      <c r="K516" s="91"/>
      <c r="L516" s="91"/>
      <c r="M516" s="91"/>
      <c r="N516" s="91"/>
      <c r="O516" s="90"/>
    </row>
    <row r="517" spans="1:15" ht="15.75" thickBot="1" x14ac:dyDescent="0.3"/>
    <row r="518" spans="1:15" x14ac:dyDescent="0.25">
      <c r="A518" s="141"/>
      <c r="B518" s="140"/>
      <c r="C518" s="140"/>
      <c r="D518" s="140"/>
      <c r="E518" s="140"/>
      <c r="F518" s="140"/>
      <c r="G518" s="140"/>
      <c r="H518" s="140"/>
      <c r="I518" s="140"/>
      <c r="J518" s="272"/>
      <c r="K518" s="140"/>
      <c r="L518" s="140"/>
      <c r="M518" s="140"/>
      <c r="N518" s="140"/>
      <c r="O518" s="139"/>
    </row>
    <row r="519" spans="1:15" x14ac:dyDescent="0.25">
      <c r="A519" s="757" t="s">
        <v>57</v>
      </c>
      <c r="B519" s="133" t="s">
        <v>523</v>
      </c>
      <c r="C519" s="94"/>
      <c r="D519" s="94"/>
      <c r="E519" s="94"/>
      <c r="F519" s="94"/>
      <c r="G519" s="94"/>
      <c r="H519" s="94"/>
      <c r="I519" s="94"/>
      <c r="J519" s="760" t="s">
        <v>51</v>
      </c>
      <c r="K519" s="138">
        <v>81</v>
      </c>
      <c r="L519" s="94"/>
      <c r="M519" s="757" t="s">
        <v>113</v>
      </c>
      <c r="N519" s="100">
        <f>FR_04012_m+FR_04012_p</f>
        <v>8.2143648700000007</v>
      </c>
      <c r="O519" s="93"/>
    </row>
    <row r="520" spans="1:15" x14ac:dyDescent="0.25">
      <c r="A520" s="757" t="s">
        <v>125</v>
      </c>
      <c r="B520" s="133" t="s">
        <v>1412</v>
      </c>
      <c r="C520" s="94"/>
      <c r="D520" s="757" t="s">
        <v>122</v>
      </c>
      <c r="E520" s="270" t="s">
        <v>522</v>
      </c>
      <c r="F520" s="94"/>
      <c r="G520" s="94"/>
      <c r="H520" s="94"/>
      <c r="I520" s="94"/>
      <c r="J520" s="94"/>
      <c r="K520" s="94"/>
      <c r="L520" s="94"/>
      <c r="M520" s="757" t="s">
        <v>124</v>
      </c>
      <c r="N520" s="136">
        <v>1</v>
      </c>
      <c r="O520" s="93"/>
    </row>
    <row r="521" spans="1:15" x14ac:dyDescent="0.25">
      <c r="A521" s="757" t="s">
        <v>123</v>
      </c>
      <c r="B521" s="270" t="str">
        <f>'FR Assemblies'!B104</f>
        <v>Pedal Assembly</v>
      </c>
      <c r="C521" s="94"/>
      <c r="D521" s="757" t="s">
        <v>119</v>
      </c>
      <c r="E521" s="94"/>
      <c r="F521" s="94"/>
      <c r="G521" s="94"/>
      <c r="H521" s="94"/>
      <c r="I521" s="94"/>
      <c r="J521" s="758" t="s">
        <v>122</v>
      </c>
      <c r="K521" s="94"/>
      <c r="L521" s="94"/>
      <c r="M521" s="94"/>
      <c r="N521" s="94"/>
      <c r="O521" s="93"/>
    </row>
    <row r="522" spans="1:15" x14ac:dyDescent="0.25">
      <c r="A522" s="757" t="s">
        <v>114</v>
      </c>
      <c r="B522" s="764" t="s">
        <v>1618</v>
      </c>
      <c r="C522" s="94"/>
      <c r="D522" s="757" t="s">
        <v>116</v>
      </c>
      <c r="E522" s="94"/>
      <c r="F522" s="94"/>
      <c r="G522" s="94"/>
      <c r="H522" s="94"/>
      <c r="I522" s="94"/>
      <c r="J522" s="758" t="s">
        <v>119</v>
      </c>
      <c r="K522" s="94"/>
      <c r="L522" s="94"/>
      <c r="M522" s="757" t="s">
        <v>118</v>
      </c>
      <c r="N522" s="100">
        <f>N520*N519</f>
        <v>8.2143648700000007</v>
      </c>
      <c r="O522" s="93"/>
    </row>
    <row r="523" spans="1:15" x14ac:dyDescent="0.25">
      <c r="A523" s="757" t="s">
        <v>121</v>
      </c>
      <c r="B523" s="269" t="s">
        <v>1617</v>
      </c>
      <c r="C523" s="94"/>
      <c r="D523" s="94"/>
      <c r="E523" s="94"/>
      <c r="F523" s="94"/>
      <c r="G523" s="94"/>
      <c r="H523" s="94"/>
      <c r="I523" s="94"/>
      <c r="J523" s="758" t="s">
        <v>116</v>
      </c>
      <c r="K523" s="94"/>
      <c r="L523" s="94"/>
      <c r="M523" s="94"/>
      <c r="N523" s="94"/>
      <c r="O523" s="93"/>
    </row>
    <row r="524" spans="1:15" x14ac:dyDescent="0.25">
      <c r="A524" s="757" t="s">
        <v>117</v>
      </c>
      <c r="B524" s="133" t="s">
        <v>23</v>
      </c>
      <c r="C524" s="94"/>
      <c r="D524" s="94"/>
      <c r="E524" s="94"/>
      <c r="F524" s="94"/>
      <c r="G524" s="94"/>
      <c r="H524" s="94"/>
      <c r="I524" s="94"/>
      <c r="J524" s="94"/>
      <c r="K524" s="94"/>
      <c r="L524" s="94"/>
      <c r="M524" s="94"/>
      <c r="N524" s="94"/>
      <c r="O524" s="93"/>
    </row>
    <row r="525" spans="1:15" x14ac:dyDescent="0.25">
      <c r="A525" s="757" t="s">
        <v>115</v>
      </c>
      <c r="B525" s="744"/>
      <c r="C525" s="94"/>
      <c r="D525" s="94"/>
      <c r="E525" s="94"/>
      <c r="F525" s="94"/>
      <c r="G525" s="94"/>
      <c r="H525" s="94"/>
      <c r="I525" s="94"/>
      <c r="J525" s="94"/>
      <c r="K525" s="94"/>
      <c r="L525" s="94"/>
      <c r="M525" s="94"/>
      <c r="N525" s="94"/>
      <c r="O525" s="93"/>
    </row>
    <row r="526" spans="1:15" x14ac:dyDescent="0.25">
      <c r="A526" s="266"/>
      <c r="B526" s="265"/>
      <c r="C526" s="265"/>
      <c r="D526" s="265"/>
      <c r="E526" s="265"/>
      <c r="F526" s="94"/>
      <c r="G526" s="94"/>
      <c r="H526" s="94"/>
      <c r="I526" s="94"/>
      <c r="J526" s="94"/>
      <c r="K526" s="94"/>
      <c r="L526" s="94"/>
      <c r="M526" s="94"/>
      <c r="N526" s="94"/>
      <c r="O526" s="93"/>
    </row>
    <row r="527" spans="1:15" x14ac:dyDescent="0.25">
      <c r="A527" s="756" t="s">
        <v>67</v>
      </c>
      <c r="B527" s="755" t="s">
        <v>112</v>
      </c>
      <c r="C527" s="755" t="s">
        <v>66</v>
      </c>
      <c r="D527" s="755" t="s">
        <v>65</v>
      </c>
      <c r="E527" s="755" t="s">
        <v>81</v>
      </c>
      <c r="F527" s="1001" t="s">
        <v>80</v>
      </c>
      <c r="G527" s="1001" t="s">
        <v>79</v>
      </c>
      <c r="H527" s="1001" t="s">
        <v>78</v>
      </c>
      <c r="I527" s="1001" t="s">
        <v>111</v>
      </c>
      <c r="J527" s="1001" t="s">
        <v>110</v>
      </c>
      <c r="K527" s="1001" t="s">
        <v>109</v>
      </c>
      <c r="L527" s="1001" t="s">
        <v>108</v>
      </c>
      <c r="M527" s="1001" t="s">
        <v>40</v>
      </c>
      <c r="N527" s="1001" t="s">
        <v>58</v>
      </c>
      <c r="O527" s="93"/>
    </row>
    <row r="528" spans="1:15" ht="34.5" customHeight="1" x14ac:dyDescent="0.25">
      <c r="A528" s="1004">
        <v>10</v>
      </c>
      <c r="B528" s="983" t="s">
        <v>583</v>
      </c>
      <c r="C528" s="983"/>
      <c r="D528" s="1018">
        <v>2.25</v>
      </c>
      <c r="E528" s="983">
        <v>21</v>
      </c>
      <c r="F528" s="983" t="s">
        <v>68</v>
      </c>
      <c r="G528" s="983">
        <v>17</v>
      </c>
      <c r="H528" s="1014" t="s">
        <v>1616</v>
      </c>
      <c r="I528" s="1017" t="s">
        <v>1615</v>
      </c>
      <c r="J528" s="1016">
        <v>3.57E-4</v>
      </c>
      <c r="K528" s="1015">
        <v>8.5999999999999993E-2</v>
      </c>
      <c r="L528" s="1014">
        <v>7860</v>
      </c>
      <c r="M528" s="1013">
        <v>1</v>
      </c>
      <c r="N528" s="991">
        <f>D528*J528*M528*K528*L528</f>
        <v>0.54296487000000004</v>
      </c>
      <c r="O528" s="93"/>
    </row>
    <row r="529" spans="1:15" x14ac:dyDescent="0.25">
      <c r="A529" s="98"/>
      <c r="B529" s="95"/>
      <c r="C529" s="95"/>
      <c r="D529" s="95"/>
      <c r="E529" s="95"/>
      <c r="F529" s="95"/>
      <c r="G529" s="95"/>
      <c r="H529" s="95"/>
      <c r="I529" s="95"/>
      <c r="J529" s="754"/>
      <c r="K529" s="754"/>
      <c r="L529" s="95"/>
      <c r="M529" s="990" t="s">
        <v>58</v>
      </c>
      <c r="N529" s="750">
        <f>SUM(N528:N528)</f>
        <v>0.54296487000000004</v>
      </c>
      <c r="O529" s="93"/>
    </row>
    <row r="530" spans="1:15" x14ac:dyDescent="0.25">
      <c r="A530" s="107"/>
      <c r="B530" s="94"/>
      <c r="C530" s="94"/>
      <c r="D530" s="94"/>
      <c r="E530" s="94"/>
      <c r="F530" s="94"/>
      <c r="G530" s="94"/>
      <c r="H530" s="94"/>
      <c r="I530" s="94"/>
      <c r="J530" s="94"/>
      <c r="K530" s="94"/>
      <c r="L530" s="94"/>
      <c r="M530" s="94"/>
      <c r="N530" s="94"/>
      <c r="O530" s="93"/>
    </row>
    <row r="531" spans="1:15" x14ac:dyDescent="0.25">
      <c r="A531" s="1005" t="s">
        <v>67</v>
      </c>
      <c r="B531" s="776" t="s">
        <v>106</v>
      </c>
      <c r="C531" s="1001" t="s">
        <v>66</v>
      </c>
      <c r="D531" s="1001" t="s">
        <v>65</v>
      </c>
      <c r="E531" s="1001" t="s">
        <v>64</v>
      </c>
      <c r="F531" s="1001" t="s">
        <v>40</v>
      </c>
      <c r="G531" s="1001" t="s">
        <v>105</v>
      </c>
      <c r="H531" s="1001" t="s">
        <v>104</v>
      </c>
      <c r="I531" s="1001" t="s">
        <v>58</v>
      </c>
      <c r="J531" s="95"/>
      <c r="K531" s="95"/>
      <c r="L531" s="95"/>
      <c r="M531" s="95"/>
      <c r="N531" s="95"/>
      <c r="O531" s="93"/>
    </row>
    <row r="532" spans="1:15" x14ac:dyDescent="0.25">
      <c r="A532" s="987">
        <v>10</v>
      </c>
      <c r="B532" s="1011" t="s">
        <v>1614</v>
      </c>
      <c r="C532" s="1011" t="s">
        <v>1577</v>
      </c>
      <c r="D532" s="988">
        <v>1.3</v>
      </c>
      <c r="E532" s="987" t="s">
        <v>64</v>
      </c>
      <c r="F532" s="987">
        <v>1</v>
      </c>
      <c r="G532" s="987"/>
      <c r="H532" s="987"/>
      <c r="I532" s="949">
        <f>IF(H532="",D532*F532,D532*F532*H532)</f>
        <v>1.3</v>
      </c>
      <c r="J532" s="142"/>
      <c r="K532" s="142"/>
      <c r="L532" s="142"/>
      <c r="M532" s="142"/>
      <c r="N532" s="142"/>
      <c r="O532" s="120"/>
    </row>
    <row r="533" spans="1:15" x14ac:dyDescent="0.25">
      <c r="A533" s="987">
        <v>20</v>
      </c>
      <c r="B533" s="1011" t="s">
        <v>514</v>
      </c>
      <c r="C533" s="1011" t="s">
        <v>1613</v>
      </c>
      <c r="D533" s="1012">
        <v>0.04</v>
      </c>
      <c r="E533" s="824" t="s">
        <v>512</v>
      </c>
      <c r="F533" s="987">
        <v>141.785</v>
      </c>
      <c r="G533" s="987" t="s">
        <v>724</v>
      </c>
      <c r="H533" s="987">
        <v>1</v>
      </c>
      <c r="I533" s="949">
        <f>IF(H533="",D533*F533,D533*F533*H533)</f>
        <v>5.6714000000000002</v>
      </c>
      <c r="J533" s="142"/>
      <c r="K533" s="142"/>
      <c r="L533" s="142"/>
      <c r="M533" s="142"/>
      <c r="N533" s="142"/>
      <c r="O533" s="120"/>
    </row>
    <row r="534" spans="1:15" ht="30" x14ac:dyDescent="0.25">
      <c r="A534" s="987">
        <v>30</v>
      </c>
      <c r="B534" s="951" t="s">
        <v>296</v>
      </c>
      <c r="C534" s="1011" t="s">
        <v>1612</v>
      </c>
      <c r="D534" s="988">
        <v>0.35</v>
      </c>
      <c r="E534" s="987" t="s">
        <v>294</v>
      </c>
      <c r="F534" s="987">
        <v>2</v>
      </c>
      <c r="G534" s="987"/>
      <c r="H534" s="987"/>
      <c r="I534" s="949">
        <f>IF(H534="",D534*F534,D534*F534*H534)</f>
        <v>0.7</v>
      </c>
      <c r="J534" s="142"/>
      <c r="K534" s="142"/>
      <c r="L534" s="142"/>
      <c r="M534" s="142"/>
      <c r="N534" s="142"/>
      <c r="O534" s="120"/>
    </row>
    <row r="535" spans="1:15" x14ac:dyDescent="0.25">
      <c r="A535" s="98"/>
      <c r="B535" s="95"/>
      <c r="C535" s="95"/>
      <c r="D535" s="95"/>
      <c r="E535" s="95"/>
      <c r="F535" s="95"/>
      <c r="G535" s="95"/>
      <c r="H535" s="751" t="s">
        <v>58</v>
      </c>
      <c r="I535" s="750">
        <f>SUM(I532:I534)</f>
        <v>7.6714000000000002</v>
      </c>
      <c r="J535" s="95"/>
      <c r="K535" s="95"/>
      <c r="L535" s="95"/>
      <c r="M535" s="95"/>
      <c r="N535" s="95"/>
      <c r="O535" s="93"/>
    </row>
    <row r="536" spans="1:15" ht="15.75" thickBot="1" x14ac:dyDescent="0.3">
      <c r="A536" s="92"/>
      <c r="B536" s="91"/>
      <c r="C536" s="91"/>
      <c r="D536" s="91"/>
      <c r="E536" s="91"/>
      <c r="F536" s="91"/>
      <c r="G536" s="91"/>
      <c r="H536" s="91"/>
      <c r="I536" s="91"/>
      <c r="J536" s="91"/>
      <c r="K536" s="91"/>
      <c r="L536" s="91"/>
      <c r="M536" s="91"/>
      <c r="N536" s="91"/>
      <c r="O536" s="90"/>
    </row>
    <row r="537" spans="1:15" ht="15.75" thickBot="1" x14ac:dyDescent="0.3"/>
    <row r="538" spans="1:15" x14ac:dyDescent="0.25">
      <c r="A538" s="141"/>
      <c r="B538" s="140"/>
      <c r="C538" s="140"/>
      <c r="D538" s="140"/>
      <c r="E538" s="140"/>
      <c r="F538" s="140"/>
      <c r="G538" s="140"/>
      <c r="H538" s="140"/>
      <c r="I538" s="140"/>
      <c r="J538" s="272"/>
      <c r="K538" s="140"/>
      <c r="L538" s="140"/>
      <c r="M538" s="140"/>
      <c r="N538" s="140"/>
      <c r="O538" s="139"/>
    </row>
    <row r="539" spans="1:15" x14ac:dyDescent="0.25">
      <c r="A539" s="757" t="s">
        <v>57</v>
      </c>
      <c r="B539" s="133" t="s">
        <v>523</v>
      </c>
      <c r="C539" s="94"/>
      <c r="D539" s="94"/>
      <c r="E539" s="94"/>
      <c r="F539" s="94"/>
      <c r="G539" s="94"/>
      <c r="H539" s="94"/>
      <c r="I539" s="94"/>
      <c r="J539" s="760" t="s">
        <v>51</v>
      </c>
      <c r="K539" s="138">
        <v>81</v>
      </c>
      <c r="L539" s="94"/>
      <c r="M539" s="757" t="s">
        <v>113</v>
      </c>
      <c r="N539" s="100">
        <f>FR_04013_m+FR_04013_p</f>
        <v>3.7171725000000002</v>
      </c>
      <c r="O539" s="93"/>
    </row>
    <row r="540" spans="1:15" x14ac:dyDescent="0.25">
      <c r="A540" s="757" t="s">
        <v>125</v>
      </c>
      <c r="B540" s="133" t="s">
        <v>1412</v>
      </c>
      <c r="C540" s="94"/>
      <c r="D540" s="757" t="s">
        <v>122</v>
      </c>
      <c r="E540" s="270" t="s">
        <v>522</v>
      </c>
      <c r="F540" s="94"/>
      <c r="G540" s="94"/>
      <c r="H540" s="94"/>
      <c r="I540" s="94"/>
      <c r="J540" s="94"/>
      <c r="K540" s="94"/>
      <c r="L540" s="94"/>
      <c r="M540" s="757" t="s">
        <v>124</v>
      </c>
      <c r="N540" s="136">
        <v>1</v>
      </c>
      <c r="O540" s="93"/>
    </row>
    <row r="541" spans="1:15" x14ac:dyDescent="0.25">
      <c r="A541" s="757" t="s">
        <v>123</v>
      </c>
      <c r="B541" s="270" t="str">
        <f>'FR Assemblies'!B104</f>
        <v>Pedal Assembly</v>
      </c>
      <c r="C541" s="94"/>
      <c r="D541" s="757" t="s">
        <v>119</v>
      </c>
      <c r="E541" s="94"/>
      <c r="F541" s="94"/>
      <c r="G541" s="94"/>
      <c r="H541" s="94"/>
      <c r="I541" s="94"/>
      <c r="J541" s="758" t="s">
        <v>122</v>
      </c>
      <c r="K541" s="94"/>
      <c r="L541" s="94"/>
      <c r="M541" s="94"/>
      <c r="N541" s="94"/>
      <c r="O541" s="93"/>
    </row>
    <row r="542" spans="1:15" x14ac:dyDescent="0.25">
      <c r="A542" s="757" t="s">
        <v>114</v>
      </c>
      <c r="B542" s="764" t="s">
        <v>1611</v>
      </c>
      <c r="C542" s="94"/>
      <c r="D542" s="757" t="s">
        <v>116</v>
      </c>
      <c r="E542" s="94"/>
      <c r="F542" s="94"/>
      <c r="G542" s="94"/>
      <c r="H542" s="94"/>
      <c r="I542" s="94"/>
      <c r="J542" s="758" t="s">
        <v>119</v>
      </c>
      <c r="K542" s="94"/>
      <c r="L542" s="94"/>
      <c r="M542" s="757" t="s">
        <v>118</v>
      </c>
      <c r="N542" s="100">
        <f>N540*N539</f>
        <v>3.7171725000000002</v>
      </c>
      <c r="O542" s="93"/>
    </row>
    <row r="543" spans="1:15" x14ac:dyDescent="0.25">
      <c r="A543" s="757" t="s">
        <v>121</v>
      </c>
      <c r="B543" s="269" t="s">
        <v>1610</v>
      </c>
      <c r="C543" s="94"/>
      <c r="D543" s="94"/>
      <c r="E543" s="94"/>
      <c r="F543" s="94"/>
      <c r="G543" s="94"/>
      <c r="H543" s="94"/>
      <c r="I543" s="94"/>
      <c r="J543" s="758" t="s">
        <v>116</v>
      </c>
      <c r="K543" s="94"/>
      <c r="L543" s="94"/>
      <c r="M543" s="94"/>
      <c r="N543" s="94"/>
      <c r="O543" s="93"/>
    </row>
    <row r="544" spans="1:15" x14ac:dyDescent="0.25">
      <c r="A544" s="757" t="s">
        <v>117</v>
      </c>
      <c r="B544" s="133" t="s">
        <v>23</v>
      </c>
      <c r="C544" s="94"/>
      <c r="D544" s="94"/>
      <c r="E544" s="94"/>
      <c r="F544" s="94"/>
      <c r="G544" s="94"/>
      <c r="H544" s="94"/>
      <c r="I544" s="94"/>
      <c r="J544" s="94"/>
      <c r="K544" s="94"/>
      <c r="L544" s="94"/>
      <c r="M544" s="94"/>
      <c r="N544" s="94"/>
      <c r="O544" s="93"/>
    </row>
    <row r="545" spans="1:15" x14ac:dyDescent="0.25">
      <c r="A545" s="757" t="s">
        <v>115</v>
      </c>
      <c r="B545" s="744"/>
      <c r="C545" s="94"/>
      <c r="D545" s="94"/>
      <c r="E545" s="94"/>
      <c r="F545" s="94"/>
      <c r="G545" s="94"/>
      <c r="H545" s="94"/>
      <c r="I545" s="94"/>
      <c r="J545" s="94"/>
      <c r="K545" s="94"/>
      <c r="L545" s="94"/>
      <c r="M545" s="94"/>
      <c r="N545" s="94"/>
      <c r="O545" s="93"/>
    </row>
    <row r="546" spans="1:15" x14ac:dyDescent="0.25">
      <c r="A546" s="266"/>
      <c r="B546" s="265"/>
      <c r="C546" s="265"/>
      <c r="D546" s="265"/>
      <c r="E546" s="265"/>
      <c r="F546" s="94"/>
      <c r="G546" s="94"/>
      <c r="H546" s="94"/>
      <c r="I546" s="94"/>
      <c r="J546" s="94"/>
      <c r="K546" s="94"/>
      <c r="L546" s="94"/>
      <c r="M546" s="94"/>
      <c r="N546" s="94"/>
      <c r="O546" s="93"/>
    </row>
    <row r="547" spans="1:15" x14ac:dyDescent="0.25">
      <c r="A547" s="756" t="s">
        <v>67</v>
      </c>
      <c r="B547" s="755" t="s">
        <v>112</v>
      </c>
      <c r="C547" s="755" t="s">
        <v>66</v>
      </c>
      <c r="D547" s="755" t="s">
        <v>65</v>
      </c>
      <c r="E547" s="755" t="s">
        <v>81</v>
      </c>
      <c r="F547" s="1001" t="s">
        <v>80</v>
      </c>
      <c r="G547" s="1001" t="s">
        <v>79</v>
      </c>
      <c r="H547" s="1001" t="s">
        <v>78</v>
      </c>
      <c r="I547" s="1001" t="s">
        <v>111</v>
      </c>
      <c r="J547" s="1001" t="s">
        <v>110</v>
      </c>
      <c r="K547" s="1001" t="s">
        <v>109</v>
      </c>
      <c r="L547" s="1001" t="s">
        <v>108</v>
      </c>
      <c r="M547" s="1001" t="s">
        <v>40</v>
      </c>
      <c r="N547" s="1001" t="s">
        <v>58</v>
      </c>
      <c r="O547" s="93"/>
    </row>
    <row r="548" spans="1:15" ht="30" x14ac:dyDescent="0.25">
      <c r="A548" s="987">
        <v>10</v>
      </c>
      <c r="B548" s="987" t="s">
        <v>583</v>
      </c>
      <c r="C548" s="987"/>
      <c r="D548" s="988">
        <v>2.25</v>
      </c>
      <c r="E548" s="987">
        <v>74</v>
      </c>
      <c r="F548" s="987" t="s">
        <v>68</v>
      </c>
      <c r="G548" s="987">
        <v>2</v>
      </c>
      <c r="H548" s="1010" t="s">
        <v>68</v>
      </c>
      <c r="I548" s="996" t="s">
        <v>1609</v>
      </c>
      <c r="J548" s="1009">
        <f>0.002*0.074</f>
        <v>1.4799999999999999E-4</v>
      </c>
      <c r="K548" s="1008">
        <v>0.125</v>
      </c>
      <c r="L548" s="1007">
        <v>7860</v>
      </c>
      <c r="M548" s="1006">
        <v>1</v>
      </c>
      <c r="N548" s="991">
        <f>D548*J548*M548*K548*L548</f>
        <v>0.32717249999999998</v>
      </c>
      <c r="O548" s="93"/>
    </row>
    <row r="549" spans="1:15" x14ac:dyDescent="0.25">
      <c r="A549" s="98"/>
      <c r="B549" s="95"/>
      <c r="C549" s="95"/>
      <c r="D549" s="95"/>
      <c r="E549" s="95"/>
      <c r="F549" s="95"/>
      <c r="G549" s="95"/>
      <c r="H549" s="95"/>
      <c r="I549" s="95"/>
      <c r="J549" s="754"/>
      <c r="K549" s="754"/>
      <c r="L549" s="95"/>
      <c r="M549" s="990" t="s">
        <v>58</v>
      </c>
      <c r="N549" s="750">
        <f>SUM(N548:N548)</f>
        <v>0.32717249999999998</v>
      </c>
      <c r="O549" s="93"/>
    </row>
    <row r="550" spans="1:15" x14ac:dyDescent="0.25">
      <c r="A550" s="107"/>
      <c r="B550" s="94"/>
      <c r="C550" s="94"/>
      <c r="D550" s="94"/>
      <c r="E550" s="94"/>
      <c r="F550" s="94"/>
      <c r="G550" s="94"/>
      <c r="H550" s="94"/>
      <c r="I550" s="94"/>
      <c r="J550" s="94"/>
      <c r="K550" s="94"/>
      <c r="L550" s="94"/>
      <c r="M550" s="94"/>
      <c r="N550" s="94"/>
      <c r="O550" s="93"/>
    </row>
    <row r="551" spans="1:15" x14ac:dyDescent="0.25">
      <c r="A551" s="1005" t="s">
        <v>67</v>
      </c>
      <c r="B551" s="776" t="s">
        <v>106</v>
      </c>
      <c r="C551" s="1001" t="s">
        <v>66</v>
      </c>
      <c r="D551" s="1001" t="s">
        <v>65</v>
      </c>
      <c r="E551" s="1001" t="s">
        <v>64</v>
      </c>
      <c r="F551" s="1001" t="s">
        <v>40</v>
      </c>
      <c r="G551" s="1001" t="s">
        <v>105</v>
      </c>
      <c r="H551" s="1001" t="s">
        <v>104</v>
      </c>
      <c r="I551" s="1001" t="s">
        <v>58</v>
      </c>
      <c r="J551" s="95"/>
      <c r="K551" s="95"/>
      <c r="L551" s="95"/>
      <c r="M551" s="95"/>
      <c r="N551" s="95"/>
      <c r="O551" s="93"/>
    </row>
    <row r="552" spans="1:15" x14ac:dyDescent="0.25">
      <c r="A552" s="1004">
        <v>10</v>
      </c>
      <c r="B552" s="951" t="s">
        <v>516</v>
      </c>
      <c r="C552" s="1004" t="s">
        <v>802</v>
      </c>
      <c r="D552" s="988">
        <v>1.3</v>
      </c>
      <c r="E552" s="987" t="s">
        <v>64</v>
      </c>
      <c r="F552" s="987">
        <v>1</v>
      </c>
      <c r="G552" s="1004"/>
      <c r="H552" s="1004"/>
      <c r="I552" s="949">
        <f>IF(H552="",D552*F552,D552*F552*H552)</f>
        <v>1.3</v>
      </c>
      <c r="J552" s="142"/>
      <c r="K552" s="142"/>
      <c r="L552" s="142"/>
      <c r="M552" s="142"/>
      <c r="N552" s="142"/>
      <c r="O552" s="120"/>
    </row>
    <row r="553" spans="1:15" x14ac:dyDescent="0.25">
      <c r="A553" s="986">
        <v>20</v>
      </c>
      <c r="B553" s="951" t="s">
        <v>541</v>
      </c>
      <c r="C553" s="986" t="s">
        <v>834</v>
      </c>
      <c r="D553" s="988">
        <v>0.01</v>
      </c>
      <c r="E553" s="987" t="s">
        <v>101</v>
      </c>
      <c r="F553" s="987">
        <v>53</v>
      </c>
      <c r="G553" s="951" t="s">
        <v>724</v>
      </c>
      <c r="H553" s="1002">
        <v>3</v>
      </c>
      <c r="I553" s="949">
        <f>IF(H553="",D553*F553,D553*F553*H553)</f>
        <v>1.59</v>
      </c>
      <c r="J553" s="142"/>
      <c r="K553" s="142"/>
      <c r="L553" s="142"/>
      <c r="M553" s="142"/>
      <c r="N553" s="142"/>
      <c r="O553" s="120"/>
    </row>
    <row r="554" spans="1:15" x14ac:dyDescent="0.25">
      <c r="A554" s="986">
        <v>30</v>
      </c>
      <c r="B554" s="951" t="s">
        <v>539</v>
      </c>
      <c r="C554" s="986" t="s">
        <v>1567</v>
      </c>
      <c r="D554" s="1003">
        <v>0.25</v>
      </c>
      <c r="E554" s="951" t="s">
        <v>537</v>
      </c>
      <c r="F554" s="987">
        <v>2</v>
      </c>
      <c r="G554" s="951"/>
      <c r="H554" s="1002"/>
      <c r="I554" s="949">
        <f>IF(H554="",D554*F554,D554*F554*H554)</f>
        <v>0.5</v>
      </c>
      <c r="J554" s="142"/>
      <c r="K554" s="142"/>
      <c r="L554" s="142"/>
      <c r="M554" s="142"/>
      <c r="N554" s="142"/>
      <c r="O554" s="120"/>
    </row>
    <row r="555" spans="1:15" x14ac:dyDescent="0.25">
      <c r="A555" s="98"/>
      <c r="B555" s="95"/>
      <c r="C555" s="95"/>
      <c r="D555" s="95"/>
      <c r="E555" s="95"/>
      <c r="F555" s="95"/>
      <c r="G555" s="95"/>
      <c r="H555" s="751" t="s">
        <v>58</v>
      </c>
      <c r="I555" s="750">
        <f>SUM(I552:I554)</f>
        <v>3.39</v>
      </c>
      <c r="J555" s="95"/>
      <c r="K555" s="95"/>
      <c r="L555" s="95"/>
      <c r="M555" s="95"/>
      <c r="N555" s="95"/>
      <c r="O555" s="93"/>
    </row>
    <row r="556" spans="1:15" ht="15.75" thickBot="1" x14ac:dyDescent="0.3">
      <c r="A556" s="92"/>
      <c r="B556" s="91"/>
      <c r="C556" s="91"/>
      <c r="D556" s="91"/>
      <c r="E556" s="91"/>
      <c r="F556" s="91"/>
      <c r="G556" s="91"/>
      <c r="H556" s="91"/>
      <c r="I556" s="91"/>
      <c r="J556" s="91"/>
      <c r="K556" s="91"/>
      <c r="L556" s="91"/>
      <c r="M556" s="91"/>
      <c r="N556" s="91"/>
      <c r="O556" s="90"/>
    </row>
    <row r="557" spans="1:15" ht="15.75" thickBot="1" x14ac:dyDescent="0.3"/>
    <row r="558" spans="1:15" x14ac:dyDescent="0.25">
      <c r="A558" s="141"/>
      <c r="B558" s="140"/>
      <c r="C558" s="140"/>
      <c r="D558" s="140"/>
      <c r="E558" s="140"/>
      <c r="F558" s="140"/>
      <c r="G558" s="140"/>
      <c r="H558" s="140"/>
      <c r="I558" s="140"/>
      <c r="J558" s="272"/>
      <c r="K558" s="140"/>
      <c r="L558" s="140"/>
      <c r="M558" s="140"/>
      <c r="N558" s="140"/>
      <c r="O558" s="139"/>
    </row>
    <row r="559" spans="1:15" x14ac:dyDescent="0.25">
      <c r="A559" s="757" t="s">
        <v>57</v>
      </c>
      <c r="B559" s="133" t="s">
        <v>523</v>
      </c>
      <c r="C559" s="94"/>
      <c r="D559" s="94"/>
      <c r="E559" s="94"/>
      <c r="F559" s="94"/>
      <c r="G559" s="94"/>
      <c r="H559" s="94"/>
      <c r="I559" s="94"/>
      <c r="J559" s="760" t="s">
        <v>51</v>
      </c>
      <c r="K559" s="138">
        <v>81</v>
      </c>
      <c r="L559" s="94"/>
      <c r="M559" s="757" t="s">
        <v>113</v>
      </c>
      <c r="N559" s="100">
        <f>FR_04014_m+FR_04014_p</f>
        <v>3.0421120000000004</v>
      </c>
      <c r="O559" s="93"/>
    </row>
    <row r="560" spans="1:15" x14ac:dyDescent="0.25">
      <c r="A560" s="757" t="s">
        <v>125</v>
      </c>
      <c r="B560" s="133" t="s">
        <v>1412</v>
      </c>
      <c r="C560" s="94"/>
      <c r="D560" s="757" t="s">
        <v>122</v>
      </c>
      <c r="E560" s="94"/>
      <c r="F560" s="94"/>
      <c r="G560" s="94"/>
      <c r="H560" s="94"/>
      <c r="I560" s="94"/>
      <c r="J560" s="94"/>
      <c r="K560" s="94"/>
      <c r="L560" s="94"/>
      <c r="M560" s="757" t="s">
        <v>124</v>
      </c>
      <c r="N560" s="136">
        <v>2</v>
      </c>
      <c r="O560" s="93"/>
    </row>
    <row r="561" spans="1:15" x14ac:dyDescent="0.25">
      <c r="A561" s="757" t="s">
        <v>123</v>
      </c>
      <c r="B561" s="270" t="str">
        <f>'FR Assemblies'!B104</f>
        <v>Pedal Assembly</v>
      </c>
      <c r="C561" s="94"/>
      <c r="D561" s="757" t="s">
        <v>119</v>
      </c>
      <c r="E561" s="94"/>
      <c r="F561" s="94"/>
      <c r="G561" s="94"/>
      <c r="H561" s="94"/>
      <c r="I561" s="94"/>
      <c r="J561" s="758" t="s">
        <v>122</v>
      </c>
      <c r="K561" s="94"/>
      <c r="L561" s="94"/>
      <c r="M561" s="94"/>
      <c r="N561" s="94"/>
      <c r="O561" s="93"/>
    </row>
    <row r="562" spans="1:15" x14ac:dyDescent="0.25">
      <c r="A562" s="757" t="s">
        <v>114</v>
      </c>
      <c r="B562" s="764" t="s">
        <v>1608</v>
      </c>
      <c r="C562" s="94"/>
      <c r="D562" s="757" t="s">
        <v>116</v>
      </c>
      <c r="E562" s="94"/>
      <c r="F562" s="94"/>
      <c r="G562" s="94"/>
      <c r="H562" s="94"/>
      <c r="I562" s="94"/>
      <c r="J562" s="758" t="s">
        <v>119</v>
      </c>
      <c r="K562" s="94"/>
      <c r="L562" s="94"/>
      <c r="M562" s="757" t="s">
        <v>118</v>
      </c>
      <c r="N562" s="100">
        <f>N560*N559</f>
        <v>6.0842240000000007</v>
      </c>
      <c r="O562" s="93"/>
    </row>
    <row r="563" spans="1:15" x14ac:dyDescent="0.25">
      <c r="A563" s="757" t="s">
        <v>121</v>
      </c>
      <c r="B563" s="269" t="s">
        <v>1607</v>
      </c>
      <c r="C563" s="94"/>
      <c r="D563" s="94"/>
      <c r="E563" s="94"/>
      <c r="F563" s="94"/>
      <c r="G563" s="94"/>
      <c r="H563" s="94"/>
      <c r="I563" s="94"/>
      <c r="J563" s="758" t="s">
        <v>116</v>
      </c>
      <c r="K563" s="94"/>
      <c r="L563" s="94"/>
      <c r="M563" s="94"/>
      <c r="N563" s="94"/>
      <c r="O563" s="93"/>
    </row>
    <row r="564" spans="1:15" x14ac:dyDescent="0.25">
      <c r="A564" s="757" t="s">
        <v>117</v>
      </c>
      <c r="B564" s="133" t="s">
        <v>23</v>
      </c>
      <c r="C564" s="94"/>
      <c r="D564" s="94"/>
      <c r="E564" s="94"/>
      <c r="F564" s="94"/>
      <c r="G564" s="94"/>
      <c r="H564" s="94"/>
      <c r="I564" s="94"/>
      <c r="J564" s="94"/>
      <c r="K564" s="94"/>
      <c r="L564" s="94"/>
      <c r="M564" s="94"/>
      <c r="N564" s="94"/>
      <c r="O564" s="93"/>
    </row>
    <row r="565" spans="1:15" x14ac:dyDescent="0.25">
      <c r="A565" s="757" t="s">
        <v>115</v>
      </c>
      <c r="B565" s="744" t="s">
        <v>1606</v>
      </c>
      <c r="C565" s="94"/>
      <c r="D565" s="94"/>
      <c r="E565" s="94"/>
      <c r="F565" s="94"/>
      <c r="G565" s="94"/>
      <c r="H565" s="94"/>
      <c r="I565" s="94"/>
      <c r="J565" s="94"/>
      <c r="K565" s="94"/>
      <c r="L565" s="94"/>
      <c r="M565" s="94"/>
      <c r="N565" s="94"/>
      <c r="O565" s="93"/>
    </row>
    <row r="566" spans="1:15" x14ac:dyDescent="0.25">
      <c r="A566" s="266"/>
      <c r="B566" s="265"/>
      <c r="C566" s="265"/>
      <c r="D566" s="265"/>
      <c r="E566" s="265"/>
      <c r="F566" s="94"/>
      <c r="G566" s="94"/>
      <c r="H566" s="94"/>
      <c r="I566" s="94"/>
      <c r="J566" s="94"/>
      <c r="K566" s="94"/>
      <c r="L566" s="94"/>
      <c r="M566" s="94"/>
      <c r="N566" s="94"/>
      <c r="O566" s="93"/>
    </row>
    <row r="567" spans="1:15" x14ac:dyDescent="0.25">
      <c r="A567" s="756" t="s">
        <v>67</v>
      </c>
      <c r="B567" s="755" t="s">
        <v>112</v>
      </c>
      <c r="C567" s="755" t="s">
        <v>66</v>
      </c>
      <c r="D567" s="755" t="s">
        <v>65</v>
      </c>
      <c r="E567" s="755" t="s">
        <v>81</v>
      </c>
      <c r="F567" s="1001" t="s">
        <v>80</v>
      </c>
      <c r="G567" s="1001" t="s">
        <v>79</v>
      </c>
      <c r="H567" s="1001" t="s">
        <v>78</v>
      </c>
      <c r="I567" s="1001" t="s">
        <v>111</v>
      </c>
      <c r="J567" s="1001" t="s">
        <v>110</v>
      </c>
      <c r="K567" s="1001" t="s">
        <v>109</v>
      </c>
      <c r="L567" s="1001" t="s">
        <v>108</v>
      </c>
      <c r="M567" s="1001" t="s">
        <v>40</v>
      </c>
      <c r="N567" s="1001" t="s">
        <v>58</v>
      </c>
      <c r="O567" s="93"/>
    </row>
    <row r="568" spans="1:15" x14ac:dyDescent="0.25">
      <c r="A568" s="986">
        <v>10</v>
      </c>
      <c r="B568" s="1000" t="s">
        <v>1551</v>
      </c>
      <c r="C568" s="999" t="s">
        <v>682</v>
      </c>
      <c r="D568" s="998">
        <v>4.2</v>
      </c>
      <c r="E568" s="997">
        <f>J568*K568*L568</f>
        <v>4.3359999999999996E-2</v>
      </c>
      <c r="F568" s="986" t="s">
        <v>794</v>
      </c>
      <c r="G568" s="986"/>
      <c r="H568" s="993"/>
      <c r="I568" s="996"/>
      <c r="J568" s="995">
        <v>8.0000000000000002E-3</v>
      </c>
      <c r="K568" s="994">
        <v>2E-3</v>
      </c>
      <c r="L568" s="993">
        <v>2710</v>
      </c>
      <c r="M568" s="992">
        <v>1</v>
      </c>
      <c r="N568" s="991">
        <f>E568*D568*M568</f>
        <v>0.182112</v>
      </c>
      <c r="O568" s="93"/>
    </row>
    <row r="569" spans="1:15" x14ac:dyDescent="0.25">
      <c r="A569" s="98"/>
      <c r="B569" s="95"/>
      <c r="C569" s="95"/>
      <c r="D569" s="95"/>
      <c r="E569" s="95"/>
      <c r="F569" s="95"/>
      <c r="G569" s="95"/>
      <c r="H569" s="95"/>
      <c r="I569" s="95"/>
      <c r="J569" s="754"/>
      <c r="K569" s="754"/>
      <c r="L569" s="95"/>
      <c r="M569" s="990" t="s">
        <v>58</v>
      </c>
      <c r="N569" s="750">
        <f>SUM(N568:N568)</f>
        <v>0.182112</v>
      </c>
      <c r="O569" s="93"/>
    </row>
    <row r="570" spans="1:15" x14ac:dyDescent="0.25">
      <c r="A570" s="107"/>
      <c r="B570" s="94"/>
      <c r="C570" s="94"/>
      <c r="D570" s="94"/>
      <c r="E570" s="94"/>
      <c r="F570" s="94"/>
      <c r="G570" s="94"/>
      <c r="H570" s="94"/>
      <c r="I570" s="94"/>
      <c r="J570" s="94"/>
      <c r="K570" s="94"/>
      <c r="L570" s="94"/>
      <c r="M570" s="94"/>
      <c r="N570" s="94"/>
      <c r="O570" s="93"/>
    </row>
    <row r="571" spans="1:15" x14ac:dyDescent="0.25">
      <c r="A571" s="777" t="s">
        <v>67</v>
      </c>
      <c r="B571" s="776" t="s">
        <v>106</v>
      </c>
      <c r="C571" s="776" t="s">
        <v>66</v>
      </c>
      <c r="D571" s="776" t="s">
        <v>65</v>
      </c>
      <c r="E571" s="776" t="s">
        <v>64</v>
      </c>
      <c r="F571" s="776" t="s">
        <v>40</v>
      </c>
      <c r="G571" s="776" t="s">
        <v>105</v>
      </c>
      <c r="H571" s="776" t="s">
        <v>104</v>
      </c>
      <c r="I571" s="776" t="s">
        <v>58</v>
      </c>
      <c r="J571" s="95"/>
      <c r="K571" s="95"/>
      <c r="L571" s="95"/>
      <c r="M571" s="95"/>
      <c r="N571" s="95"/>
      <c r="O571" s="93"/>
    </row>
    <row r="572" spans="1:15" x14ac:dyDescent="0.25">
      <c r="A572" s="986">
        <v>10</v>
      </c>
      <c r="B572" s="951" t="s">
        <v>516</v>
      </c>
      <c r="C572" s="989" t="s">
        <v>528</v>
      </c>
      <c r="D572" s="950">
        <v>1.3</v>
      </c>
      <c r="E572" s="986" t="s">
        <v>64</v>
      </c>
      <c r="F572" s="986">
        <v>1</v>
      </c>
      <c r="G572" s="986"/>
      <c r="H572" s="986"/>
      <c r="I572" s="949">
        <f>IF(H572="",D572*F572,D572*F572*H572)</f>
        <v>1.3</v>
      </c>
      <c r="J572" s="142"/>
      <c r="K572" s="142"/>
      <c r="L572" s="142"/>
      <c r="M572" s="142"/>
      <c r="N572" s="142"/>
      <c r="O572" s="120"/>
    </row>
    <row r="573" spans="1:15" x14ac:dyDescent="0.25">
      <c r="A573" s="986">
        <v>20</v>
      </c>
      <c r="B573" s="951" t="s">
        <v>541</v>
      </c>
      <c r="C573" s="989"/>
      <c r="D573" s="988">
        <v>0.01</v>
      </c>
      <c r="E573" s="987" t="s">
        <v>101</v>
      </c>
      <c r="F573" s="986">
        <v>36</v>
      </c>
      <c r="G573" s="951"/>
      <c r="H573" s="986"/>
      <c r="I573" s="949">
        <f>IF(H573="",D573*F573,D573*F573*H573)</f>
        <v>0.36</v>
      </c>
      <c r="J573" s="142"/>
      <c r="K573" s="142"/>
      <c r="L573" s="142"/>
      <c r="M573" s="142"/>
      <c r="N573" s="142"/>
      <c r="O573" s="120"/>
    </row>
    <row r="574" spans="1:15" x14ac:dyDescent="0.25">
      <c r="A574" s="986">
        <v>30</v>
      </c>
      <c r="B574" s="945" t="s">
        <v>539</v>
      </c>
      <c r="D574" s="985">
        <v>0.25</v>
      </c>
      <c r="E574" s="945" t="s">
        <v>537</v>
      </c>
      <c r="F574" s="828">
        <v>2</v>
      </c>
      <c r="G574" s="818"/>
      <c r="H574" s="828"/>
      <c r="I574" s="817">
        <f>IF(H574="",D574*F574,D574*F574*H574)</f>
        <v>0.5</v>
      </c>
      <c r="J574" s="142"/>
      <c r="K574" s="142"/>
      <c r="L574" s="142"/>
      <c r="M574" s="142"/>
      <c r="N574" s="142"/>
      <c r="O574" s="120"/>
    </row>
    <row r="575" spans="1:15" x14ac:dyDescent="0.25">
      <c r="A575" s="828">
        <v>40</v>
      </c>
      <c r="B575" s="818" t="s">
        <v>296</v>
      </c>
      <c r="C575" s="841" t="s">
        <v>1605</v>
      </c>
      <c r="D575" s="840">
        <v>0.35</v>
      </c>
      <c r="E575" s="828" t="s">
        <v>64</v>
      </c>
      <c r="F575" s="828">
        <v>2</v>
      </c>
      <c r="G575" s="818"/>
      <c r="H575" s="828"/>
      <c r="I575" s="817">
        <f>IF(H575="",D575*F575,D575*F575*H575)</f>
        <v>0.7</v>
      </c>
      <c r="J575" s="142"/>
      <c r="K575" s="142"/>
      <c r="L575" s="142"/>
      <c r="M575" s="142"/>
      <c r="N575" s="142"/>
      <c r="O575" s="120"/>
    </row>
    <row r="576" spans="1:15" x14ac:dyDescent="0.25">
      <c r="A576" s="98"/>
      <c r="B576" s="95"/>
      <c r="C576" s="95"/>
      <c r="D576" s="95"/>
      <c r="E576" s="95"/>
      <c r="F576" s="95"/>
      <c r="G576" s="95"/>
      <c r="H576" s="751" t="s">
        <v>58</v>
      </c>
      <c r="I576" s="750">
        <f>SUM(I572:I575)</f>
        <v>2.8600000000000003</v>
      </c>
      <c r="J576" s="95"/>
      <c r="K576" s="95"/>
      <c r="L576" s="95"/>
      <c r="M576" s="95"/>
      <c r="N576" s="95"/>
      <c r="O576" s="93"/>
    </row>
    <row r="577" spans="1:15" ht="15.75" thickBot="1" x14ac:dyDescent="0.3">
      <c r="A577" s="92"/>
      <c r="B577" s="91"/>
      <c r="C577" s="91"/>
      <c r="D577" s="91"/>
      <c r="E577" s="91"/>
      <c r="F577" s="91"/>
      <c r="G577" s="91"/>
      <c r="H577" s="91"/>
      <c r="I577" s="91"/>
      <c r="J577" s="91"/>
      <c r="K577" s="91"/>
      <c r="L577" s="91"/>
      <c r="M577" s="91"/>
      <c r="N577" s="91"/>
      <c r="O577" s="90"/>
    </row>
    <row r="578" spans="1:15" ht="15.75" thickBot="1" x14ac:dyDescent="0.3"/>
    <row r="579" spans="1:15" x14ac:dyDescent="0.25">
      <c r="A579" s="141"/>
      <c r="B579" s="140"/>
      <c r="C579" s="140"/>
      <c r="D579" s="140"/>
      <c r="E579" s="140"/>
      <c r="F579" s="140"/>
      <c r="G579" s="140"/>
      <c r="H579" s="140"/>
      <c r="I579" s="140"/>
      <c r="J579" s="272"/>
      <c r="K579" s="140"/>
      <c r="L579" s="140"/>
      <c r="M579" s="140"/>
      <c r="N579" s="140"/>
      <c r="O579" s="139"/>
    </row>
    <row r="580" spans="1:15" x14ac:dyDescent="0.25">
      <c r="A580" s="757" t="s">
        <v>57</v>
      </c>
      <c r="B580" s="133" t="s">
        <v>523</v>
      </c>
      <c r="C580" s="94"/>
      <c r="D580" s="94"/>
      <c r="E580" s="94"/>
      <c r="F580" s="94"/>
      <c r="G580" s="94"/>
      <c r="H580" s="94"/>
      <c r="I580" s="94"/>
      <c r="J580" s="760" t="s">
        <v>51</v>
      </c>
      <c r="K580" s="138">
        <v>81</v>
      </c>
      <c r="L580" s="94"/>
      <c r="M580" s="757" t="s">
        <v>113</v>
      </c>
      <c r="N580" s="100">
        <f>FR_04015_m+FR_04015_p</f>
        <v>76.731391999999985</v>
      </c>
      <c r="O580" s="93"/>
    </row>
    <row r="581" spans="1:15" x14ac:dyDescent="0.25">
      <c r="A581" s="757" t="s">
        <v>125</v>
      </c>
      <c r="B581" s="133" t="s">
        <v>1412</v>
      </c>
      <c r="C581" s="94"/>
      <c r="D581" s="757" t="s">
        <v>122</v>
      </c>
      <c r="E581" s="270" t="s">
        <v>522</v>
      </c>
      <c r="F581" s="94"/>
      <c r="G581" s="94"/>
      <c r="H581" s="94"/>
      <c r="I581" s="94"/>
      <c r="J581" s="94"/>
      <c r="K581" s="94"/>
      <c r="L581" s="94"/>
      <c r="M581" s="757" t="s">
        <v>124</v>
      </c>
      <c r="N581" s="136">
        <v>1</v>
      </c>
      <c r="O581" s="93"/>
    </row>
    <row r="582" spans="1:15" x14ac:dyDescent="0.25">
      <c r="A582" s="757" t="s">
        <v>123</v>
      </c>
      <c r="B582" s="270" t="str">
        <f>'FR Assemblies'!B104</f>
        <v>Pedal Assembly</v>
      </c>
      <c r="C582" s="94"/>
      <c r="D582" s="757" t="s">
        <v>119</v>
      </c>
      <c r="E582" s="94"/>
      <c r="F582" s="94"/>
      <c r="G582" s="94"/>
      <c r="H582" s="94"/>
      <c r="I582" s="94"/>
      <c r="J582" s="758" t="s">
        <v>122</v>
      </c>
      <c r="K582" s="94"/>
      <c r="L582" s="94"/>
      <c r="M582" s="94"/>
      <c r="N582" s="94"/>
      <c r="O582" s="93"/>
    </row>
    <row r="583" spans="1:15" x14ac:dyDescent="0.25">
      <c r="A583" s="757" t="s">
        <v>114</v>
      </c>
      <c r="B583" s="764" t="s">
        <v>1603</v>
      </c>
      <c r="C583" s="94"/>
      <c r="D583" s="757" t="s">
        <v>116</v>
      </c>
      <c r="E583" s="94"/>
      <c r="F583" s="94"/>
      <c r="G583" s="94"/>
      <c r="H583" s="94"/>
      <c r="I583" s="94"/>
      <c r="J583" s="758" t="s">
        <v>119</v>
      </c>
      <c r="K583" s="94"/>
      <c r="L583" s="94"/>
      <c r="M583" s="757" t="s">
        <v>118</v>
      </c>
      <c r="N583" s="100">
        <f>N581*N580</f>
        <v>76.731391999999985</v>
      </c>
      <c r="O583" s="93"/>
    </row>
    <row r="584" spans="1:15" x14ac:dyDescent="0.25">
      <c r="A584" s="757" t="s">
        <v>121</v>
      </c>
      <c r="B584" s="269" t="s">
        <v>1604</v>
      </c>
      <c r="C584" s="94"/>
      <c r="D584" s="94"/>
      <c r="E584" s="94"/>
      <c r="F584" s="94"/>
      <c r="G584" s="94"/>
      <c r="H584" s="94"/>
      <c r="I584" s="94"/>
      <c r="J584" s="758" t="s">
        <v>116</v>
      </c>
      <c r="K584" s="94"/>
      <c r="L584" s="94"/>
      <c r="M584" s="94"/>
      <c r="N584" s="94"/>
      <c r="O584" s="93"/>
    </row>
    <row r="585" spans="1:15" x14ac:dyDescent="0.25">
      <c r="A585" s="757" t="s">
        <v>117</v>
      </c>
      <c r="B585" s="133" t="s">
        <v>23</v>
      </c>
      <c r="C585" s="94"/>
      <c r="D585" s="94"/>
      <c r="E585" s="94"/>
      <c r="F585" s="94"/>
      <c r="G585" s="94"/>
      <c r="H585" s="94"/>
      <c r="I585" s="94"/>
      <c r="J585" s="94"/>
      <c r="K585" s="94"/>
      <c r="L585" s="94"/>
      <c r="M585" s="94"/>
      <c r="N585" s="94"/>
      <c r="O585" s="93"/>
    </row>
    <row r="586" spans="1:15" x14ac:dyDescent="0.25">
      <c r="A586" s="757" t="s">
        <v>115</v>
      </c>
      <c r="B586" s="744" t="s">
        <v>1603</v>
      </c>
      <c r="C586" s="94"/>
      <c r="D586" s="94"/>
      <c r="E586" s="94"/>
      <c r="F586" s="94"/>
      <c r="G586" s="94"/>
      <c r="H586" s="94"/>
      <c r="I586" s="94"/>
      <c r="J586" s="94"/>
      <c r="K586" s="94"/>
      <c r="L586" s="94"/>
      <c r="M586" s="94"/>
      <c r="N586" s="94"/>
      <c r="O586" s="93"/>
    </row>
    <row r="587" spans="1:15" x14ac:dyDescent="0.25">
      <c r="A587" s="266"/>
      <c r="B587" s="265"/>
      <c r="C587" s="265"/>
      <c r="D587" s="265"/>
      <c r="E587" s="265"/>
      <c r="F587" s="94"/>
      <c r="G587" s="94"/>
      <c r="H587" s="94"/>
      <c r="I587" s="94"/>
      <c r="J587" s="94"/>
      <c r="K587" s="94"/>
      <c r="L587" s="94"/>
      <c r="M587" s="94"/>
      <c r="N587" s="94"/>
      <c r="O587" s="93"/>
    </row>
    <row r="588" spans="1:15" x14ac:dyDescent="0.25">
      <c r="A588" s="756" t="s">
        <v>67</v>
      </c>
      <c r="B588" s="755" t="s">
        <v>112</v>
      </c>
      <c r="C588" s="755" t="s">
        <v>66</v>
      </c>
      <c r="D588" s="755" t="s">
        <v>65</v>
      </c>
      <c r="E588" s="755" t="s">
        <v>81</v>
      </c>
      <c r="F588" s="816" t="s">
        <v>80</v>
      </c>
      <c r="G588" s="816" t="s">
        <v>79</v>
      </c>
      <c r="H588" s="816" t="s">
        <v>78</v>
      </c>
      <c r="I588" s="816" t="s">
        <v>111</v>
      </c>
      <c r="J588" s="816" t="s">
        <v>110</v>
      </c>
      <c r="K588" s="816" t="s">
        <v>109</v>
      </c>
      <c r="L588" s="816" t="s">
        <v>108</v>
      </c>
      <c r="M588" s="816" t="s">
        <v>40</v>
      </c>
      <c r="N588" s="816" t="s">
        <v>58</v>
      </c>
      <c r="O588" s="93"/>
    </row>
    <row r="589" spans="1:15" ht="27.75" customHeight="1" x14ac:dyDescent="0.25">
      <c r="A589" s="814">
        <v>10</v>
      </c>
      <c r="B589" s="814" t="s">
        <v>1602</v>
      </c>
      <c r="C589" s="814" t="s">
        <v>1601</v>
      </c>
      <c r="D589" s="815">
        <v>25</v>
      </c>
      <c r="E589" s="1102">
        <f>J589*K589*L589</f>
        <v>1.8388108799999998</v>
      </c>
      <c r="F589" s="814" t="s">
        <v>794</v>
      </c>
      <c r="G589" s="814"/>
      <c r="H589" s="811"/>
      <c r="I589" s="813" t="s">
        <v>1600</v>
      </c>
      <c r="J589" s="825">
        <v>2.356E-3</v>
      </c>
      <c r="K589" s="811">
        <v>0.28799999999999998</v>
      </c>
      <c r="L589" s="811">
        <v>2710</v>
      </c>
      <c r="M589" s="810">
        <v>1</v>
      </c>
      <c r="N589" s="809">
        <f>IF(J589="",D589*M589,D589*J589*K589*L589*M589)</f>
        <v>45.970271999999994</v>
      </c>
      <c r="O589" s="93"/>
    </row>
    <row r="590" spans="1:15" x14ac:dyDescent="0.25">
      <c r="A590" s="98"/>
      <c r="B590" s="95"/>
      <c r="C590" s="95"/>
      <c r="D590" s="95"/>
      <c r="E590" s="95"/>
      <c r="F590" s="95"/>
      <c r="G590" s="95"/>
      <c r="H590" s="95"/>
      <c r="I590" s="95"/>
      <c r="J590" s="754"/>
      <c r="K590" s="754"/>
      <c r="L590" s="95"/>
      <c r="M590" s="808" t="s">
        <v>58</v>
      </c>
      <c r="N590" s="750">
        <f>SUM(N589:N589)</f>
        <v>45.970271999999994</v>
      </c>
      <c r="O590" s="93"/>
    </row>
    <row r="591" spans="1:15" x14ac:dyDescent="0.25">
      <c r="A591" s="107"/>
      <c r="B591" s="94"/>
      <c r="C591" s="94"/>
      <c r="D591" s="94"/>
      <c r="E591" s="94"/>
      <c r="F591" s="94"/>
      <c r="G591" s="94"/>
      <c r="H591" s="94"/>
      <c r="I591" s="94"/>
      <c r="J591" s="94"/>
      <c r="K591" s="94"/>
      <c r="L591" s="94"/>
      <c r="M591" s="94"/>
      <c r="N591" s="94"/>
      <c r="O591" s="93"/>
    </row>
    <row r="592" spans="1:15" x14ac:dyDescent="0.25">
      <c r="A592" s="797" t="s">
        <v>67</v>
      </c>
      <c r="B592" s="816" t="s">
        <v>106</v>
      </c>
      <c r="C592" s="816" t="s">
        <v>66</v>
      </c>
      <c r="D592" s="816" t="s">
        <v>65</v>
      </c>
      <c r="E592" s="816" t="s">
        <v>64</v>
      </c>
      <c r="F592" s="816" t="s">
        <v>40</v>
      </c>
      <c r="G592" s="816" t="s">
        <v>105</v>
      </c>
      <c r="H592" s="816" t="s">
        <v>104</v>
      </c>
      <c r="I592" s="816" t="s">
        <v>58</v>
      </c>
      <c r="J592" s="95"/>
      <c r="K592" s="95"/>
      <c r="L592" s="95"/>
      <c r="M592" s="95"/>
      <c r="N592" s="95"/>
      <c r="O592" s="93"/>
    </row>
    <row r="593" spans="1:15" x14ac:dyDescent="0.25">
      <c r="A593" s="830">
        <v>10</v>
      </c>
      <c r="B593" s="982" t="s">
        <v>516</v>
      </c>
      <c r="C593" s="830" t="s">
        <v>1577</v>
      </c>
      <c r="D593" s="984">
        <v>1.3</v>
      </c>
      <c r="E593" s="983" t="s">
        <v>64</v>
      </c>
      <c r="F593" s="983">
        <v>1</v>
      </c>
      <c r="G593" s="983"/>
      <c r="H593" s="983"/>
      <c r="I593" s="817">
        <f t="shared" ref="I593:I600" si="5">IF(H593="",D593*F593,D593*F593*H593)</f>
        <v>1.3</v>
      </c>
      <c r="J593" s="142"/>
      <c r="K593" s="142"/>
      <c r="L593" s="142"/>
      <c r="M593" s="142"/>
      <c r="N593" s="142"/>
      <c r="O593" s="120"/>
    </row>
    <row r="594" spans="1:15" ht="30" x14ac:dyDescent="0.25">
      <c r="A594" s="772">
        <v>20</v>
      </c>
      <c r="B594" s="830" t="s">
        <v>514</v>
      </c>
      <c r="C594" s="830" t="s">
        <v>1599</v>
      </c>
      <c r="D594" s="775">
        <v>0.04</v>
      </c>
      <c r="E594" s="770" t="s">
        <v>512</v>
      </c>
      <c r="F594" s="774">
        <v>383.52800000000002</v>
      </c>
      <c r="G594" s="770" t="s">
        <v>870</v>
      </c>
      <c r="H594" s="770">
        <v>1</v>
      </c>
      <c r="I594" s="817">
        <f t="shared" si="5"/>
        <v>15.341120000000002</v>
      </c>
      <c r="J594" s="142"/>
      <c r="K594" s="142"/>
      <c r="L594" s="142"/>
      <c r="M594" s="142"/>
      <c r="N594" s="142"/>
      <c r="O594" s="120"/>
    </row>
    <row r="595" spans="1:15" x14ac:dyDescent="0.25">
      <c r="A595" s="772">
        <v>30</v>
      </c>
      <c r="B595" s="982" t="s">
        <v>1357</v>
      </c>
      <c r="C595" s="830" t="s">
        <v>1598</v>
      </c>
      <c r="D595" s="771">
        <v>0.65</v>
      </c>
      <c r="E595" s="770" t="s">
        <v>64</v>
      </c>
      <c r="F595" s="770">
        <v>1</v>
      </c>
      <c r="G595" s="770"/>
      <c r="H595" s="770"/>
      <c r="I595" s="817">
        <f t="shared" si="5"/>
        <v>0.65</v>
      </c>
      <c r="J595" s="142"/>
      <c r="K595" s="142"/>
      <c r="L595" s="142"/>
      <c r="M595" s="142"/>
      <c r="N595" s="142"/>
      <c r="O595" s="120"/>
    </row>
    <row r="596" spans="1:15" ht="30" x14ac:dyDescent="0.25">
      <c r="A596" s="772">
        <v>40</v>
      </c>
      <c r="B596" s="770" t="s">
        <v>514</v>
      </c>
      <c r="C596" s="770" t="s">
        <v>1597</v>
      </c>
      <c r="D596" s="771">
        <v>0.04</v>
      </c>
      <c r="E596" s="770" t="s">
        <v>512</v>
      </c>
      <c r="F596" s="770">
        <v>170</v>
      </c>
      <c r="G596" s="770" t="s">
        <v>870</v>
      </c>
      <c r="H596" s="770">
        <v>1</v>
      </c>
      <c r="I596" s="817">
        <f t="shared" si="5"/>
        <v>6.8</v>
      </c>
      <c r="J596" s="142"/>
      <c r="K596" s="142"/>
      <c r="L596" s="142"/>
      <c r="M596" s="142"/>
      <c r="N596" s="142"/>
      <c r="O596" s="120"/>
    </row>
    <row r="597" spans="1:15" x14ac:dyDescent="0.25">
      <c r="A597" s="814">
        <v>50</v>
      </c>
      <c r="B597" s="819" t="s">
        <v>1357</v>
      </c>
      <c r="C597" s="819"/>
      <c r="D597" s="815">
        <v>0.65</v>
      </c>
      <c r="E597" s="814"/>
      <c r="F597" s="814">
        <v>1</v>
      </c>
      <c r="G597" s="770"/>
      <c r="H597" s="770"/>
      <c r="I597" s="817">
        <f t="shared" si="5"/>
        <v>0.65</v>
      </c>
      <c r="J597" s="142"/>
      <c r="K597" s="142"/>
      <c r="L597" s="142"/>
      <c r="M597" s="142"/>
      <c r="N597" s="142"/>
      <c r="O597" s="120"/>
    </row>
    <row r="598" spans="1:15" ht="30" x14ac:dyDescent="0.25">
      <c r="A598" s="814">
        <v>60</v>
      </c>
      <c r="B598" s="819" t="s">
        <v>514</v>
      </c>
      <c r="C598" s="819" t="s">
        <v>1596</v>
      </c>
      <c r="D598" s="815">
        <v>0.04</v>
      </c>
      <c r="E598" s="814" t="s">
        <v>512</v>
      </c>
      <c r="F598" s="814">
        <v>98</v>
      </c>
      <c r="G598" s="770" t="s">
        <v>870</v>
      </c>
      <c r="H598" s="770">
        <v>1</v>
      </c>
      <c r="I598" s="817">
        <f t="shared" si="5"/>
        <v>3.92</v>
      </c>
      <c r="J598" s="142"/>
      <c r="K598" s="142"/>
      <c r="L598" s="142"/>
      <c r="M598" s="142"/>
      <c r="N598" s="142"/>
      <c r="O598" s="120"/>
    </row>
    <row r="599" spans="1:15" ht="30" x14ac:dyDescent="0.25">
      <c r="A599" s="772">
        <v>70</v>
      </c>
      <c r="B599" s="773" t="s">
        <v>296</v>
      </c>
      <c r="C599" s="770" t="s">
        <v>1595</v>
      </c>
      <c r="D599" s="771">
        <v>0.35</v>
      </c>
      <c r="E599" s="770" t="s">
        <v>294</v>
      </c>
      <c r="F599" s="770">
        <v>4</v>
      </c>
      <c r="G599" s="770"/>
      <c r="H599" s="770"/>
      <c r="I599" s="817">
        <f t="shared" si="5"/>
        <v>1.4</v>
      </c>
      <c r="J599" s="142"/>
      <c r="K599" s="142"/>
      <c r="L599" s="142"/>
      <c r="M599" s="142"/>
      <c r="N599" s="142"/>
      <c r="O599" s="120"/>
    </row>
    <row r="600" spans="1:15" x14ac:dyDescent="0.25">
      <c r="A600" s="772">
        <v>80</v>
      </c>
      <c r="B600" s="770" t="s">
        <v>1594</v>
      </c>
      <c r="C600" s="770" t="s">
        <v>1593</v>
      </c>
      <c r="D600" s="771">
        <v>0.35</v>
      </c>
      <c r="E600" s="770" t="s">
        <v>294</v>
      </c>
      <c r="F600" s="770">
        <v>2</v>
      </c>
      <c r="G600" s="770"/>
      <c r="H600" s="770"/>
      <c r="I600" s="817">
        <f t="shared" si="5"/>
        <v>0.7</v>
      </c>
      <c r="J600" s="142"/>
      <c r="K600" s="142"/>
      <c r="L600" s="142"/>
      <c r="M600" s="142"/>
      <c r="N600" s="142"/>
      <c r="O600" s="120"/>
    </row>
    <row r="601" spans="1:15" x14ac:dyDescent="0.25">
      <c r="A601" s="98"/>
      <c r="B601" s="95"/>
      <c r="C601" s="95"/>
      <c r="D601" s="95"/>
      <c r="E601" s="95"/>
      <c r="F601" s="95"/>
      <c r="G601" s="95"/>
      <c r="H601" s="751" t="s">
        <v>58</v>
      </c>
      <c r="I601" s="750">
        <f>SUM(I593:I600)</f>
        <v>30.761119999999995</v>
      </c>
      <c r="J601" s="95"/>
      <c r="K601" s="95"/>
      <c r="L601" s="95"/>
      <c r="M601" s="95"/>
      <c r="N601" s="95"/>
      <c r="O601" s="93"/>
    </row>
    <row r="602" spans="1:15" ht="15.75" thickBot="1" x14ac:dyDescent="0.3">
      <c r="A602" s="92"/>
      <c r="B602" s="91"/>
      <c r="C602" s="91"/>
      <c r="D602" s="91"/>
      <c r="E602" s="91"/>
      <c r="F602" s="91"/>
      <c r="G602" s="91"/>
      <c r="H602" s="91"/>
      <c r="I602" s="91"/>
      <c r="J602" s="91"/>
      <c r="K602" s="91"/>
      <c r="L602" s="91"/>
      <c r="M602" s="91"/>
      <c r="N602" s="91"/>
      <c r="O602" s="90"/>
    </row>
    <row r="603" spans="1:15" ht="15.75" thickBot="1" x14ac:dyDescent="0.3"/>
    <row r="604" spans="1:15" x14ac:dyDescent="0.25">
      <c r="A604" s="141"/>
      <c r="B604" s="140"/>
      <c r="C604" s="140"/>
      <c r="D604" s="140"/>
      <c r="E604" s="140"/>
      <c r="F604" s="140"/>
      <c r="G604" s="140"/>
      <c r="H604" s="140"/>
      <c r="I604" s="140"/>
      <c r="J604" s="272"/>
      <c r="K604" s="140"/>
      <c r="L604" s="140"/>
      <c r="M604" s="140"/>
      <c r="N604" s="140"/>
      <c r="O604" s="139"/>
    </row>
    <row r="605" spans="1:15" x14ac:dyDescent="0.25">
      <c r="A605" s="757" t="s">
        <v>57</v>
      </c>
      <c r="B605" s="133" t="s">
        <v>523</v>
      </c>
      <c r="C605" s="94"/>
      <c r="D605" s="94"/>
      <c r="E605" s="94"/>
      <c r="F605" s="94"/>
      <c r="G605" s="94"/>
      <c r="H605" s="94"/>
      <c r="I605" s="94"/>
      <c r="J605" s="760" t="s">
        <v>51</v>
      </c>
      <c r="K605" s="138">
        <v>81</v>
      </c>
      <c r="L605" s="94"/>
      <c r="M605" s="757" t="s">
        <v>113</v>
      </c>
      <c r="N605" s="100">
        <f>FR_04016_m+FR_04016_p</f>
        <v>1.4365838331670684</v>
      </c>
      <c r="O605" s="93"/>
    </row>
    <row r="606" spans="1:15" x14ac:dyDescent="0.25">
      <c r="A606" s="757" t="s">
        <v>125</v>
      </c>
      <c r="B606" s="133" t="s">
        <v>1412</v>
      </c>
      <c r="C606" s="94"/>
      <c r="D606" s="757" t="s">
        <v>122</v>
      </c>
      <c r="E606" s="94"/>
      <c r="F606" s="94"/>
      <c r="G606" s="94"/>
      <c r="H606" s="94"/>
      <c r="I606" s="94"/>
      <c r="J606" s="94"/>
      <c r="K606" s="94"/>
      <c r="L606" s="94"/>
      <c r="M606" s="757" t="s">
        <v>124</v>
      </c>
      <c r="N606" s="136">
        <v>2</v>
      </c>
      <c r="O606" s="93"/>
    </row>
    <row r="607" spans="1:15" x14ac:dyDescent="0.25">
      <c r="A607" s="757" t="s">
        <v>123</v>
      </c>
      <c r="B607" s="270" t="str">
        <f>'FR Assemblies'!B104</f>
        <v>Pedal Assembly</v>
      </c>
      <c r="C607" s="94"/>
      <c r="D607" s="757" t="s">
        <v>119</v>
      </c>
      <c r="E607" s="94"/>
      <c r="F607" s="94"/>
      <c r="G607" s="94"/>
      <c r="H607" s="94"/>
      <c r="I607" s="94"/>
      <c r="J607" s="758" t="s">
        <v>122</v>
      </c>
      <c r="K607" s="94"/>
      <c r="L607" s="94"/>
      <c r="M607" s="94"/>
      <c r="N607" s="94"/>
      <c r="O607" s="93"/>
    </row>
    <row r="608" spans="1:15" x14ac:dyDescent="0.25">
      <c r="A608" s="757" t="s">
        <v>114</v>
      </c>
      <c r="B608" s="764" t="s">
        <v>1592</v>
      </c>
      <c r="C608" s="94"/>
      <c r="D608" s="757" t="s">
        <v>116</v>
      </c>
      <c r="E608" s="94"/>
      <c r="F608" s="94"/>
      <c r="G608" s="94"/>
      <c r="H608" s="94"/>
      <c r="I608" s="94"/>
      <c r="J608" s="758" t="s">
        <v>119</v>
      </c>
      <c r="K608" s="94"/>
      <c r="L608" s="94"/>
      <c r="M608" s="757" t="s">
        <v>118</v>
      </c>
      <c r="N608" s="100">
        <f>N606*N605</f>
        <v>2.8731676663341368</v>
      </c>
      <c r="O608" s="93"/>
    </row>
    <row r="609" spans="1:15" x14ac:dyDescent="0.25">
      <c r="A609" s="757" t="s">
        <v>121</v>
      </c>
      <c r="B609" s="269" t="s">
        <v>1591</v>
      </c>
      <c r="C609" s="94"/>
      <c r="D609" s="94"/>
      <c r="E609" s="94"/>
      <c r="F609" s="94"/>
      <c r="G609" s="94"/>
      <c r="H609" s="94"/>
      <c r="I609" s="94"/>
      <c r="J609" s="758" t="s">
        <v>116</v>
      </c>
      <c r="K609" s="94"/>
      <c r="L609" s="94"/>
      <c r="M609" s="94"/>
      <c r="N609" s="94"/>
      <c r="O609" s="93"/>
    </row>
    <row r="610" spans="1:15" x14ac:dyDescent="0.25">
      <c r="A610" s="757" t="s">
        <v>117</v>
      </c>
      <c r="B610" s="133" t="s">
        <v>23</v>
      </c>
      <c r="C610" s="94"/>
      <c r="D610" s="94"/>
      <c r="E610" s="94"/>
      <c r="F610" s="94"/>
      <c r="G610" s="94"/>
      <c r="H610" s="94"/>
      <c r="I610" s="94"/>
      <c r="J610" s="94"/>
      <c r="K610" s="94"/>
      <c r="L610" s="94"/>
      <c r="M610" s="94"/>
      <c r="N610" s="94"/>
      <c r="O610" s="93"/>
    </row>
    <row r="611" spans="1:15" x14ac:dyDescent="0.25">
      <c r="A611" s="757" t="s">
        <v>115</v>
      </c>
      <c r="B611" s="744" t="s">
        <v>1590</v>
      </c>
      <c r="C611" s="94"/>
      <c r="D611" s="94"/>
      <c r="E611" s="94"/>
      <c r="F611" s="94"/>
      <c r="G611" s="94"/>
      <c r="H611" s="94"/>
      <c r="I611" s="94"/>
      <c r="J611" s="94"/>
      <c r="K611" s="94"/>
      <c r="L611" s="94"/>
      <c r="M611" s="94"/>
      <c r="N611" s="94"/>
      <c r="O611" s="93"/>
    </row>
    <row r="612" spans="1:15" x14ac:dyDescent="0.25">
      <c r="A612" s="266"/>
      <c r="B612" s="265"/>
      <c r="C612" s="265"/>
      <c r="D612" s="265"/>
      <c r="E612" s="265"/>
      <c r="F612" s="94"/>
      <c r="G612" s="94"/>
      <c r="H612" s="94"/>
      <c r="I612" s="94"/>
      <c r="J612" s="94"/>
      <c r="K612" s="94"/>
      <c r="L612" s="94"/>
      <c r="M612" s="94"/>
      <c r="N612" s="94"/>
      <c r="O612" s="93"/>
    </row>
    <row r="613" spans="1:15" x14ac:dyDescent="0.25">
      <c r="A613" s="756" t="s">
        <v>67</v>
      </c>
      <c r="B613" s="755" t="s">
        <v>112</v>
      </c>
      <c r="C613" s="755" t="s">
        <v>66</v>
      </c>
      <c r="D613" s="755" t="s">
        <v>65</v>
      </c>
      <c r="E613" s="755" t="s">
        <v>81</v>
      </c>
      <c r="F613" s="816" t="s">
        <v>80</v>
      </c>
      <c r="G613" s="816" t="s">
        <v>79</v>
      </c>
      <c r="H613" s="816" t="s">
        <v>78</v>
      </c>
      <c r="I613" s="816" t="s">
        <v>111</v>
      </c>
      <c r="J613" s="816" t="s">
        <v>110</v>
      </c>
      <c r="K613" s="816" t="s">
        <v>109</v>
      </c>
      <c r="L613" s="816" t="s">
        <v>108</v>
      </c>
      <c r="M613" s="816" t="s">
        <v>40</v>
      </c>
      <c r="N613" s="816" t="s">
        <v>58</v>
      </c>
      <c r="O613" s="93"/>
    </row>
    <row r="614" spans="1:15" ht="30" customHeight="1" x14ac:dyDescent="0.25">
      <c r="A614" s="819">
        <v>10</v>
      </c>
      <c r="B614" s="819" t="s">
        <v>1589</v>
      </c>
      <c r="C614" s="819" t="s">
        <v>1588</v>
      </c>
      <c r="D614" s="823">
        <v>2.2000000000000002</v>
      </c>
      <c r="E614" s="819">
        <v>25</v>
      </c>
      <c r="F614" s="819" t="s">
        <v>68</v>
      </c>
      <c r="G614" s="819"/>
      <c r="H614" s="810"/>
      <c r="I614" s="819" t="s">
        <v>1587</v>
      </c>
      <c r="J614" s="812">
        <v>1.227184630308513E-4</v>
      </c>
      <c r="K614" s="810">
        <v>1.2999999999999999E-2</v>
      </c>
      <c r="L614" s="822">
        <v>8600</v>
      </c>
      <c r="M614" s="810">
        <v>1</v>
      </c>
      <c r="N614" s="809">
        <f>IF(J614="",D614*M614,D614*J614*K614*L614*M614)</f>
        <v>3.0183833167068189E-2</v>
      </c>
      <c r="O614" s="93"/>
    </row>
    <row r="615" spans="1:15" x14ac:dyDescent="0.25">
      <c r="A615" s="98"/>
      <c r="B615" s="95"/>
      <c r="C615" s="95"/>
      <c r="D615" s="95"/>
      <c r="E615" s="95"/>
      <c r="F615" s="95"/>
      <c r="G615" s="95"/>
      <c r="H615" s="95"/>
      <c r="I615" s="95"/>
      <c r="J615" s="754"/>
      <c r="K615" s="754"/>
      <c r="L615" s="95"/>
      <c r="M615" s="808" t="s">
        <v>58</v>
      </c>
      <c r="N615" s="750">
        <f>SUM(N614:N614)</f>
        <v>3.0183833167068189E-2</v>
      </c>
      <c r="O615" s="93"/>
    </row>
    <row r="616" spans="1:15" x14ac:dyDescent="0.25">
      <c r="A616" s="107"/>
      <c r="B616" s="94"/>
      <c r="C616" s="94"/>
      <c r="D616" s="94"/>
      <c r="E616" s="94"/>
      <c r="F616" s="94"/>
      <c r="G616" s="94"/>
      <c r="H616" s="94"/>
      <c r="I616" s="94"/>
      <c r="J616" s="94"/>
      <c r="K616" s="94"/>
      <c r="L616" s="94"/>
      <c r="M616" s="94"/>
      <c r="N616" s="94"/>
      <c r="O616" s="93"/>
    </row>
    <row r="617" spans="1:15" x14ac:dyDescent="0.25">
      <c r="A617" s="797" t="s">
        <v>67</v>
      </c>
      <c r="B617" s="816" t="s">
        <v>106</v>
      </c>
      <c r="C617" s="816" t="s">
        <v>66</v>
      </c>
      <c r="D617" s="816" t="s">
        <v>65</v>
      </c>
      <c r="E617" s="816" t="s">
        <v>64</v>
      </c>
      <c r="F617" s="816" t="s">
        <v>40</v>
      </c>
      <c r="G617" s="816" t="s">
        <v>105</v>
      </c>
      <c r="H617" s="816" t="s">
        <v>104</v>
      </c>
      <c r="I617" s="816" t="s">
        <v>58</v>
      </c>
      <c r="J617" s="95"/>
      <c r="K617" s="95"/>
      <c r="L617" s="95"/>
      <c r="M617" s="95"/>
      <c r="N617" s="95"/>
      <c r="O617" s="93"/>
    </row>
    <row r="618" spans="1:15" x14ac:dyDescent="0.25">
      <c r="A618" s="819">
        <v>10</v>
      </c>
      <c r="B618" s="821" t="s">
        <v>516</v>
      </c>
      <c r="C618" s="819" t="s">
        <v>1577</v>
      </c>
      <c r="D618" s="820">
        <v>1.3</v>
      </c>
      <c r="E618" s="818" t="s">
        <v>64</v>
      </c>
      <c r="F618" s="819">
        <v>1</v>
      </c>
      <c r="G618" s="819"/>
      <c r="H618" s="819"/>
      <c r="I618" s="817">
        <f>IF(H618="",D618*F618,D618*F618*H618)</f>
        <v>1.3</v>
      </c>
      <c r="J618" s="142"/>
      <c r="K618" s="142"/>
      <c r="L618" s="142"/>
      <c r="M618" s="142"/>
      <c r="N618" s="142"/>
      <c r="O618" s="120"/>
    </row>
    <row r="619" spans="1:15" x14ac:dyDescent="0.25">
      <c r="A619" s="819">
        <v>20</v>
      </c>
      <c r="B619" s="818" t="s">
        <v>296</v>
      </c>
      <c r="C619" s="819" t="s">
        <v>1586</v>
      </c>
      <c r="D619" s="820">
        <v>0.04</v>
      </c>
      <c r="E619" s="818" t="s">
        <v>512</v>
      </c>
      <c r="F619" s="818">
        <v>2</v>
      </c>
      <c r="G619" s="819" t="s">
        <v>1585</v>
      </c>
      <c r="H619" s="819">
        <v>1.33</v>
      </c>
      <c r="I619" s="817">
        <f>IF(H619="",D619*F619,D619*F619*H619)</f>
        <v>0.10640000000000001</v>
      </c>
      <c r="J619" s="142"/>
      <c r="K619" s="142"/>
      <c r="L619" s="142"/>
      <c r="M619" s="142"/>
      <c r="N619" s="142"/>
      <c r="O619" s="120"/>
    </row>
    <row r="620" spans="1:15" x14ac:dyDescent="0.25">
      <c r="A620" s="98"/>
      <c r="B620" s="95"/>
      <c r="C620" s="95"/>
      <c r="D620" s="95"/>
      <c r="E620" s="95"/>
      <c r="F620" s="95"/>
      <c r="G620" s="95"/>
      <c r="H620" s="751" t="s">
        <v>58</v>
      </c>
      <c r="I620" s="750">
        <f>SUM(I618:I619)</f>
        <v>1.4064000000000001</v>
      </c>
      <c r="J620" s="95"/>
      <c r="K620" s="95"/>
      <c r="L620" s="95"/>
      <c r="M620" s="95"/>
      <c r="N620" s="95"/>
      <c r="O620" s="93"/>
    </row>
    <row r="621" spans="1:15" ht="15.75" thickBot="1" x14ac:dyDescent="0.3">
      <c r="A621" s="92"/>
      <c r="B621" s="91"/>
      <c r="C621" s="91"/>
      <c r="D621" s="91"/>
      <c r="E621" s="91"/>
      <c r="F621" s="91"/>
      <c r="G621" s="91"/>
      <c r="H621" s="91"/>
      <c r="I621" s="91"/>
      <c r="J621" s="91"/>
      <c r="K621" s="91"/>
      <c r="L621" s="91"/>
      <c r="M621" s="91"/>
      <c r="N621" s="91"/>
      <c r="O621" s="90"/>
    </row>
    <row r="622" spans="1:15" ht="15.75" thickBot="1" x14ac:dyDescent="0.3"/>
    <row r="623" spans="1:15" x14ac:dyDescent="0.25">
      <c r="A623" s="141"/>
      <c r="B623" s="140"/>
      <c r="C623" s="140"/>
      <c r="D623" s="140"/>
      <c r="E623" s="140"/>
      <c r="F623" s="140"/>
      <c r="G623" s="140"/>
      <c r="H623" s="140"/>
      <c r="I623" s="140"/>
      <c r="J623" s="272"/>
      <c r="K623" s="140"/>
      <c r="L623" s="140"/>
      <c r="M623" s="140"/>
      <c r="N623" s="140"/>
      <c r="O623" s="139"/>
    </row>
    <row r="624" spans="1:15" x14ac:dyDescent="0.25">
      <c r="A624" s="757" t="s">
        <v>57</v>
      </c>
      <c r="B624" s="133" t="s">
        <v>523</v>
      </c>
      <c r="C624" s="94"/>
      <c r="D624" s="94"/>
      <c r="E624" s="94"/>
      <c r="F624" s="94"/>
      <c r="G624" s="94"/>
      <c r="H624" s="94"/>
      <c r="I624" s="94"/>
      <c r="J624" s="760" t="s">
        <v>51</v>
      </c>
      <c r="K624" s="138">
        <v>81</v>
      </c>
      <c r="L624" s="94"/>
      <c r="M624" s="757" t="s">
        <v>113</v>
      </c>
      <c r="N624" s="100">
        <f>FR_04017_m+FR_04017_p</f>
        <v>2.92114954</v>
      </c>
      <c r="O624" s="93"/>
    </row>
    <row r="625" spans="1:15" x14ac:dyDescent="0.25">
      <c r="A625" s="757" t="s">
        <v>125</v>
      </c>
      <c r="B625" s="133" t="s">
        <v>1412</v>
      </c>
      <c r="C625" s="94"/>
      <c r="D625" s="757" t="s">
        <v>122</v>
      </c>
      <c r="E625" s="270" t="s">
        <v>522</v>
      </c>
      <c r="F625" s="94"/>
      <c r="G625" s="94"/>
      <c r="H625" s="94"/>
      <c r="I625" s="94"/>
      <c r="J625" s="94"/>
      <c r="K625" s="94"/>
      <c r="L625" s="94"/>
      <c r="M625" s="757" t="s">
        <v>124</v>
      </c>
      <c r="N625" s="136">
        <v>2</v>
      </c>
      <c r="O625" s="93"/>
    </row>
    <row r="626" spans="1:15" x14ac:dyDescent="0.25">
      <c r="A626" s="757" t="s">
        <v>123</v>
      </c>
      <c r="B626" s="270" t="str">
        <f>'FR Assemblies'!B104</f>
        <v>Pedal Assembly</v>
      </c>
      <c r="C626" s="94"/>
      <c r="D626" s="757" t="s">
        <v>119</v>
      </c>
      <c r="E626" s="94"/>
      <c r="F626" s="94"/>
      <c r="G626" s="94"/>
      <c r="H626" s="94"/>
      <c r="I626" s="94"/>
      <c r="J626" s="758" t="s">
        <v>122</v>
      </c>
      <c r="K626" s="94"/>
      <c r="L626" s="94"/>
      <c r="M626" s="94"/>
      <c r="N626" s="94"/>
      <c r="O626" s="93"/>
    </row>
    <row r="627" spans="1:15" x14ac:dyDescent="0.25">
      <c r="A627" s="757" t="s">
        <v>114</v>
      </c>
      <c r="B627" s="764" t="s">
        <v>1583</v>
      </c>
      <c r="C627" s="94"/>
      <c r="D627" s="757" t="s">
        <v>116</v>
      </c>
      <c r="E627" s="94"/>
      <c r="F627" s="94"/>
      <c r="G627" s="94"/>
      <c r="H627" s="94"/>
      <c r="I627" s="94"/>
      <c r="J627" s="758" t="s">
        <v>119</v>
      </c>
      <c r="K627" s="94"/>
      <c r="L627" s="94"/>
      <c r="M627" s="757" t="s">
        <v>118</v>
      </c>
      <c r="N627" s="100">
        <f>N625*N624</f>
        <v>5.8422990800000001</v>
      </c>
      <c r="O627" s="93"/>
    </row>
    <row r="628" spans="1:15" x14ac:dyDescent="0.25">
      <c r="A628" s="757" t="s">
        <v>121</v>
      </c>
      <c r="B628" s="269" t="s">
        <v>1584</v>
      </c>
      <c r="C628" s="94"/>
      <c r="D628" s="94"/>
      <c r="E628" s="94"/>
      <c r="F628" s="94"/>
      <c r="G628" s="94"/>
      <c r="H628" s="94"/>
      <c r="I628" s="94"/>
      <c r="J628" s="758" t="s">
        <v>116</v>
      </c>
      <c r="K628" s="94"/>
      <c r="L628" s="94"/>
      <c r="M628" s="94"/>
      <c r="N628" s="94"/>
      <c r="O628" s="93"/>
    </row>
    <row r="629" spans="1:15" x14ac:dyDescent="0.25">
      <c r="A629" s="757" t="s">
        <v>117</v>
      </c>
      <c r="B629" s="133" t="s">
        <v>23</v>
      </c>
      <c r="C629" s="94"/>
      <c r="D629" s="94"/>
      <c r="E629" s="94"/>
      <c r="F629" s="94"/>
      <c r="G629" s="94"/>
      <c r="H629" s="94"/>
      <c r="I629" s="94"/>
      <c r="J629" s="94"/>
      <c r="K629" s="94"/>
      <c r="L629" s="94"/>
      <c r="M629" s="94"/>
      <c r="N629" s="94"/>
      <c r="O629" s="93"/>
    </row>
    <row r="630" spans="1:15" x14ac:dyDescent="0.25">
      <c r="A630" s="757" t="s">
        <v>115</v>
      </c>
      <c r="B630" s="764" t="s">
        <v>1583</v>
      </c>
      <c r="C630" s="94"/>
      <c r="D630" s="94"/>
      <c r="E630" s="94"/>
      <c r="F630" s="94"/>
      <c r="G630" s="94"/>
      <c r="H630" s="94"/>
      <c r="I630" s="94"/>
      <c r="J630" s="94"/>
      <c r="K630" s="94"/>
      <c r="L630" s="94"/>
      <c r="M630" s="94"/>
      <c r="N630" s="94"/>
      <c r="O630" s="93"/>
    </row>
    <row r="631" spans="1:15" x14ac:dyDescent="0.25">
      <c r="A631" s="266"/>
      <c r="B631" s="265"/>
      <c r="C631" s="265"/>
      <c r="D631" s="265"/>
      <c r="E631" s="265"/>
      <c r="F631" s="94"/>
      <c r="G631" s="94"/>
      <c r="H631" s="94"/>
      <c r="I631" s="94"/>
      <c r="J631" s="94"/>
      <c r="K631" s="94"/>
      <c r="L631" s="94"/>
      <c r="M631" s="94"/>
      <c r="N631" s="94"/>
      <c r="O631" s="93"/>
    </row>
    <row r="632" spans="1:15" x14ac:dyDescent="0.25">
      <c r="A632" s="756" t="s">
        <v>67</v>
      </c>
      <c r="B632" s="755" t="s">
        <v>112</v>
      </c>
      <c r="C632" s="755" t="s">
        <v>66</v>
      </c>
      <c r="D632" s="755" t="s">
        <v>65</v>
      </c>
      <c r="E632" s="755" t="s">
        <v>81</v>
      </c>
      <c r="F632" s="816" t="s">
        <v>80</v>
      </c>
      <c r="G632" s="816" t="s">
        <v>79</v>
      </c>
      <c r="H632" s="816" t="s">
        <v>78</v>
      </c>
      <c r="I632" s="816" t="s">
        <v>111</v>
      </c>
      <c r="J632" s="816" t="s">
        <v>110</v>
      </c>
      <c r="K632" s="816" t="s">
        <v>109</v>
      </c>
      <c r="L632" s="816" t="s">
        <v>108</v>
      </c>
      <c r="M632" s="816" t="s">
        <v>40</v>
      </c>
      <c r="N632" s="816" t="s">
        <v>58</v>
      </c>
      <c r="O632" s="93"/>
    </row>
    <row r="633" spans="1:15" ht="30" x14ac:dyDescent="0.25">
      <c r="A633" s="836">
        <v>10</v>
      </c>
      <c r="B633" s="838" t="s">
        <v>1256</v>
      </c>
      <c r="C633" s="836" t="s">
        <v>841</v>
      </c>
      <c r="D633" s="837">
        <v>2.25</v>
      </c>
      <c r="E633" s="836">
        <v>68</v>
      </c>
      <c r="F633" s="836" t="s">
        <v>68</v>
      </c>
      <c r="G633" s="836">
        <v>3</v>
      </c>
      <c r="H633" s="835" t="s">
        <v>68</v>
      </c>
      <c r="I633" s="813" t="s">
        <v>1582</v>
      </c>
      <c r="J633" s="834">
        <f>0.068*0.003</f>
        <v>2.0400000000000003E-4</v>
      </c>
      <c r="K633" s="833">
        <v>7.0999999999999994E-2</v>
      </c>
      <c r="L633" s="832">
        <v>7860</v>
      </c>
      <c r="M633" s="831">
        <v>1</v>
      </c>
      <c r="N633" s="809">
        <f>IF(J633="",D633*M633,D633*J633*K633*L633*M633)</f>
        <v>0.25614954000000001</v>
      </c>
      <c r="O633" s="93"/>
    </row>
    <row r="634" spans="1:15" x14ac:dyDescent="0.25">
      <c r="A634" s="98"/>
      <c r="B634" s="95"/>
      <c r="C634" s="95"/>
      <c r="D634" s="95"/>
      <c r="E634" s="95"/>
      <c r="F634" s="95"/>
      <c r="G634" s="95"/>
      <c r="H634" s="95"/>
      <c r="I634" s="95"/>
      <c r="J634" s="754"/>
      <c r="K634" s="754"/>
      <c r="L634" s="95"/>
      <c r="M634" s="808" t="s">
        <v>58</v>
      </c>
      <c r="N634" s="750">
        <f>SUM(N633:N633)</f>
        <v>0.25614954000000001</v>
      </c>
      <c r="O634" s="93"/>
    </row>
    <row r="635" spans="1:15" x14ac:dyDescent="0.25">
      <c r="A635" s="107"/>
      <c r="B635" s="94"/>
      <c r="C635" s="94"/>
      <c r="D635" s="94"/>
      <c r="E635" s="94"/>
      <c r="F635" s="94"/>
      <c r="G635" s="94"/>
      <c r="H635" s="94"/>
      <c r="I635" s="94"/>
      <c r="J635" s="94"/>
      <c r="K635" s="94"/>
      <c r="L635" s="94"/>
      <c r="M635" s="94"/>
      <c r="N635" s="94"/>
      <c r="O635" s="93"/>
    </row>
    <row r="636" spans="1:15" x14ac:dyDescent="0.25">
      <c r="A636" s="797" t="s">
        <v>67</v>
      </c>
      <c r="B636" s="816" t="s">
        <v>106</v>
      </c>
      <c r="C636" s="816" t="s">
        <v>66</v>
      </c>
      <c r="D636" s="816" t="s">
        <v>65</v>
      </c>
      <c r="E636" s="816" t="s">
        <v>64</v>
      </c>
      <c r="F636" s="816" t="s">
        <v>40</v>
      </c>
      <c r="G636" s="816" t="s">
        <v>105</v>
      </c>
      <c r="H636" s="816" t="s">
        <v>104</v>
      </c>
      <c r="I636" s="816" t="s">
        <v>58</v>
      </c>
      <c r="J636" s="95"/>
      <c r="K636" s="95"/>
      <c r="L636" s="95"/>
      <c r="M636" s="95"/>
      <c r="N636" s="95"/>
      <c r="O636" s="93"/>
    </row>
    <row r="637" spans="1:15" x14ac:dyDescent="0.25">
      <c r="A637" s="830">
        <v>10</v>
      </c>
      <c r="B637" s="818" t="s">
        <v>516</v>
      </c>
      <c r="C637" s="830" t="s">
        <v>802</v>
      </c>
      <c r="D637" s="815">
        <v>1.3</v>
      </c>
      <c r="E637" s="818" t="s">
        <v>64</v>
      </c>
      <c r="F637" s="830">
        <v>1</v>
      </c>
      <c r="G637" s="830"/>
      <c r="H637" s="830"/>
      <c r="I637" s="817">
        <f>IF(H637="",D637*F637,D637*F637*H637)</f>
        <v>1.3</v>
      </c>
      <c r="J637" s="142"/>
      <c r="K637" s="142"/>
      <c r="L637" s="142"/>
      <c r="M637" s="142"/>
      <c r="N637" s="142"/>
      <c r="O637" s="120"/>
    </row>
    <row r="638" spans="1:15" x14ac:dyDescent="0.25">
      <c r="A638" s="828">
        <v>20</v>
      </c>
      <c r="B638" s="818" t="s">
        <v>541</v>
      </c>
      <c r="C638" s="828" t="s">
        <v>834</v>
      </c>
      <c r="D638" s="829">
        <v>0.01</v>
      </c>
      <c r="E638" s="828" t="s">
        <v>101</v>
      </c>
      <c r="F638" s="827">
        <v>45.5</v>
      </c>
      <c r="G638" s="818" t="s">
        <v>724</v>
      </c>
      <c r="H638" s="839">
        <v>3</v>
      </c>
      <c r="I638" s="817">
        <f>IF(H638="",D638*F638,D638*F638*H638)</f>
        <v>1.365</v>
      </c>
      <c r="J638" s="142"/>
      <c r="K638" s="142"/>
      <c r="L638" s="142"/>
      <c r="M638" s="142"/>
      <c r="N638" s="142"/>
      <c r="O638" s="120"/>
    </row>
    <row r="639" spans="1:15" x14ac:dyDescent="0.25">
      <c r="A639" s="98"/>
      <c r="B639" s="95"/>
      <c r="C639" s="95"/>
      <c r="D639" s="95"/>
      <c r="E639" s="95"/>
      <c r="F639" s="95"/>
      <c r="G639" s="95"/>
      <c r="H639" s="751" t="s">
        <v>58</v>
      </c>
      <c r="I639" s="750">
        <f>SUM(I637:I638)</f>
        <v>2.665</v>
      </c>
      <c r="J639" s="95"/>
      <c r="K639" s="95"/>
      <c r="L639" s="95"/>
      <c r="M639" s="95"/>
      <c r="N639" s="95"/>
      <c r="O639" s="93"/>
    </row>
    <row r="640" spans="1:15" ht="15.75" thickBot="1" x14ac:dyDescent="0.3">
      <c r="A640" s="92"/>
      <c r="B640" s="91"/>
      <c r="C640" s="91"/>
      <c r="D640" s="91"/>
      <c r="E640" s="91"/>
      <c r="F640" s="91"/>
      <c r="G640" s="91"/>
      <c r="H640" s="91"/>
      <c r="I640" s="91"/>
      <c r="J640" s="91"/>
      <c r="K640" s="91"/>
      <c r="L640" s="91"/>
      <c r="M640" s="91"/>
      <c r="N640" s="91"/>
      <c r="O640" s="90"/>
    </row>
    <row r="641" spans="1:15" ht="15.75" thickBot="1" x14ac:dyDescent="0.3"/>
    <row r="642" spans="1:15" x14ac:dyDescent="0.25">
      <c r="A642" s="141"/>
      <c r="B642" s="140"/>
      <c r="C642" s="140"/>
      <c r="D642" s="140"/>
      <c r="E642" s="140"/>
      <c r="F642" s="140"/>
      <c r="G642" s="140"/>
      <c r="H642" s="140"/>
      <c r="I642" s="140"/>
      <c r="J642" s="272"/>
      <c r="K642" s="140"/>
      <c r="L642" s="140"/>
      <c r="M642" s="140"/>
      <c r="N642" s="140"/>
      <c r="O642" s="139"/>
    </row>
    <row r="643" spans="1:15" x14ac:dyDescent="0.25">
      <c r="A643" s="757" t="s">
        <v>57</v>
      </c>
      <c r="B643" s="133" t="s">
        <v>523</v>
      </c>
      <c r="C643" s="94"/>
      <c r="D643" s="94"/>
      <c r="E643" s="94"/>
      <c r="F643" s="94"/>
      <c r="G643" s="94"/>
      <c r="H643" s="94"/>
      <c r="I643" s="94"/>
      <c r="J643" s="760" t="s">
        <v>51</v>
      </c>
      <c r="K643" s="138">
        <v>81</v>
      </c>
      <c r="L643" s="94"/>
      <c r="M643" s="757" t="s">
        <v>113</v>
      </c>
      <c r="N643" s="100">
        <f>FR_04018_m+FR_04018_p</f>
        <v>2.9858500700000001</v>
      </c>
      <c r="O643" s="93"/>
    </row>
    <row r="644" spans="1:15" x14ac:dyDescent="0.25">
      <c r="A644" s="757" t="s">
        <v>125</v>
      </c>
      <c r="B644" s="133" t="s">
        <v>1412</v>
      </c>
      <c r="C644" s="94"/>
      <c r="D644" s="757" t="s">
        <v>122</v>
      </c>
      <c r="E644" s="270" t="s">
        <v>522</v>
      </c>
      <c r="F644" s="94"/>
      <c r="G644" s="94"/>
      <c r="H644" s="94"/>
      <c r="I644" s="94"/>
      <c r="J644" s="94"/>
      <c r="K644" s="94"/>
      <c r="L644" s="94"/>
      <c r="M644" s="757" t="s">
        <v>124</v>
      </c>
      <c r="N644" s="136">
        <v>1</v>
      </c>
      <c r="O644" s="93"/>
    </row>
    <row r="645" spans="1:15" x14ac:dyDescent="0.25">
      <c r="A645" s="757" t="s">
        <v>123</v>
      </c>
      <c r="B645" s="270" t="str">
        <f>'FR Assemblies'!B104</f>
        <v>Pedal Assembly</v>
      </c>
      <c r="C645" s="94"/>
      <c r="D645" s="757" t="s">
        <v>119</v>
      </c>
      <c r="E645" s="94"/>
      <c r="F645" s="94"/>
      <c r="G645" s="94"/>
      <c r="H645" s="94"/>
      <c r="I645" s="94"/>
      <c r="J645" s="758" t="s">
        <v>122</v>
      </c>
      <c r="K645" s="94"/>
      <c r="L645" s="94"/>
      <c r="M645" s="94"/>
      <c r="N645" s="94"/>
      <c r="O645" s="93"/>
    </row>
    <row r="646" spans="1:15" x14ac:dyDescent="0.25">
      <c r="A646" s="757" t="s">
        <v>114</v>
      </c>
      <c r="B646" s="764" t="s">
        <v>1581</v>
      </c>
      <c r="C646" s="94"/>
      <c r="D646" s="757" t="s">
        <v>116</v>
      </c>
      <c r="E646" s="94"/>
      <c r="F646" s="94"/>
      <c r="G646" s="94"/>
      <c r="H646" s="94"/>
      <c r="I646" s="94"/>
      <c r="J646" s="758" t="s">
        <v>119</v>
      </c>
      <c r="K646" s="94"/>
      <c r="L646" s="94"/>
      <c r="M646" s="757" t="s">
        <v>118</v>
      </c>
      <c r="N646" s="100">
        <f>N644*N643</f>
        <v>2.9858500700000001</v>
      </c>
      <c r="O646" s="93"/>
    </row>
    <row r="647" spans="1:15" x14ac:dyDescent="0.25">
      <c r="A647" s="757" t="s">
        <v>121</v>
      </c>
      <c r="B647" s="269" t="s">
        <v>1580</v>
      </c>
      <c r="C647" s="94"/>
      <c r="D647" s="94"/>
      <c r="E647" s="94"/>
      <c r="F647" s="94"/>
      <c r="G647" s="94"/>
      <c r="H647" s="94"/>
      <c r="I647" s="94"/>
      <c r="J647" s="758" t="s">
        <v>116</v>
      </c>
      <c r="K647" s="94"/>
      <c r="L647" s="94"/>
      <c r="M647" s="94"/>
      <c r="N647" s="94"/>
      <c r="O647" s="93"/>
    </row>
    <row r="648" spans="1:15" x14ac:dyDescent="0.25">
      <c r="A648" s="757" t="s">
        <v>117</v>
      </c>
      <c r="B648" s="133" t="s">
        <v>23</v>
      </c>
      <c r="C648" s="94"/>
      <c r="D648" s="94"/>
      <c r="E648" s="94"/>
      <c r="F648" s="94"/>
      <c r="G648" s="94"/>
      <c r="H648" s="94"/>
      <c r="I648" s="94"/>
      <c r="J648" s="94"/>
      <c r="K648" s="94"/>
      <c r="L648" s="94"/>
      <c r="M648" s="94"/>
      <c r="N648" s="94"/>
      <c r="O648" s="93"/>
    </row>
    <row r="649" spans="1:15" x14ac:dyDescent="0.25">
      <c r="A649" s="757" t="s">
        <v>115</v>
      </c>
      <c r="B649" s="764"/>
      <c r="C649" s="94"/>
      <c r="D649" s="94"/>
      <c r="E649" s="94"/>
      <c r="F649" s="94"/>
      <c r="G649" s="94"/>
      <c r="H649" s="94"/>
      <c r="I649" s="94"/>
      <c r="J649" s="94"/>
      <c r="K649" s="94"/>
      <c r="L649" s="94"/>
      <c r="M649" s="94"/>
      <c r="N649" s="94"/>
      <c r="O649" s="93"/>
    </row>
    <row r="650" spans="1:15" x14ac:dyDescent="0.25">
      <c r="A650" s="266"/>
      <c r="B650" s="265"/>
      <c r="C650" s="265"/>
      <c r="D650" s="265"/>
      <c r="E650" s="265"/>
      <c r="F650" s="94"/>
      <c r="G650" s="94"/>
      <c r="H650" s="94"/>
      <c r="I650" s="94"/>
      <c r="J650" s="94"/>
      <c r="K650" s="94"/>
      <c r="L650" s="94"/>
      <c r="M650" s="94"/>
      <c r="N650" s="94"/>
      <c r="O650" s="93"/>
    </row>
    <row r="651" spans="1:15" x14ac:dyDescent="0.25">
      <c r="A651" s="756" t="s">
        <v>67</v>
      </c>
      <c r="B651" s="755" t="s">
        <v>112</v>
      </c>
      <c r="C651" s="755" t="s">
        <v>66</v>
      </c>
      <c r="D651" s="755" t="s">
        <v>65</v>
      </c>
      <c r="E651" s="755" t="s">
        <v>81</v>
      </c>
      <c r="F651" s="816" t="s">
        <v>80</v>
      </c>
      <c r="G651" s="816" t="s">
        <v>79</v>
      </c>
      <c r="H651" s="816" t="s">
        <v>78</v>
      </c>
      <c r="I651" s="816" t="s">
        <v>111</v>
      </c>
      <c r="J651" s="816" t="s">
        <v>110</v>
      </c>
      <c r="K651" s="816" t="s">
        <v>109</v>
      </c>
      <c r="L651" s="816" t="s">
        <v>108</v>
      </c>
      <c r="M651" s="816" t="s">
        <v>40</v>
      </c>
      <c r="N651" s="816" t="s">
        <v>58</v>
      </c>
      <c r="O651" s="93"/>
    </row>
    <row r="652" spans="1:15" x14ac:dyDescent="0.25">
      <c r="A652" s="814">
        <v>10</v>
      </c>
      <c r="B652" s="814" t="s">
        <v>1579</v>
      </c>
      <c r="C652" s="814" t="s">
        <v>682</v>
      </c>
      <c r="D652" s="815">
        <v>2.25</v>
      </c>
      <c r="E652" s="814">
        <v>12</v>
      </c>
      <c r="F652" s="814" t="s">
        <v>68</v>
      </c>
      <c r="G652" s="814"/>
      <c r="H652" s="811"/>
      <c r="I652" s="813" t="s">
        <v>1578</v>
      </c>
      <c r="J652" s="812">
        <v>1.13E-4</v>
      </c>
      <c r="K652" s="811">
        <v>9.4E-2</v>
      </c>
      <c r="L652" s="811">
        <v>7860</v>
      </c>
      <c r="M652" s="810">
        <v>1</v>
      </c>
      <c r="N652" s="809">
        <f>IF(J652="",D652*M652,D652*J652*K652*L652*M652)</f>
        <v>0.18785006999999998</v>
      </c>
      <c r="O652" s="93"/>
    </row>
    <row r="653" spans="1:15" x14ac:dyDescent="0.25">
      <c r="A653" s="98"/>
      <c r="B653" s="95"/>
      <c r="C653" s="95"/>
      <c r="D653" s="95"/>
      <c r="E653" s="95"/>
      <c r="F653" s="95"/>
      <c r="G653" s="95"/>
      <c r="H653" s="95"/>
      <c r="I653" s="95"/>
      <c r="J653" s="754"/>
      <c r="K653" s="754"/>
      <c r="L653" s="95"/>
      <c r="M653" s="808" t="s">
        <v>58</v>
      </c>
      <c r="N653" s="750">
        <f>SUM(N652:N652)</f>
        <v>0.18785006999999998</v>
      </c>
      <c r="O653" s="93"/>
    </row>
    <row r="654" spans="1:15" x14ac:dyDescent="0.25">
      <c r="A654" s="107"/>
      <c r="B654" s="94"/>
      <c r="C654" s="94"/>
      <c r="D654" s="94"/>
      <c r="E654" s="94"/>
      <c r="F654" s="94"/>
      <c r="G654" s="94"/>
      <c r="H654" s="94"/>
      <c r="I654" s="94"/>
      <c r="J654" s="94"/>
      <c r="K654" s="94"/>
      <c r="L654" s="94"/>
      <c r="M654" s="94"/>
      <c r="N654" s="94"/>
      <c r="O654" s="93"/>
    </row>
    <row r="655" spans="1:15" x14ac:dyDescent="0.25">
      <c r="A655" s="797" t="s">
        <v>67</v>
      </c>
      <c r="B655" s="816" t="s">
        <v>106</v>
      </c>
      <c r="C655" s="816" t="s">
        <v>66</v>
      </c>
      <c r="D655" s="816" t="s">
        <v>65</v>
      </c>
      <c r="E655" s="816" t="s">
        <v>64</v>
      </c>
      <c r="F655" s="816" t="s">
        <v>40</v>
      </c>
      <c r="G655" s="816" t="s">
        <v>105</v>
      </c>
      <c r="H655" s="816" t="s">
        <v>104</v>
      </c>
      <c r="I655" s="816" t="s">
        <v>58</v>
      </c>
      <c r="J655" s="95"/>
      <c r="K655" s="95"/>
      <c r="L655" s="95"/>
      <c r="M655" s="95"/>
      <c r="N655" s="95"/>
      <c r="O655" s="93"/>
    </row>
    <row r="656" spans="1:15" x14ac:dyDescent="0.25">
      <c r="A656" s="814">
        <v>10</v>
      </c>
      <c r="B656" s="769" t="s">
        <v>516</v>
      </c>
      <c r="C656" s="819" t="s">
        <v>1577</v>
      </c>
      <c r="D656" s="981">
        <v>1.3</v>
      </c>
      <c r="E656" s="824" t="s">
        <v>64</v>
      </c>
      <c r="F656" s="814">
        <v>1</v>
      </c>
      <c r="G656" s="814"/>
      <c r="H656" s="814"/>
      <c r="I656" s="817">
        <f>IF(H656="",D656*F656,D656*F656*H656)</f>
        <v>1.3</v>
      </c>
      <c r="J656" s="142"/>
      <c r="K656" s="142"/>
      <c r="L656" s="142"/>
      <c r="M656" s="142"/>
      <c r="N656" s="142"/>
      <c r="O656" s="120"/>
    </row>
    <row r="657" spans="1:15" x14ac:dyDescent="0.25">
      <c r="A657" s="814">
        <v>20</v>
      </c>
      <c r="B657" s="819" t="s">
        <v>514</v>
      </c>
      <c r="C657" s="819" t="s">
        <v>1576</v>
      </c>
      <c r="D657" s="981">
        <v>0.04</v>
      </c>
      <c r="E657" s="824" t="s">
        <v>512</v>
      </c>
      <c r="F657" s="814">
        <v>2.7</v>
      </c>
      <c r="G657" s="814" t="s">
        <v>724</v>
      </c>
      <c r="H657" s="814">
        <v>3</v>
      </c>
      <c r="I657" s="817">
        <f>IF(H657="",D657*F657,D657*F657*H657)</f>
        <v>0.32400000000000007</v>
      </c>
      <c r="J657" s="142"/>
      <c r="K657" s="142"/>
      <c r="L657" s="142"/>
      <c r="M657" s="142"/>
      <c r="N657" s="142"/>
      <c r="O657" s="120"/>
    </row>
    <row r="658" spans="1:15" x14ac:dyDescent="0.25">
      <c r="A658" s="814">
        <v>30</v>
      </c>
      <c r="B658" s="818" t="s">
        <v>1575</v>
      </c>
      <c r="C658" s="819" t="s">
        <v>1574</v>
      </c>
      <c r="D658" s="815">
        <v>0.65</v>
      </c>
      <c r="E658" s="814" t="s">
        <v>64</v>
      </c>
      <c r="F658" s="814">
        <v>1</v>
      </c>
      <c r="G658" s="814"/>
      <c r="H658" s="814"/>
      <c r="I658" s="817">
        <f>IF(H658="",D658*F658,D658*F658*H658)</f>
        <v>0.65</v>
      </c>
      <c r="J658" s="142"/>
      <c r="K658" s="142"/>
      <c r="L658" s="142"/>
      <c r="M658" s="142"/>
      <c r="N658" s="142"/>
      <c r="O658" s="120"/>
    </row>
    <row r="659" spans="1:15" x14ac:dyDescent="0.25">
      <c r="A659" s="814">
        <v>40</v>
      </c>
      <c r="B659" s="819" t="s">
        <v>514</v>
      </c>
      <c r="C659" s="819" t="s">
        <v>1573</v>
      </c>
      <c r="D659" s="981">
        <v>0.04</v>
      </c>
      <c r="E659" s="824" t="s">
        <v>512</v>
      </c>
      <c r="F659" s="814">
        <v>2.7</v>
      </c>
      <c r="G659" s="814" t="s">
        <v>724</v>
      </c>
      <c r="H659" s="814">
        <v>3</v>
      </c>
      <c r="I659" s="817">
        <f>IF(H659="",D659*F659,D659*F659*H659)</f>
        <v>0.32400000000000007</v>
      </c>
      <c r="J659" s="142"/>
      <c r="K659" s="142"/>
      <c r="L659" s="142"/>
      <c r="M659" s="142"/>
      <c r="N659" s="142"/>
      <c r="O659" s="120"/>
    </row>
    <row r="660" spans="1:15" x14ac:dyDescent="0.25">
      <c r="A660" s="814">
        <v>50</v>
      </c>
      <c r="B660" s="819" t="s">
        <v>1572</v>
      </c>
      <c r="C660" s="819" t="s">
        <v>1571</v>
      </c>
      <c r="D660" s="815">
        <v>0.1</v>
      </c>
      <c r="E660" s="814" t="s">
        <v>101</v>
      </c>
      <c r="F660" s="814">
        <v>2</v>
      </c>
      <c r="G660" s="814"/>
      <c r="H660" s="814"/>
      <c r="I660" s="817">
        <f>IF(H660="",D660*F660,D660*F660*H660)</f>
        <v>0.2</v>
      </c>
      <c r="J660" s="142"/>
      <c r="K660" s="142"/>
      <c r="L660" s="142"/>
      <c r="M660" s="142"/>
      <c r="N660" s="142"/>
      <c r="O660" s="120"/>
    </row>
    <row r="661" spans="1:15" x14ac:dyDescent="0.25">
      <c r="A661" s="98"/>
      <c r="B661" s="95"/>
      <c r="C661" s="95"/>
      <c r="D661" s="95"/>
      <c r="E661" s="95"/>
      <c r="F661" s="95"/>
      <c r="G661" s="95"/>
      <c r="H661" s="751" t="s">
        <v>58</v>
      </c>
      <c r="I661" s="750">
        <f>SUM(I656:I660)</f>
        <v>2.798</v>
      </c>
      <c r="J661" s="95"/>
      <c r="K661" s="95"/>
      <c r="L661" s="95"/>
      <c r="M661" s="95"/>
      <c r="N661" s="95"/>
      <c r="O661" s="93"/>
    </row>
    <row r="662" spans="1:15" ht="15.75" thickBot="1" x14ac:dyDescent="0.3">
      <c r="A662" s="92"/>
      <c r="B662" s="91"/>
      <c r="C662" s="91"/>
      <c r="D662" s="91"/>
      <c r="E662" s="91"/>
      <c r="F662" s="91"/>
      <c r="G662" s="91"/>
      <c r="H662" s="91"/>
      <c r="I662" s="91"/>
      <c r="J662" s="91"/>
      <c r="K662" s="91"/>
      <c r="L662" s="91"/>
      <c r="M662" s="91"/>
      <c r="N662" s="91"/>
      <c r="O662" s="90"/>
    </row>
    <row r="663" spans="1:15" ht="15.75" thickBot="1" x14ac:dyDescent="0.3"/>
    <row r="664" spans="1:15" x14ac:dyDescent="0.25">
      <c r="A664" s="141"/>
      <c r="B664" s="140"/>
      <c r="C664" s="140"/>
      <c r="D664" s="140"/>
      <c r="E664" s="140"/>
      <c r="F664" s="140"/>
      <c r="G664" s="140"/>
      <c r="H664" s="140"/>
      <c r="I664" s="140"/>
      <c r="J664" s="272"/>
      <c r="K664" s="140"/>
      <c r="L664" s="140"/>
      <c r="M664" s="140"/>
      <c r="N664" s="140"/>
      <c r="O664" s="139"/>
    </row>
    <row r="665" spans="1:15" x14ac:dyDescent="0.25">
      <c r="A665" s="757" t="s">
        <v>57</v>
      </c>
      <c r="B665" s="133" t="s">
        <v>523</v>
      </c>
      <c r="C665" s="94"/>
      <c r="D665" s="94"/>
      <c r="E665" s="94"/>
      <c r="F665" s="94"/>
      <c r="G665" s="94"/>
      <c r="H665" s="94"/>
      <c r="I665" s="94"/>
      <c r="J665" s="760" t="s">
        <v>51</v>
      </c>
      <c r="K665" s="138">
        <v>81</v>
      </c>
      <c r="L665" s="94"/>
      <c r="M665" s="757" t="s">
        <v>113</v>
      </c>
      <c r="N665" s="100">
        <f>FR_04019_m+FR_04019_p</f>
        <v>7.3771360000000001</v>
      </c>
      <c r="O665" s="93"/>
    </row>
    <row r="666" spans="1:15" x14ac:dyDescent="0.25">
      <c r="A666" s="757" t="s">
        <v>125</v>
      </c>
      <c r="B666" s="133" t="s">
        <v>1412</v>
      </c>
      <c r="C666" s="94"/>
      <c r="D666" s="757" t="s">
        <v>122</v>
      </c>
      <c r="E666" s="270" t="s">
        <v>522</v>
      </c>
      <c r="F666" s="94"/>
      <c r="G666" s="94"/>
      <c r="H666" s="94"/>
      <c r="I666" s="94"/>
      <c r="J666" s="94"/>
      <c r="K666" s="94"/>
      <c r="L666" s="94"/>
      <c r="M666" s="757" t="s">
        <v>124</v>
      </c>
      <c r="N666" s="136">
        <v>1</v>
      </c>
      <c r="O666" s="93"/>
    </row>
    <row r="667" spans="1:15" x14ac:dyDescent="0.25">
      <c r="A667" s="757" t="s">
        <v>123</v>
      </c>
      <c r="B667" s="270" t="str">
        <f>'FR Assemblies'!B104</f>
        <v>Pedal Assembly</v>
      </c>
      <c r="C667" s="94"/>
      <c r="D667" s="757" t="s">
        <v>119</v>
      </c>
      <c r="E667" s="94"/>
      <c r="F667" s="94"/>
      <c r="G667" s="94"/>
      <c r="H667" s="94"/>
      <c r="I667" s="94"/>
      <c r="J667" s="758" t="s">
        <v>122</v>
      </c>
      <c r="K667" s="94"/>
      <c r="L667" s="94"/>
      <c r="M667" s="94"/>
      <c r="N667" s="94"/>
      <c r="O667" s="93"/>
    </row>
    <row r="668" spans="1:15" x14ac:dyDescent="0.25">
      <c r="A668" s="757" t="s">
        <v>114</v>
      </c>
      <c r="B668" s="764" t="s">
        <v>1570</v>
      </c>
      <c r="C668" s="94"/>
      <c r="D668" s="757" t="s">
        <v>116</v>
      </c>
      <c r="E668" s="94"/>
      <c r="F668" s="94"/>
      <c r="G668" s="94"/>
      <c r="H668" s="94"/>
      <c r="I668" s="94"/>
      <c r="J668" s="758" t="s">
        <v>119</v>
      </c>
      <c r="K668" s="94"/>
      <c r="L668" s="94"/>
      <c r="M668" s="757" t="s">
        <v>118</v>
      </c>
      <c r="N668" s="100">
        <f>N666*N665</f>
        <v>7.3771360000000001</v>
      </c>
      <c r="O668" s="93"/>
    </row>
    <row r="669" spans="1:15" x14ac:dyDescent="0.25">
      <c r="A669" s="757" t="s">
        <v>121</v>
      </c>
      <c r="B669" s="269" t="s">
        <v>1569</v>
      </c>
      <c r="C669" s="94"/>
      <c r="D669" s="94"/>
      <c r="E669" s="94"/>
      <c r="F669" s="94"/>
      <c r="G669" s="94"/>
      <c r="H669" s="94"/>
      <c r="I669" s="94"/>
      <c r="J669" s="758" t="s">
        <v>116</v>
      </c>
      <c r="K669" s="94"/>
      <c r="L669" s="94"/>
      <c r="M669" s="94"/>
      <c r="N669" s="94"/>
      <c r="O669" s="93"/>
    </row>
    <row r="670" spans="1:15" x14ac:dyDescent="0.25">
      <c r="A670" s="757" t="s">
        <v>117</v>
      </c>
      <c r="B670" s="133" t="s">
        <v>23</v>
      </c>
      <c r="C670" s="94"/>
      <c r="D670" s="94"/>
      <c r="E670" s="94"/>
      <c r="F670" s="94"/>
      <c r="G670" s="94"/>
      <c r="H670" s="94"/>
      <c r="I670" s="94"/>
      <c r="J670" s="94"/>
      <c r="K670" s="94"/>
      <c r="L670" s="94"/>
      <c r="M670" s="94"/>
      <c r="N670" s="94"/>
      <c r="O670" s="93"/>
    </row>
    <row r="671" spans="1:15" x14ac:dyDescent="0.25">
      <c r="A671" s="757" t="s">
        <v>115</v>
      </c>
      <c r="B671" s="764"/>
      <c r="C671" s="94"/>
      <c r="D671" s="94"/>
      <c r="E671" s="94"/>
      <c r="F671" s="94"/>
      <c r="G671" s="94"/>
      <c r="H671" s="94"/>
      <c r="I671" s="94"/>
      <c r="J671" s="94"/>
      <c r="K671" s="94"/>
      <c r="L671" s="94"/>
      <c r="M671" s="94"/>
      <c r="N671" s="94"/>
      <c r="O671" s="93"/>
    </row>
    <row r="672" spans="1:15" x14ac:dyDescent="0.25">
      <c r="A672" s="266"/>
      <c r="B672" s="265"/>
      <c r="C672" s="265"/>
      <c r="D672" s="265"/>
      <c r="E672" s="265"/>
      <c r="F672" s="94"/>
      <c r="G672" s="94"/>
      <c r="H672" s="94"/>
      <c r="I672" s="94"/>
      <c r="J672" s="94"/>
      <c r="K672" s="94"/>
      <c r="L672" s="94"/>
      <c r="M672" s="94"/>
      <c r="N672" s="94"/>
      <c r="O672" s="93"/>
    </row>
    <row r="673" spans="1:15" x14ac:dyDescent="0.25">
      <c r="A673" s="756" t="s">
        <v>67</v>
      </c>
      <c r="B673" s="755" t="s">
        <v>112</v>
      </c>
      <c r="C673" s="755" t="s">
        <v>66</v>
      </c>
      <c r="D673" s="755" t="s">
        <v>65</v>
      </c>
      <c r="E673" s="755" t="s">
        <v>81</v>
      </c>
      <c r="F673" s="816" t="s">
        <v>80</v>
      </c>
      <c r="G673" s="816" t="s">
        <v>79</v>
      </c>
      <c r="H673" s="816" t="s">
        <v>78</v>
      </c>
      <c r="I673" s="816" t="s">
        <v>111</v>
      </c>
      <c r="J673" s="816" t="s">
        <v>110</v>
      </c>
      <c r="K673" s="816" t="s">
        <v>109</v>
      </c>
      <c r="L673" s="816" t="s">
        <v>108</v>
      </c>
      <c r="M673" s="816" t="s">
        <v>40</v>
      </c>
      <c r="N673" s="816" t="s">
        <v>58</v>
      </c>
      <c r="O673" s="93"/>
    </row>
    <row r="674" spans="1:15" ht="30" x14ac:dyDescent="0.25">
      <c r="A674" s="836">
        <v>10</v>
      </c>
      <c r="B674" s="838" t="s">
        <v>838</v>
      </c>
      <c r="C674" s="836" t="s">
        <v>841</v>
      </c>
      <c r="D674" s="837">
        <v>4.2</v>
      </c>
      <c r="E674" s="836">
        <v>70</v>
      </c>
      <c r="F674" s="836" t="s">
        <v>68</v>
      </c>
      <c r="G674" s="836">
        <v>3</v>
      </c>
      <c r="H674" s="835" t="s">
        <v>68</v>
      </c>
      <c r="I674" s="813" t="s">
        <v>1568</v>
      </c>
      <c r="J674" s="834">
        <v>5.5999999999999999E-3</v>
      </c>
      <c r="K674" s="833">
        <v>0.08</v>
      </c>
      <c r="L674" s="832">
        <v>2710</v>
      </c>
      <c r="M674" s="831">
        <v>1</v>
      </c>
      <c r="N674" s="809">
        <f>IF(J674="",D674*M674,D674*J674*K674*L674*M674)</f>
        <v>5.0991359999999997</v>
      </c>
      <c r="O674" s="93"/>
    </row>
    <row r="675" spans="1:15" x14ac:dyDescent="0.25">
      <c r="A675" s="98"/>
      <c r="B675" s="95"/>
      <c r="C675" s="95"/>
      <c r="D675" s="95"/>
      <c r="E675" s="95"/>
      <c r="F675" s="95"/>
      <c r="G675" s="95"/>
      <c r="H675" s="95"/>
      <c r="I675" s="95"/>
      <c r="J675" s="754"/>
      <c r="K675" s="754"/>
      <c r="L675" s="95"/>
      <c r="M675" s="808" t="s">
        <v>58</v>
      </c>
      <c r="N675" s="750">
        <f>SUM(N674:N674)</f>
        <v>5.0991359999999997</v>
      </c>
      <c r="O675" s="93"/>
    </row>
    <row r="676" spans="1:15" x14ac:dyDescent="0.25">
      <c r="A676" s="107"/>
      <c r="B676" s="94"/>
      <c r="C676" s="94"/>
      <c r="D676" s="94"/>
      <c r="E676" s="94"/>
      <c r="F676" s="94"/>
      <c r="G676" s="94"/>
      <c r="H676" s="94"/>
      <c r="I676" s="94"/>
      <c r="J676" s="94"/>
      <c r="K676" s="94"/>
      <c r="L676" s="94"/>
      <c r="M676" s="94"/>
      <c r="N676" s="94"/>
      <c r="O676" s="93"/>
    </row>
    <row r="677" spans="1:15" x14ac:dyDescent="0.25">
      <c r="A677" s="797" t="s">
        <v>67</v>
      </c>
      <c r="B677" s="816" t="s">
        <v>106</v>
      </c>
      <c r="C677" s="816" t="s">
        <v>66</v>
      </c>
      <c r="D677" s="816" t="s">
        <v>65</v>
      </c>
      <c r="E677" s="816" t="s">
        <v>64</v>
      </c>
      <c r="F677" s="816" t="s">
        <v>40</v>
      </c>
      <c r="G677" s="816" t="s">
        <v>105</v>
      </c>
      <c r="H677" s="816" t="s">
        <v>104</v>
      </c>
      <c r="I677" s="816" t="s">
        <v>58</v>
      </c>
      <c r="J677" s="95"/>
      <c r="K677" s="95"/>
      <c r="L677" s="95"/>
      <c r="M677" s="95"/>
      <c r="N677" s="95"/>
      <c r="O677" s="93"/>
    </row>
    <row r="678" spans="1:15" x14ac:dyDescent="0.25">
      <c r="A678" s="830">
        <v>10</v>
      </c>
      <c r="B678" s="818" t="s">
        <v>516</v>
      </c>
      <c r="C678" s="830" t="s">
        <v>802</v>
      </c>
      <c r="D678" s="815">
        <v>1.3</v>
      </c>
      <c r="E678" s="818" t="s">
        <v>64</v>
      </c>
      <c r="F678" s="830">
        <v>1</v>
      </c>
      <c r="G678" s="830"/>
      <c r="H678" s="830"/>
      <c r="I678" s="817">
        <f>IF(H678="",D678*F678,D678*F678*H678)</f>
        <v>1.3</v>
      </c>
      <c r="J678" s="142"/>
      <c r="K678" s="142"/>
      <c r="L678" s="142"/>
      <c r="M678" s="142"/>
      <c r="N678" s="142"/>
      <c r="O678" s="120"/>
    </row>
    <row r="679" spans="1:15" ht="30" x14ac:dyDescent="0.25">
      <c r="A679" s="828">
        <v>20</v>
      </c>
      <c r="B679" s="818" t="s">
        <v>541</v>
      </c>
      <c r="C679" s="828" t="s">
        <v>834</v>
      </c>
      <c r="D679" s="829">
        <v>0.01</v>
      </c>
      <c r="E679" s="828" t="s">
        <v>101</v>
      </c>
      <c r="F679" s="827">
        <v>47.8</v>
      </c>
      <c r="G679" s="818" t="s">
        <v>629</v>
      </c>
      <c r="H679" s="839">
        <v>1</v>
      </c>
      <c r="I679" s="817">
        <f>IF(H679="",D679*F679,D679*F679*H679)</f>
        <v>0.47799999999999998</v>
      </c>
      <c r="J679" s="142"/>
      <c r="K679" s="142"/>
      <c r="L679" s="142"/>
      <c r="M679" s="142"/>
      <c r="N679" s="142"/>
      <c r="O679" s="120"/>
    </row>
    <row r="680" spans="1:15" x14ac:dyDescent="0.25">
      <c r="A680" s="828">
        <v>30</v>
      </c>
      <c r="B680" s="818" t="s">
        <v>539</v>
      </c>
      <c r="C680" s="828" t="s">
        <v>1567</v>
      </c>
      <c r="D680" s="829">
        <v>0.25</v>
      </c>
      <c r="E680" s="828" t="s">
        <v>64</v>
      </c>
      <c r="F680" s="827">
        <v>2</v>
      </c>
      <c r="G680" s="818"/>
      <c r="H680" s="839"/>
      <c r="I680" s="817">
        <f>IF(H680="",D680*F680,D680*F680*H680)</f>
        <v>0.5</v>
      </c>
      <c r="J680" s="142"/>
      <c r="K680" s="142"/>
      <c r="L680" s="142"/>
      <c r="M680" s="142"/>
      <c r="N680" s="142"/>
      <c r="O680" s="120"/>
    </row>
    <row r="681" spans="1:15" x14ac:dyDescent="0.25">
      <c r="A681" s="98"/>
      <c r="B681" s="95"/>
      <c r="C681" s="95"/>
      <c r="D681" s="95"/>
      <c r="E681" s="95"/>
      <c r="F681" s="95"/>
      <c r="G681" s="95"/>
      <c r="H681" s="751" t="s">
        <v>58</v>
      </c>
      <c r="I681" s="750">
        <f>SUM(I678:I680)</f>
        <v>2.278</v>
      </c>
      <c r="J681" s="95"/>
      <c r="K681" s="95"/>
      <c r="L681" s="95"/>
      <c r="M681" s="95"/>
      <c r="N681" s="95"/>
      <c r="O681" s="93"/>
    </row>
    <row r="682" spans="1:15" ht="15.75" thickBot="1" x14ac:dyDescent="0.3">
      <c r="A682" s="92"/>
      <c r="B682" s="91"/>
      <c r="C682" s="91"/>
      <c r="D682" s="91"/>
      <c r="E682" s="91"/>
      <c r="F682" s="91"/>
      <c r="G682" s="91"/>
      <c r="H682" s="91"/>
      <c r="I682" s="91"/>
      <c r="J682" s="91"/>
      <c r="K682" s="91"/>
      <c r="L682" s="91"/>
      <c r="M682" s="91"/>
      <c r="N682" s="91"/>
      <c r="O682" s="90"/>
    </row>
    <row r="683" spans="1:15" ht="15.75" thickBot="1" x14ac:dyDescent="0.3"/>
    <row r="684" spans="1:15" x14ac:dyDescent="0.25">
      <c r="A684" s="141"/>
      <c r="B684" s="140"/>
      <c r="C684" s="140"/>
      <c r="D684" s="140"/>
      <c r="E684" s="140"/>
      <c r="F684" s="140"/>
      <c r="G684" s="140"/>
      <c r="H684" s="140"/>
      <c r="I684" s="140"/>
      <c r="J684" s="272"/>
      <c r="K684" s="140"/>
      <c r="L684" s="140"/>
      <c r="M684" s="140"/>
      <c r="N684" s="140"/>
      <c r="O684" s="139"/>
    </row>
    <row r="685" spans="1:15" x14ac:dyDescent="0.25">
      <c r="A685" s="757" t="s">
        <v>57</v>
      </c>
      <c r="B685" s="133" t="s">
        <v>523</v>
      </c>
      <c r="C685" s="94"/>
      <c r="D685" s="94"/>
      <c r="E685" s="94"/>
      <c r="F685" s="94"/>
      <c r="G685" s="94"/>
      <c r="H685" s="94"/>
      <c r="I685" s="94"/>
      <c r="J685" s="760" t="s">
        <v>51</v>
      </c>
      <c r="K685" s="138">
        <v>81</v>
      </c>
      <c r="L685" s="94"/>
      <c r="M685" s="757" t="s">
        <v>113</v>
      </c>
      <c r="N685" s="100">
        <f>FR_05001_m+FR_05001_p</f>
        <v>4.6504063821164863</v>
      </c>
      <c r="O685" s="93"/>
    </row>
    <row r="686" spans="1:15" x14ac:dyDescent="0.25">
      <c r="A686" s="757" t="s">
        <v>125</v>
      </c>
      <c r="B686" s="133" t="s">
        <v>1412</v>
      </c>
      <c r="C686" s="94"/>
      <c r="D686" s="757" t="s">
        <v>122</v>
      </c>
      <c r="E686" s="270" t="s">
        <v>522</v>
      </c>
      <c r="F686" s="94"/>
      <c r="G686" s="94"/>
      <c r="H686" s="94"/>
      <c r="I686" s="94"/>
      <c r="J686" s="94"/>
      <c r="K686" s="94"/>
      <c r="L686" s="94"/>
      <c r="M686" s="757" t="s">
        <v>124</v>
      </c>
      <c r="N686" s="136">
        <v>1</v>
      </c>
      <c r="O686" s="93"/>
    </row>
    <row r="687" spans="1:15" x14ac:dyDescent="0.25">
      <c r="A687" s="757" t="s">
        <v>123</v>
      </c>
      <c r="B687" s="270" t="str">
        <f>'FR Assemblies'!B232</f>
        <v>Clutch actuation system</v>
      </c>
      <c r="C687" s="94"/>
      <c r="D687" s="757" t="s">
        <v>119</v>
      </c>
      <c r="E687" s="94"/>
      <c r="F687" s="94"/>
      <c r="G687" s="94"/>
      <c r="H687" s="94"/>
      <c r="I687" s="94"/>
      <c r="J687" s="758" t="s">
        <v>122</v>
      </c>
      <c r="K687" s="94"/>
      <c r="L687" s="94"/>
      <c r="M687" s="94"/>
      <c r="N687" s="94"/>
      <c r="O687" s="93"/>
    </row>
    <row r="688" spans="1:15" x14ac:dyDescent="0.25">
      <c r="A688" s="757" t="s">
        <v>114</v>
      </c>
      <c r="B688" s="764" t="s">
        <v>1566</v>
      </c>
      <c r="C688" s="94"/>
      <c r="D688" s="757" t="s">
        <v>116</v>
      </c>
      <c r="E688" s="94"/>
      <c r="F688" s="94"/>
      <c r="G688" s="94"/>
      <c r="H688" s="94"/>
      <c r="I688" s="94"/>
      <c r="J688" s="758" t="s">
        <v>119</v>
      </c>
      <c r="K688" s="94"/>
      <c r="L688" s="94"/>
      <c r="M688" s="757" t="s">
        <v>118</v>
      </c>
      <c r="N688" s="100">
        <f>N686*N685</f>
        <v>4.6504063821164863</v>
      </c>
      <c r="O688" s="93"/>
    </row>
    <row r="689" spans="1:15" x14ac:dyDescent="0.25">
      <c r="A689" s="757" t="s">
        <v>121</v>
      </c>
      <c r="B689" s="269" t="s">
        <v>1565</v>
      </c>
      <c r="C689" s="94"/>
      <c r="D689" s="94"/>
      <c r="E689" s="94"/>
      <c r="F689" s="94"/>
      <c r="G689" s="94"/>
      <c r="H689" s="94"/>
      <c r="I689" s="94"/>
      <c r="J689" s="758" t="s">
        <v>116</v>
      </c>
      <c r="K689" s="94"/>
      <c r="L689" s="94"/>
      <c r="M689" s="94"/>
      <c r="N689" s="94"/>
      <c r="O689" s="93"/>
    </row>
    <row r="690" spans="1:15" x14ac:dyDescent="0.25">
      <c r="A690" s="757" t="s">
        <v>117</v>
      </c>
      <c r="B690" s="133" t="s">
        <v>23</v>
      </c>
      <c r="C690" s="94"/>
      <c r="D690" s="94"/>
      <c r="E690" s="94"/>
      <c r="F690" s="94"/>
      <c r="G690" s="94"/>
      <c r="H690" s="94"/>
      <c r="I690" s="94"/>
      <c r="J690" s="94"/>
      <c r="K690" s="94"/>
      <c r="L690" s="94"/>
      <c r="M690" s="94"/>
      <c r="N690" s="94"/>
      <c r="O690" s="93"/>
    </row>
    <row r="691" spans="1:15" x14ac:dyDescent="0.25">
      <c r="A691" s="757" t="s">
        <v>115</v>
      </c>
      <c r="B691" s="764"/>
      <c r="C691" s="94"/>
      <c r="D691" s="94"/>
      <c r="E691" s="94"/>
      <c r="F691" s="94"/>
      <c r="G691" s="94"/>
      <c r="H691" s="94"/>
      <c r="I691" s="94"/>
      <c r="J691" s="94"/>
      <c r="K691" s="94"/>
      <c r="L691" s="94"/>
      <c r="M691" s="94"/>
      <c r="N691" s="94"/>
      <c r="O691" s="93"/>
    </row>
    <row r="692" spans="1:15" x14ac:dyDescent="0.25">
      <c r="A692" s="266"/>
      <c r="B692" s="265"/>
      <c r="C692" s="265"/>
      <c r="D692" s="265"/>
      <c r="E692" s="265"/>
      <c r="F692" s="94"/>
      <c r="G692" s="94"/>
      <c r="H692" s="94"/>
      <c r="I692" s="94"/>
      <c r="J692" s="94"/>
      <c r="K692" s="94"/>
      <c r="L692" s="94"/>
      <c r="M692" s="94"/>
      <c r="N692" s="94"/>
      <c r="O692" s="93"/>
    </row>
    <row r="693" spans="1:15" x14ac:dyDescent="0.25">
      <c r="A693" s="756" t="s">
        <v>67</v>
      </c>
      <c r="B693" s="755" t="s">
        <v>112</v>
      </c>
      <c r="C693" s="755" t="s">
        <v>66</v>
      </c>
      <c r="D693" s="755" t="s">
        <v>65</v>
      </c>
      <c r="E693" s="755" t="s">
        <v>81</v>
      </c>
      <c r="F693" s="816" t="s">
        <v>80</v>
      </c>
      <c r="G693" s="816" t="s">
        <v>79</v>
      </c>
      <c r="H693" s="816" t="s">
        <v>78</v>
      </c>
      <c r="I693" s="816" t="s">
        <v>111</v>
      </c>
      <c r="J693" s="816" t="s">
        <v>110</v>
      </c>
      <c r="K693" s="816" t="s">
        <v>109</v>
      </c>
      <c r="L693" s="816" t="s">
        <v>108</v>
      </c>
      <c r="M693" s="816" t="s">
        <v>40</v>
      </c>
      <c r="N693" s="816" t="s">
        <v>58</v>
      </c>
      <c r="O693" s="93"/>
    </row>
    <row r="694" spans="1:15" x14ac:dyDescent="0.25">
      <c r="A694" s="970">
        <v>10</v>
      </c>
      <c r="B694" s="980" t="s">
        <v>683</v>
      </c>
      <c r="C694" s="970" t="s">
        <v>841</v>
      </c>
      <c r="D694" s="837">
        <v>4.2</v>
      </c>
      <c r="E694" s="970">
        <v>25</v>
      </c>
      <c r="F694" s="970" t="s">
        <v>68</v>
      </c>
      <c r="G694" s="970"/>
      <c r="H694" s="835"/>
      <c r="I694" s="969" t="s">
        <v>1564</v>
      </c>
      <c r="J694" s="834">
        <v>4.9087385212340522E-4</v>
      </c>
      <c r="K694" s="833">
        <v>0.217</v>
      </c>
      <c r="L694" s="967">
        <v>2710</v>
      </c>
      <c r="M694" s="966">
        <v>1</v>
      </c>
      <c r="N694" s="809">
        <f>IF(J694="",D694*M694,D694*J694*K694*L694*M694)</f>
        <v>1.2124063821164857</v>
      </c>
      <c r="O694" s="93"/>
    </row>
    <row r="695" spans="1:15" x14ac:dyDescent="0.25">
      <c r="A695" s="98"/>
      <c r="B695" s="95"/>
      <c r="C695" s="95"/>
      <c r="D695" s="95"/>
      <c r="E695" s="95"/>
      <c r="F695" s="95"/>
      <c r="G695" s="95"/>
      <c r="H695" s="95"/>
      <c r="I695" s="95"/>
      <c r="J695" s="754"/>
      <c r="K695" s="754"/>
      <c r="L695" s="95"/>
      <c r="M695" s="808" t="s">
        <v>58</v>
      </c>
      <c r="N695" s="750">
        <f>SUM(N694:N694)</f>
        <v>1.2124063821164857</v>
      </c>
      <c r="O695" s="93"/>
    </row>
    <row r="696" spans="1:15" x14ac:dyDescent="0.25">
      <c r="A696" s="107"/>
      <c r="B696" s="94"/>
      <c r="C696" s="94"/>
      <c r="D696" s="94"/>
      <c r="E696" s="94"/>
      <c r="F696" s="94"/>
      <c r="G696" s="94"/>
      <c r="H696" s="94"/>
      <c r="I696" s="94"/>
      <c r="J696" s="94"/>
      <c r="K696" s="94"/>
      <c r="L696" s="94"/>
      <c r="M696" s="94"/>
      <c r="N696" s="94"/>
      <c r="O696" s="93"/>
    </row>
    <row r="697" spans="1:15" x14ac:dyDescent="0.25">
      <c r="A697" s="797" t="s">
        <v>67</v>
      </c>
      <c r="B697" s="816" t="s">
        <v>106</v>
      </c>
      <c r="C697" s="816" t="s">
        <v>66</v>
      </c>
      <c r="D697" s="816" t="s">
        <v>65</v>
      </c>
      <c r="E697" s="816" t="s">
        <v>64</v>
      </c>
      <c r="F697" s="816" t="s">
        <v>40</v>
      </c>
      <c r="G697" s="816" t="s">
        <v>105</v>
      </c>
      <c r="H697" s="816" t="s">
        <v>104</v>
      </c>
      <c r="I697" s="816" t="s">
        <v>58</v>
      </c>
      <c r="J697" s="95"/>
      <c r="K697" s="95"/>
      <c r="L697" s="95"/>
      <c r="M697" s="95"/>
      <c r="N697" s="95"/>
      <c r="O697" s="93"/>
    </row>
    <row r="698" spans="1:15" x14ac:dyDescent="0.25">
      <c r="A698" s="963">
        <v>10</v>
      </c>
      <c r="B698" s="818" t="s">
        <v>516</v>
      </c>
      <c r="C698" s="963"/>
      <c r="D698" s="815">
        <v>1.3</v>
      </c>
      <c r="E698" s="818" t="s">
        <v>64</v>
      </c>
      <c r="F698" s="973">
        <v>1</v>
      </c>
      <c r="G698" s="963"/>
      <c r="H698" s="963"/>
      <c r="I698" s="817">
        <f t="shared" ref="I698:I704" si="6">IF(H698="",D698*F698,D698*F698*H698)</f>
        <v>1.3</v>
      </c>
      <c r="J698" s="142"/>
      <c r="K698" s="142"/>
      <c r="L698" s="142"/>
      <c r="M698" s="142"/>
      <c r="N698" s="142"/>
      <c r="O698" s="120"/>
    </row>
    <row r="699" spans="1:15" ht="30" x14ac:dyDescent="0.25">
      <c r="A699" s="858">
        <v>20</v>
      </c>
      <c r="B699" s="818" t="s">
        <v>514</v>
      </c>
      <c r="C699" s="858" t="s">
        <v>1563</v>
      </c>
      <c r="D699" s="829">
        <v>0.04</v>
      </c>
      <c r="E699" s="858" t="s">
        <v>512</v>
      </c>
      <c r="F699" s="975">
        <v>7.7</v>
      </c>
      <c r="G699" s="818" t="s">
        <v>629</v>
      </c>
      <c r="H699" s="871">
        <v>1</v>
      </c>
      <c r="I699" s="817">
        <f t="shared" si="6"/>
        <v>0.308</v>
      </c>
      <c r="J699" s="142"/>
      <c r="K699" s="142"/>
      <c r="L699" s="142"/>
      <c r="M699" s="142"/>
      <c r="N699" s="142"/>
      <c r="O699" s="120"/>
    </row>
    <row r="700" spans="1:15" x14ac:dyDescent="0.25">
      <c r="A700" s="963">
        <v>30</v>
      </c>
      <c r="B700" s="818" t="s">
        <v>822</v>
      </c>
      <c r="C700" s="963"/>
      <c r="D700" s="815">
        <v>0.65</v>
      </c>
      <c r="E700" s="818" t="s">
        <v>64</v>
      </c>
      <c r="F700" s="973">
        <v>1</v>
      </c>
      <c r="G700" s="963"/>
      <c r="H700" s="963"/>
      <c r="I700" s="817">
        <f t="shared" si="6"/>
        <v>0.65</v>
      </c>
      <c r="J700" s="142"/>
      <c r="K700" s="142"/>
      <c r="L700" s="142"/>
      <c r="M700" s="142"/>
      <c r="N700" s="142"/>
      <c r="O700" s="120"/>
    </row>
    <row r="701" spans="1:15" ht="30" x14ac:dyDescent="0.25">
      <c r="A701" s="858">
        <v>40</v>
      </c>
      <c r="B701" s="818" t="s">
        <v>514</v>
      </c>
      <c r="C701" s="963"/>
      <c r="D701" s="815">
        <v>0.04</v>
      </c>
      <c r="E701" s="818" t="s">
        <v>512</v>
      </c>
      <c r="F701" s="973">
        <v>1.2</v>
      </c>
      <c r="G701" s="818" t="s">
        <v>629</v>
      </c>
      <c r="H701" s="963">
        <v>1</v>
      </c>
      <c r="I701" s="817">
        <f t="shared" si="6"/>
        <v>4.8000000000000001E-2</v>
      </c>
      <c r="J701" s="142"/>
      <c r="K701" s="142"/>
      <c r="L701" s="142"/>
      <c r="M701" s="142"/>
      <c r="N701" s="142"/>
      <c r="O701" s="120"/>
    </row>
    <row r="702" spans="1:15" x14ac:dyDescent="0.25">
      <c r="A702" s="963">
        <v>50</v>
      </c>
      <c r="B702" s="818" t="s">
        <v>822</v>
      </c>
      <c r="C702" s="963"/>
      <c r="D702" s="815">
        <v>0.65</v>
      </c>
      <c r="E702" s="818" t="s">
        <v>64</v>
      </c>
      <c r="F702" s="973">
        <v>1</v>
      </c>
      <c r="G702" s="963"/>
      <c r="H702" s="963"/>
      <c r="I702" s="817">
        <f t="shared" si="6"/>
        <v>0.65</v>
      </c>
      <c r="J702" s="142"/>
      <c r="K702" s="142"/>
      <c r="L702" s="142"/>
      <c r="M702" s="142"/>
      <c r="N702" s="142"/>
      <c r="O702" s="120"/>
    </row>
    <row r="703" spans="1:15" ht="30" x14ac:dyDescent="0.25">
      <c r="A703" s="858">
        <v>60</v>
      </c>
      <c r="B703" s="818" t="s">
        <v>514</v>
      </c>
      <c r="C703" s="963"/>
      <c r="D703" s="815">
        <v>0.04</v>
      </c>
      <c r="E703" s="818" t="s">
        <v>512</v>
      </c>
      <c r="F703" s="973">
        <v>3.3</v>
      </c>
      <c r="G703" s="818" t="s">
        <v>629</v>
      </c>
      <c r="H703" s="963">
        <v>1</v>
      </c>
      <c r="I703" s="817">
        <f t="shared" si="6"/>
        <v>0.13200000000000001</v>
      </c>
      <c r="J703" s="142"/>
      <c r="K703" s="142"/>
      <c r="L703" s="142"/>
      <c r="M703" s="142"/>
      <c r="N703" s="142"/>
      <c r="O703" s="120"/>
    </row>
    <row r="704" spans="1:15" ht="30" x14ac:dyDescent="0.25">
      <c r="A704" s="963">
        <v>70</v>
      </c>
      <c r="B704" s="818" t="s">
        <v>296</v>
      </c>
      <c r="C704" s="979" t="s">
        <v>1562</v>
      </c>
      <c r="D704" s="978">
        <v>0.35</v>
      </c>
      <c r="E704" s="818" t="s">
        <v>294</v>
      </c>
      <c r="F704" s="975">
        <v>1</v>
      </c>
      <c r="G704" s="818" t="s">
        <v>629</v>
      </c>
      <c r="H704" s="871">
        <v>1</v>
      </c>
      <c r="I704" s="817">
        <f t="shared" si="6"/>
        <v>0.35</v>
      </c>
      <c r="J704" s="142"/>
      <c r="K704" s="142"/>
      <c r="L704" s="142"/>
      <c r="M704" s="142"/>
      <c r="N704" s="142"/>
      <c r="O704" s="120"/>
    </row>
    <row r="705" spans="1:15" x14ac:dyDescent="0.25">
      <c r="A705" s="98"/>
      <c r="B705" s="95"/>
      <c r="C705" s="95"/>
      <c r="D705" s="95"/>
      <c r="E705" s="95"/>
      <c r="F705" s="95"/>
      <c r="G705" s="95"/>
      <c r="H705" s="751" t="s">
        <v>58</v>
      </c>
      <c r="I705" s="750">
        <f>SUM(I698:I704)</f>
        <v>3.4380000000000002</v>
      </c>
      <c r="J705" s="95"/>
      <c r="K705" s="95"/>
      <c r="L705" s="95"/>
      <c r="M705" s="95"/>
      <c r="N705" s="95"/>
      <c r="O705" s="93"/>
    </row>
    <row r="706" spans="1:15" ht="15.75" thickBot="1" x14ac:dyDescent="0.3">
      <c r="A706" s="92"/>
      <c r="B706" s="91"/>
      <c r="C706" s="91"/>
      <c r="D706" s="91"/>
      <c r="E706" s="91"/>
      <c r="F706" s="91"/>
      <c r="G706" s="91"/>
      <c r="H706" s="91"/>
      <c r="I706" s="91"/>
      <c r="J706" s="91"/>
      <c r="K706" s="91"/>
      <c r="L706" s="91"/>
      <c r="M706" s="91"/>
      <c r="N706" s="91"/>
      <c r="O706" s="90"/>
    </row>
    <row r="707" spans="1:15" ht="15.75" thickBot="1" x14ac:dyDescent="0.3"/>
    <row r="708" spans="1:15" x14ac:dyDescent="0.25">
      <c r="A708" s="141"/>
      <c r="B708" s="140"/>
      <c r="C708" s="140"/>
      <c r="D708" s="140"/>
      <c r="E708" s="140"/>
      <c r="F708" s="140"/>
      <c r="G708" s="140"/>
      <c r="H708" s="140"/>
      <c r="I708" s="140"/>
      <c r="J708" s="272"/>
      <c r="K708" s="140"/>
      <c r="L708" s="140"/>
      <c r="M708" s="140"/>
      <c r="N708" s="140"/>
      <c r="O708" s="139"/>
    </row>
    <row r="709" spans="1:15" x14ac:dyDescent="0.25">
      <c r="A709" s="757" t="s">
        <v>57</v>
      </c>
      <c r="B709" s="133" t="s">
        <v>523</v>
      </c>
      <c r="C709" s="94"/>
      <c r="D709" s="94"/>
      <c r="E709" s="94"/>
      <c r="F709" s="94"/>
      <c r="G709" s="94"/>
      <c r="H709" s="94"/>
      <c r="I709" s="94"/>
      <c r="J709" s="760" t="s">
        <v>51</v>
      </c>
      <c r="K709" s="138">
        <v>81</v>
      </c>
      <c r="L709" s="94"/>
      <c r="M709" s="757" t="s">
        <v>113</v>
      </c>
      <c r="N709" s="100">
        <f>FR_05002_m+FR_05002_p+FR_05002_t</f>
        <v>11.771166666666666</v>
      </c>
      <c r="O709" s="93"/>
    </row>
    <row r="710" spans="1:15" x14ac:dyDescent="0.25">
      <c r="A710" s="757" t="s">
        <v>125</v>
      </c>
      <c r="B710" s="133" t="s">
        <v>1412</v>
      </c>
      <c r="C710" s="94"/>
      <c r="D710" s="757" t="s">
        <v>122</v>
      </c>
      <c r="E710" s="94"/>
      <c r="F710" s="94"/>
      <c r="G710" s="94"/>
      <c r="H710" s="94"/>
      <c r="I710" s="94"/>
      <c r="J710" s="94"/>
      <c r="K710" s="94"/>
      <c r="L710" s="94"/>
      <c r="M710" s="757" t="s">
        <v>124</v>
      </c>
      <c r="N710" s="136">
        <v>1</v>
      </c>
      <c r="O710" s="93"/>
    </row>
    <row r="711" spans="1:15" x14ac:dyDescent="0.25">
      <c r="A711" s="757" t="s">
        <v>123</v>
      </c>
      <c r="B711" s="270" t="str">
        <f>'FR Assemblies'!B232</f>
        <v>Clutch actuation system</v>
      </c>
      <c r="C711" s="94"/>
      <c r="D711" s="757" t="s">
        <v>119</v>
      </c>
      <c r="E711" s="94"/>
      <c r="F711" s="94"/>
      <c r="G711" s="94"/>
      <c r="H711" s="94"/>
      <c r="I711" s="94"/>
      <c r="J711" s="758" t="s">
        <v>122</v>
      </c>
      <c r="K711" s="94"/>
      <c r="L711" s="94"/>
      <c r="M711" s="94"/>
      <c r="N711" s="94"/>
      <c r="O711" s="93"/>
    </row>
    <row r="712" spans="1:15" x14ac:dyDescent="0.25">
      <c r="A712" s="757" t="s">
        <v>114</v>
      </c>
      <c r="B712" s="764" t="s">
        <v>1561</v>
      </c>
      <c r="C712" s="94"/>
      <c r="D712" s="757" t="s">
        <v>116</v>
      </c>
      <c r="E712" s="94"/>
      <c r="F712" s="94"/>
      <c r="G712" s="94"/>
      <c r="H712" s="94"/>
      <c r="I712" s="94"/>
      <c r="J712" s="758" t="s">
        <v>119</v>
      </c>
      <c r="K712" s="94"/>
      <c r="L712" s="94"/>
      <c r="M712" s="757" t="s">
        <v>118</v>
      </c>
      <c r="N712" s="100">
        <f>N710*N709</f>
        <v>11.771166666666666</v>
      </c>
      <c r="O712" s="93"/>
    </row>
    <row r="713" spans="1:15" x14ac:dyDescent="0.25">
      <c r="A713" s="757" t="s">
        <v>121</v>
      </c>
      <c r="B713" s="269" t="s">
        <v>1560</v>
      </c>
      <c r="C713" s="94"/>
      <c r="D713" s="94"/>
      <c r="E713" s="94"/>
      <c r="F713" s="94"/>
      <c r="G713" s="94"/>
      <c r="H713" s="94"/>
      <c r="I713" s="94"/>
      <c r="J713" s="758" t="s">
        <v>116</v>
      </c>
      <c r="K713" s="94"/>
      <c r="L713" s="94"/>
      <c r="M713" s="94"/>
      <c r="N713" s="94"/>
      <c r="O713" s="93"/>
    </row>
    <row r="714" spans="1:15" x14ac:dyDescent="0.25">
      <c r="A714" s="757" t="s">
        <v>117</v>
      </c>
      <c r="B714" s="133" t="s">
        <v>23</v>
      </c>
      <c r="C714" s="94"/>
      <c r="D714" s="94"/>
      <c r="E714" s="94"/>
      <c r="F714" s="94"/>
      <c r="G714" s="94"/>
      <c r="H714" s="94"/>
      <c r="I714" s="94"/>
      <c r="J714" s="94"/>
      <c r="K714" s="94"/>
      <c r="L714" s="94"/>
      <c r="M714" s="94"/>
      <c r="N714" s="94"/>
      <c r="O714" s="93"/>
    </row>
    <row r="715" spans="1:15" x14ac:dyDescent="0.25">
      <c r="A715" s="757" t="s">
        <v>115</v>
      </c>
      <c r="B715" s="764" t="s">
        <v>1552</v>
      </c>
      <c r="C715" s="94"/>
      <c r="D715" s="94"/>
      <c r="E715" s="94"/>
      <c r="F715" s="94"/>
      <c r="G715" s="94"/>
      <c r="H715" s="94"/>
      <c r="I715" s="94"/>
      <c r="J715" s="94"/>
      <c r="K715" s="94"/>
      <c r="L715" s="94"/>
      <c r="M715" s="94"/>
      <c r="N715" s="94"/>
      <c r="O715" s="93"/>
    </row>
    <row r="716" spans="1:15" x14ac:dyDescent="0.25">
      <c r="A716" s="266"/>
      <c r="B716" s="265"/>
      <c r="C716" s="265"/>
      <c r="D716" s="265"/>
      <c r="E716" s="265"/>
      <c r="F716" s="94"/>
      <c r="G716" s="94"/>
      <c r="H716" s="94"/>
      <c r="I716" s="94"/>
      <c r="J716" s="94"/>
      <c r="K716" s="94"/>
      <c r="L716" s="94"/>
      <c r="M716" s="94"/>
      <c r="N716" s="94"/>
      <c r="O716" s="93"/>
    </row>
    <row r="717" spans="1:15" x14ac:dyDescent="0.25">
      <c r="A717" s="756" t="s">
        <v>67</v>
      </c>
      <c r="B717" s="755" t="s">
        <v>112</v>
      </c>
      <c r="C717" s="755" t="s">
        <v>66</v>
      </c>
      <c r="D717" s="755" t="s">
        <v>65</v>
      </c>
      <c r="E717" s="755" t="s">
        <v>81</v>
      </c>
      <c r="F717" s="816" t="s">
        <v>80</v>
      </c>
      <c r="G717" s="816" t="s">
        <v>79</v>
      </c>
      <c r="H717" s="816" t="s">
        <v>78</v>
      </c>
      <c r="I717" s="816" t="s">
        <v>111</v>
      </c>
      <c r="J717" s="816" t="s">
        <v>110</v>
      </c>
      <c r="K717" s="816" t="s">
        <v>109</v>
      </c>
      <c r="L717" s="816" t="s">
        <v>108</v>
      </c>
      <c r="M717" s="816" t="s">
        <v>40</v>
      </c>
      <c r="N717" s="816" t="s">
        <v>58</v>
      </c>
      <c r="O717" s="93"/>
    </row>
    <row r="718" spans="1:15" x14ac:dyDescent="0.25">
      <c r="A718" s="970">
        <v>10</v>
      </c>
      <c r="B718" s="980" t="s">
        <v>519</v>
      </c>
      <c r="C718" s="970" t="s">
        <v>682</v>
      </c>
      <c r="D718" s="837">
        <v>2.25</v>
      </c>
      <c r="E718" s="970">
        <v>0.25</v>
      </c>
      <c r="F718" s="970" t="s">
        <v>794</v>
      </c>
      <c r="G718" s="970"/>
      <c r="H718" s="835"/>
      <c r="I718" s="969"/>
      <c r="J718" s="974"/>
      <c r="K718" s="833"/>
      <c r="L718" s="967">
        <v>7860</v>
      </c>
      <c r="M718" s="966">
        <v>1</v>
      </c>
      <c r="N718" s="809">
        <f>D718*E718</f>
        <v>0.5625</v>
      </c>
      <c r="O718" s="93"/>
    </row>
    <row r="719" spans="1:15" x14ac:dyDescent="0.25">
      <c r="A719" s="98"/>
      <c r="B719" s="95"/>
      <c r="C719" s="95"/>
      <c r="D719" s="95"/>
      <c r="E719" s="95"/>
      <c r="F719" s="95"/>
      <c r="G719" s="95"/>
      <c r="H719" s="95"/>
      <c r="I719" s="95"/>
      <c r="J719" s="754"/>
      <c r="K719" s="754"/>
      <c r="L719" s="95"/>
      <c r="M719" s="808" t="s">
        <v>58</v>
      </c>
      <c r="N719" s="750">
        <f>SUM(N718:N718)</f>
        <v>0.5625</v>
      </c>
      <c r="O719" s="93"/>
    </row>
    <row r="720" spans="1:15" x14ac:dyDescent="0.25">
      <c r="A720" s="107"/>
      <c r="B720" s="94"/>
      <c r="C720" s="94"/>
      <c r="D720" s="94"/>
      <c r="E720" s="94"/>
      <c r="F720" s="94"/>
      <c r="G720" s="94"/>
      <c r="H720" s="94"/>
      <c r="I720" s="94"/>
      <c r="J720" s="94"/>
      <c r="K720" s="94"/>
      <c r="L720" s="94"/>
      <c r="M720" s="94"/>
      <c r="N720" s="94"/>
      <c r="O720" s="93"/>
    </row>
    <row r="721" spans="1:15" x14ac:dyDescent="0.25">
      <c r="A721" s="797" t="s">
        <v>67</v>
      </c>
      <c r="B721" s="816" t="s">
        <v>106</v>
      </c>
      <c r="C721" s="816" t="s">
        <v>66</v>
      </c>
      <c r="D721" s="816" t="s">
        <v>65</v>
      </c>
      <c r="E721" s="816" t="s">
        <v>64</v>
      </c>
      <c r="F721" s="816" t="s">
        <v>40</v>
      </c>
      <c r="G721" s="816" t="s">
        <v>105</v>
      </c>
      <c r="H721" s="816" t="s">
        <v>104</v>
      </c>
      <c r="I721" s="816" t="s">
        <v>58</v>
      </c>
      <c r="J721" s="95"/>
      <c r="K721" s="95"/>
      <c r="L721" s="95"/>
      <c r="M721" s="95"/>
      <c r="N721" s="95"/>
      <c r="O721" s="93"/>
    </row>
    <row r="722" spans="1:15" x14ac:dyDescent="0.25">
      <c r="A722" s="963">
        <v>10</v>
      </c>
      <c r="B722" s="818" t="s">
        <v>1321</v>
      </c>
      <c r="C722" s="963" t="s">
        <v>1559</v>
      </c>
      <c r="D722" s="815">
        <v>4</v>
      </c>
      <c r="E722" s="818" t="s">
        <v>794</v>
      </c>
      <c r="F722" s="973">
        <v>0.25</v>
      </c>
      <c r="G722" s="963"/>
      <c r="H722" s="963"/>
      <c r="I722" s="817">
        <f t="shared" ref="I722:I728" si="7">IF(H722="",D722*F722,D722*F722*H722)</f>
        <v>1</v>
      </c>
      <c r="J722" s="142"/>
      <c r="K722" s="142"/>
      <c r="L722" s="142"/>
      <c r="M722" s="142"/>
      <c r="N722" s="142"/>
      <c r="O722" s="120"/>
    </row>
    <row r="723" spans="1:15" x14ac:dyDescent="0.25">
      <c r="A723" s="858">
        <v>20</v>
      </c>
      <c r="B723" s="818" t="s">
        <v>516</v>
      </c>
      <c r="C723" s="858"/>
      <c r="D723" s="829">
        <v>1.3</v>
      </c>
      <c r="E723" s="858" t="s">
        <v>64</v>
      </c>
      <c r="F723" s="975">
        <v>1</v>
      </c>
      <c r="G723" s="818"/>
      <c r="H723" s="871"/>
      <c r="I723" s="817">
        <f t="shared" si="7"/>
        <v>1.3</v>
      </c>
      <c r="J723" s="142"/>
      <c r="K723" s="142"/>
      <c r="L723" s="142"/>
      <c r="M723" s="142"/>
      <c r="N723" s="142"/>
      <c r="O723" s="120"/>
    </row>
    <row r="724" spans="1:15" x14ac:dyDescent="0.25">
      <c r="A724" s="963">
        <v>30</v>
      </c>
      <c r="B724" s="818" t="s">
        <v>514</v>
      </c>
      <c r="C724" s="963" t="s">
        <v>1558</v>
      </c>
      <c r="D724" s="815">
        <v>0.04</v>
      </c>
      <c r="E724" s="818" t="s">
        <v>512</v>
      </c>
      <c r="F724" s="973">
        <v>6</v>
      </c>
      <c r="G724" s="963" t="s">
        <v>724</v>
      </c>
      <c r="H724" s="963">
        <v>3</v>
      </c>
      <c r="I724" s="817">
        <f t="shared" si="7"/>
        <v>0.72</v>
      </c>
      <c r="J724" s="142"/>
      <c r="K724" s="142"/>
      <c r="L724" s="142"/>
      <c r="M724" s="142"/>
      <c r="N724" s="142"/>
      <c r="O724" s="120"/>
    </row>
    <row r="725" spans="1:15" x14ac:dyDescent="0.25">
      <c r="A725" s="858">
        <v>40</v>
      </c>
      <c r="B725" s="818" t="s">
        <v>822</v>
      </c>
      <c r="C725" s="963"/>
      <c r="D725" s="815">
        <v>0.65</v>
      </c>
      <c r="E725" s="818" t="s">
        <v>64</v>
      </c>
      <c r="F725" s="973">
        <v>1</v>
      </c>
      <c r="G725" s="818"/>
      <c r="H725" s="963"/>
      <c r="I725" s="817">
        <f t="shared" si="7"/>
        <v>0.65</v>
      </c>
      <c r="J725" s="142"/>
      <c r="K725" s="142"/>
      <c r="L725" s="142"/>
      <c r="M725" s="142"/>
      <c r="N725" s="142"/>
      <c r="O725" s="120"/>
    </row>
    <row r="726" spans="1:15" x14ac:dyDescent="0.25">
      <c r="A726" s="963">
        <v>50</v>
      </c>
      <c r="B726" s="818" t="s">
        <v>514</v>
      </c>
      <c r="C726" s="963" t="s">
        <v>1557</v>
      </c>
      <c r="D726" s="815">
        <v>0.04</v>
      </c>
      <c r="E726" s="818" t="s">
        <v>512</v>
      </c>
      <c r="F726" s="973">
        <v>0.6</v>
      </c>
      <c r="G726" s="963" t="s">
        <v>724</v>
      </c>
      <c r="H726" s="963">
        <v>3</v>
      </c>
      <c r="I726" s="817">
        <f t="shared" si="7"/>
        <v>7.2000000000000008E-2</v>
      </c>
      <c r="J726" s="142"/>
      <c r="K726" s="142"/>
      <c r="L726" s="768"/>
      <c r="M726" s="142"/>
      <c r="N726" s="142"/>
      <c r="O726" s="120"/>
    </row>
    <row r="727" spans="1:15" x14ac:dyDescent="0.25">
      <c r="A727" s="858">
        <v>60</v>
      </c>
      <c r="B727" s="818" t="s">
        <v>296</v>
      </c>
      <c r="C727" s="963" t="s">
        <v>1556</v>
      </c>
      <c r="D727" s="815">
        <v>0.35</v>
      </c>
      <c r="E727" s="818" t="s">
        <v>64</v>
      </c>
      <c r="F727" s="973">
        <v>2</v>
      </c>
      <c r="G727" s="818"/>
      <c r="H727" s="963"/>
      <c r="I727" s="817">
        <f t="shared" si="7"/>
        <v>0.7</v>
      </c>
      <c r="J727" s="142"/>
      <c r="K727" s="142"/>
      <c r="L727" s="142"/>
      <c r="M727" s="142"/>
      <c r="N727" s="142"/>
      <c r="O727" s="120"/>
    </row>
    <row r="728" spans="1:15" x14ac:dyDescent="0.25">
      <c r="A728" s="963">
        <v>70</v>
      </c>
      <c r="B728" s="818" t="s">
        <v>631</v>
      </c>
      <c r="C728" s="979"/>
      <c r="D728" s="978">
        <v>0.1</v>
      </c>
      <c r="E728" s="818" t="s">
        <v>101</v>
      </c>
      <c r="F728" s="975">
        <v>1</v>
      </c>
      <c r="G728" s="818"/>
      <c r="H728" s="871"/>
      <c r="I728" s="817">
        <f t="shared" si="7"/>
        <v>0.1</v>
      </c>
      <c r="J728" s="142"/>
      <c r="K728" s="142"/>
      <c r="L728" s="142"/>
      <c r="M728" s="142"/>
      <c r="N728" s="142"/>
      <c r="O728" s="120"/>
    </row>
    <row r="729" spans="1:15" x14ac:dyDescent="0.25">
      <c r="A729" s="98"/>
      <c r="B729" s="95"/>
      <c r="C729" s="95"/>
      <c r="D729" s="95"/>
      <c r="E729" s="95"/>
      <c r="F729" s="95"/>
      <c r="G729" s="95"/>
      <c r="H729" s="751" t="s">
        <v>58</v>
      </c>
      <c r="I729" s="750">
        <f>SUM(I722:I728)</f>
        <v>4.5419999999999989</v>
      </c>
      <c r="J729" s="95"/>
      <c r="K729" s="95"/>
      <c r="L729" s="95"/>
      <c r="M729" s="95"/>
      <c r="N729" s="95"/>
      <c r="O729" s="93"/>
    </row>
    <row r="730" spans="1:15" x14ac:dyDescent="0.25">
      <c r="A730" s="98"/>
      <c r="B730" s="95"/>
      <c r="C730" s="95"/>
      <c r="D730" s="95"/>
      <c r="E730" s="95"/>
      <c r="F730" s="95"/>
      <c r="G730" s="95"/>
      <c r="J730" s="95"/>
      <c r="K730" s="95"/>
      <c r="L730" s="95"/>
      <c r="M730" s="95"/>
      <c r="N730" s="95"/>
      <c r="O730" s="93"/>
    </row>
    <row r="731" spans="1:15" x14ac:dyDescent="0.25">
      <c r="A731" s="847" t="s">
        <v>67</v>
      </c>
      <c r="B731" s="847" t="s">
        <v>13</v>
      </c>
      <c r="C731" s="847" t="s">
        <v>66</v>
      </c>
      <c r="D731" s="847" t="s">
        <v>65</v>
      </c>
      <c r="E731" s="847" t="s">
        <v>64</v>
      </c>
      <c r="F731" s="847" t="s">
        <v>40</v>
      </c>
      <c r="G731" s="847" t="s">
        <v>63</v>
      </c>
      <c r="H731" s="847" t="s">
        <v>741</v>
      </c>
      <c r="I731" s="847" t="s">
        <v>58</v>
      </c>
      <c r="J731" s="95"/>
      <c r="K731" s="95"/>
      <c r="L731" s="95"/>
      <c r="M731" s="95"/>
      <c r="N731" s="95"/>
      <c r="O731" s="93"/>
    </row>
    <row r="732" spans="1:15" x14ac:dyDescent="0.25">
      <c r="A732" s="828">
        <v>10</v>
      </c>
      <c r="B732" s="818" t="s">
        <v>1316</v>
      </c>
      <c r="C732" s="828" t="s">
        <v>1555</v>
      </c>
      <c r="D732" s="840">
        <v>10000</v>
      </c>
      <c r="E732" s="828" t="s">
        <v>1315</v>
      </c>
      <c r="F732" s="846">
        <v>2</v>
      </c>
      <c r="G732" s="828">
        <v>3000</v>
      </c>
      <c r="H732" s="828">
        <v>1</v>
      </c>
      <c r="I732" s="977">
        <f>D732*F732/(G732*H732)</f>
        <v>6.666666666666667</v>
      </c>
      <c r="J732" s="95"/>
      <c r="K732" s="95"/>
      <c r="L732" s="95"/>
      <c r="M732" s="95"/>
      <c r="N732" s="95"/>
      <c r="O732" s="93"/>
    </row>
    <row r="733" spans="1:15" x14ac:dyDescent="0.25">
      <c r="A733" s="726"/>
      <c r="B733" s="726"/>
      <c r="C733" s="726"/>
      <c r="D733" s="726"/>
      <c r="E733" s="726"/>
      <c r="F733" s="726"/>
      <c r="G733" s="726"/>
      <c r="H733" s="766" t="s">
        <v>58</v>
      </c>
      <c r="I733" s="767">
        <f>I732</f>
        <v>6.666666666666667</v>
      </c>
      <c r="J733" s="95"/>
      <c r="K733" s="95"/>
      <c r="L733" s="95"/>
      <c r="M733" s="95"/>
      <c r="N733" s="95"/>
      <c r="O733" s="93"/>
    </row>
    <row r="734" spans="1:15" ht="15.75" thickBot="1" x14ac:dyDescent="0.3">
      <c r="A734" s="92"/>
      <c r="B734" s="91"/>
      <c r="C734" s="91"/>
      <c r="D734" s="91"/>
      <c r="E734" s="91"/>
      <c r="F734" s="91"/>
      <c r="G734" s="91"/>
      <c r="H734" s="91"/>
      <c r="I734" s="91"/>
      <c r="J734" s="91"/>
      <c r="K734" s="91"/>
      <c r="L734" s="91"/>
      <c r="M734" s="91"/>
      <c r="N734" s="91"/>
      <c r="O734" s="90"/>
    </row>
    <row r="735" spans="1:15" ht="15.75" thickBot="1" x14ac:dyDescent="0.3"/>
    <row r="736" spans="1:15" x14ac:dyDescent="0.25">
      <c r="A736" s="141"/>
      <c r="B736" s="140"/>
      <c r="C736" s="140"/>
      <c r="D736" s="140"/>
      <c r="E736" s="140"/>
      <c r="F736" s="140"/>
      <c r="G736" s="140"/>
      <c r="H736" s="140"/>
      <c r="I736" s="140"/>
      <c r="J736" s="272"/>
      <c r="K736" s="140"/>
      <c r="L736" s="140"/>
      <c r="M736" s="140"/>
      <c r="N736" s="140"/>
      <c r="O736" s="139"/>
    </row>
    <row r="737" spans="1:15" x14ac:dyDescent="0.25">
      <c r="A737" s="757" t="s">
        <v>57</v>
      </c>
      <c r="B737" s="133" t="s">
        <v>523</v>
      </c>
      <c r="C737" s="94"/>
      <c r="D737" s="94"/>
      <c r="E737" s="94"/>
      <c r="F737" s="94"/>
      <c r="G737" s="94"/>
      <c r="H737" s="94"/>
      <c r="I737" s="94"/>
      <c r="J737" s="760" t="s">
        <v>51</v>
      </c>
      <c r="K737" s="138">
        <v>81</v>
      </c>
      <c r="L737" s="94"/>
      <c r="M737" s="757" t="s">
        <v>113</v>
      </c>
      <c r="N737" s="100">
        <f>FR_05003_m+FR_05003_p+FR_05003_t</f>
        <v>9.7986666666666675</v>
      </c>
      <c r="O737" s="93"/>
    </row>
    <row r="738" spans="1:15" x14ac:dyDescent="0.25">
      <c r="A738" s="757" t="s">
        <v>125</v>
      </c>
      <c r="B738" s="133" t="s">
        <v>1412</v>
      </c>
      <c r="C738" s="94"/>
      <c r="D738" s="757" t="s">
        <v>122</v>
      </c>
      <c r="E738" s="94"/>
      <c r="F738" s="94"/>
      <c r="G738" s="94"/>
      <c r="H738" s="94"/>
      <c r="I738" s="94"/>
      <c r="J738" s="94"/>
      <c r="K738" s="94"/>
      <c r="L738" s="94"/>
      <c r="M738" s="757" t="s">
        <v>124</v>
      </c>
      <c r="N738" s="136">
        <v>1</v>
      </c>
      <c r="O738" s="93"/>
    </row>
    <row r="739" spans="1:15" x14ac:dyDescent="0.25">
      <c r="A739" s="757" t="s">
        <v>123</v>
      </c>
      <c r="B739" s="270" t="str">
        <f>'FR Assemblies'!B232</f>
        <v>Clutch actuation system</v>
      </c>
      <c r="C739" s="94"/>
      <c r="D739" s="757" t="s">
        <v>119</v>
      </c>
      <c r="E739" s="94"/>
      <c r="F739" s="94"/>
      <c r="G739" s="94"/>
      <c r="H739" s="94"/>
      <c r="I739" s="94"/>
      <c r="J739" s="758" t="s">
        <v>122</v>
      </c>
      <c r="K739" s="94"/>
      <c r="L739" s="94"/>
      <c r="M739" s="94"/>
      <c r="N739" s="94"/>
      <c r="O739" s="93"/>
    </row>
    <row r="740" spans="1:15" x14ac:dyDescent="0.25">
      <c r="A740" s="757" t="s">
        <v>114</v>
      </c>
      <c r="B740" s="764" t="s">
        <v>1554</v>
      </c>
      <c r="C740" s="94"/>
      <c r="D740" s="757" t="s">
        <v>116</v>
      </c>
      <c r="E740" s="94"/>
      <c r="F740" s="94"/>
      <c r="G740" s="94"/>
      <c r="H740" s="94"/>
      <c r="I740" s="94"/>
      <c r="J740" s="758" t="s">
        <v>119</v>
      </c>
      <c r="K740" s="94"/>
      <c r="L740" s="94"/>
      <c r="M740" s="757" t="s">
        <v>118</v>
      </c>
      <c r="N740" s="100">
        <f>N738*N737</f>
        <v>9.7986666666666675</v>
      </c>
      <c r="O740" s="93"/>
    </row>
    <row r="741" spans="1:15" x14ac:dyDescent="0.25">
      <c r="A741" s="757" t="s">
        <v>121</v>
      </c>
      <c r="B741" s="269" t="s">
        <v>1553</v>
      </c>
      <c r="C741" s="94"/>
      <c r="D741" s="94"/>
      <c r="E741" s="94"/>
      <c r="F741" s="94"/>
      <c r="G741" s="94"/>
      <c r="H741" s="94"/>
      <c r="I741" s="94"/>
      <c r="J741" s="758" t="s">
        <v>116</v>
      </c>
      <c r="K741" s="94"/>
      <c r="L741" s="94"/>
      <c r="M741" s="94"/>
      <c r="N741" s="94"/>
      <c r="O741" s="93"/>
    </row>
    <row r="742" spans="1:15" x14ac:dyDescent="0.25">
      <c r="A742" s="757" t="s">
        <v>117</v>
      </c>
      <c r="B742" s="133" t="s">
        <v>23</v>
      </c>
      <c r="C742" s="94"/>
      <c r="D742" s="94"/>
      <c r="E742" s="94"/>
      <c r="F742" s="94"/>
      <c r="G742" s="94"/>
      <c r="H742" s="94"/>
      <c r="I742" s="94"/>
      <c r="J742" s="94"/>
      <c r="K742" s="94"/>
      <c r="L742" s="94"/>
      <c r="M742" s="94"/>
      <c r="N742" s="94"/>
      <c r="O742" s="93"/>
    </row>
    <row r="743" spans="1:15" x14ac:dyDescent="0.25">
      <c r="A743" s="757" t="s">
        <v>115</v>
      </c>
      <c r="B743" s="764" t="s">
        <v>1552</v>
      </c>
      <c r="C743" s="94"/>
      <c r="D743" s="94"/>
      <c r="E743" s="94"/>
      <c r="F743" s="94"/>
      <c r="G743" s="94"/>
      <c r="H743" s="94"/>
      <c r="I743" s="94"/>
      <c r="J743" s="94"/>
      <c r="K743" s="94"/>
      <c r="L743" s="94"/>
      <c r="M743" s="94"/>
      <c r="N743" s="94"/>
      <c r="O743" s="93"/>
    </row>
    <row r="744" spans="1:15" x14ac:dyDescent="0.25">
      <c r="A744" s="266"/>
      <c r="B744" s="265"/>
      <c r="C744" s="265"/>
      <c r="D744" s="265"/>
      <c r="E744" s="265"/>
      <c r="F744" s="94"/>
      <c r="G744" s="94"/>
      <c r="H744" s="94"/>
      <c r="I744" s="94"/>
      <c r="J744" s="94"/>
      <c r="K744" s="94"/>
      <c r="L744" s="94"/>
      <c r="M744" s="94"/>
      <c r="N744" s="94"/>
      <c r="O744" s="93"/>
    </row>
    <row r="745" spans="1:15" x14ac:dyDescent="0.25">
      <c r="A745" s="756" t="s">
        <v>67</v>
      </c>
      <c r="B745" s="755" t="s">
        <v>112</v>
      </c>
      <c r="C745" s="755" t="s">
        <v>66</v>
      </c>
      <c r="D745" s="755" t="s">
        <v>65</v>
      </c>
      <c r="E745" s="755" t="s">
        <v>81</v>
      </c>
      <c r="F745" s="816" t="s">
        <v>80</v>
      </c>
      <c r="G745" s="816" t="s">
        <v>79</v>
      </c>
      <c r="H745" s="816" t="s">
        <v>78</v>
      </c>
      <c r="I745" s="816" t="s">
        <v>111</v>
      </c>
      <c r="J745" s="816" t="s">
        <v>110</v>
      </c>
      <c r="K745" s="816" t="s">
        <v>109</v>
      </c>
      <c r="L745" s="816" t="s">
        <v>108</v>
      </c>
      <c r="M745" s="816" t="s">
        <v>40</v>
      </c>
      <c r="N745" s="816" t="s">
        <v>58</v>
      </c>
      <c r="O745" s="93"/>
    </row>
    <row r="746" spans="1:15" x14ac:dyDescent="0.25">
      <c r="A746" s="970">
        <v>10</v>
      </c>
      <c r="B746" s="971" t="s">
        <v>1551</v>
      </c>
      <c r="C746" s="970" t="s">
        <v>682</v>
      </c>
      <c r="D746" s="837">
        <v>4.2</v>
      </c>
      <c r="E746" s="970">
        <v>0.15</v>
      </c>
      <c r="F746" s="970" t="s">
        <v>794</v>
      </c>
      <c r="G746" s="970"/>
      <c r="H746" s="835"/>
      <c r="I746" s="969"/>
      <c r="J746" s="974"/>
      <c r="K746" s="833"/>
      <c r="L746" s="967">
        <v>2710</v>
      </c>
      <c r="M746" s="966">
        <v>1</v>
      </c>
      <c r="N746" s="809">
        <f>D746*E746</f>
        <v>0.63</v>
      </c>
      <c r="O746" s="93"/>
    </row>
    <row r="747" spans="1:15" x14ac:dyDescent="0.25">
      <c r="A747" s="98"/>
      <c r="B747" s="95"/>
      <c r="C747" s="95"/>
      <c r="D747" s="95"/>
      <c r="E747" s="95"/>
      <c r="F747" s="95"/>
      <c r="G747" s="95"/>
      <c r="H747" s="95"/>
      <c r="I747" s="95"/>
      <c r="J747" s="754"/>
      <c r="K747" s="754"/>
      <c r="L747" s="95"/>
      <c r="M747" s="808" t="s">
        <v>58</v>
      </c>
      <c r="N747" s="750">
        <f>SUM(N746:N746)</f>
        <v>0.63</v>
      </c>
      <c r="O747" s="93"/>
    </row>
    <row r="748" spans="1:15" x14ac:dyDescent="0.25">
      <c r="A748" s="107"/>
      <c r="B748" s="94"/>
      <c r="C748" s="94"/>
      <c r="D748" s="94"/>
      <c r="E748" s="94"/>
      <c r="F748" s="94"/>
      <c r="G748" s="94"/>
      <c r="H748" s="94"/>
      <c r="I748" s="94"/>
      <c r="J748" s="94"/>
      <c r="K748" s="94"/>
      <c r="L748" s="94"/>
      <c r="M748" s="94"/>
      <c r="N748" s="94"/>
      <c r="O748" s="93"/>
    </row>
    <row r="749" spans="1:15" x14ac:dyDescent="0.25">
      <c r="A749" s="797" t="s">
        <v>67</v>
      </c>
      <c r="B749" s="816" t="s">
        <v>106</v>
      </c>
      <c r="C749" s="816" t="s">
        <v>66</v>
      </c>
      <c r="D749" s="816" t="s">
        <v>65</v>
      </c>
      <c r="E749" s="816" t="s">
        <v>64</v>
      </c>
      <c r="F749" s="816" t="s">
        <v>40</v>
      </c>
      <c r="G749" s="816" t="s">
        <v>105</v>
      </c>
      <c r="H749" s="816" t="s">
        <v>104</v>
      </c>
      <c r="I749" s="816" t="s">
        <v>58</v>
      </c>
      <c r="J749" s="95"/>
      <c r="K749" s="95"/>
      <c r="L749" s="95"/>
      <c r="M749" s="95"/>
      <c r="N749" s="95"/>
      <c r="O749" s="93"/>
    </row>
    <row r="750" spans="1:15" x14ac:dyDescent="0.25">
      <c r="A750" s="963">
        <v>10</v>
      </c>
      <c r="B750" s="818" t="s">
        <v>1321</v>
      </c>
      <c r="C750" s="963" t="s">
        <v>1549</v>
      </c>
      <c r="D750" s="815">
        <v>4</v>
      </c>
      <c r="E750" s="818" t="s">
        <v>794</v>
      </c>
      <c r="F750" s="976">
        <v>0.15</v>
      </c>
      <c r="G750" s="963"/>
      <c r="H750" s="963"/>
      <c r="I750" s="817">
        <f>IF(H750="",D750*F750,D750*F750*H750)</f>
        <v>0.6</v>
      </c>
      <c r="J750" s="142"/>
      <c r="K750" s="142"/>
      <c r="L750" s="142"/>
      <c r="M750" s="142"/>
      <c r="N750" s="142"/>
      <c r="O750" s="120"/>
    </row>
    <row r="751" spans="1:15" x14ac:dyDescent="0.25">
      <c r="A751" s="858">
        <v>20</v>
      </c>
      <c r="B751" s="818" t="s">
        <v>516</v>
      </c>
      <c r="C751" s="858"/>
      <c r="D751" s="829">
        <v>1.3</v>
      </c>
      <c r="E751" s="858" t="s">
        <v>64</v>
      </c>
      <c r="F751" s="975">
        <v>1</v>
      </c>
      <c r="G751" s="818"/>
      <c r="H751" s="871"/>
      <c r="I751" s="817">
        <f>IF(H751="",D751*F751,D751*F751*H751)</f>
        <v>1.3</v>
      </c>
      <c r="J751" s="142"/>
      <c r="K751" s="142"/>
      <c r="L751" s="142"/>
      <c r="M751" s="142"/>
      <c r="N751" s="142"/>
      <c r="O751" s="120"/>
    </row>
    <row r="752" spans="1:15" ht="30" x14ac:dyDescent="0.25">
      <c r="A752" s="963">
        <v>30</v>
      </c>
      <c r="B752" s="818" t="s">
        <v>516</v>
      </c>
      <c r="C752" s="963"/>
      <c r="D752" s="815">
        <v>0.04</v>
      </c>
      <c r="E752" s="818" t="s">
        <v>512</v>
      </c>
      <c r="F752" s="973">
        <v>6.3</v>
      </c>
      <c r="G752" s="963" t="s">
        <v>629</v>
      </c>
      <c r="H752" s="963">
        <v>1</v>
      </c>
      <c r="I752" s="817">
        <f>IF(H752="",D752*F752,D752*F752*H752)</f>
        <v>0.252</v>
      </c>
      <c r="J752" s="142"/>
      <c r="K752" s="142"/>
      <c r="L752" s="142"/>
      <c r="M752" s="142"/>
      <c r="N752" s="142"/>
      <c r="O752" s="120"/>
    </row>
    <row r="753" spans="1:15" x14ac:dyDescent="0.25">
      <c r="A753" s="858">
        <v>40</v>
      </c>
      <c r="B753" s="818" t="s">
        <v>296</v>
      </c>
      <c r="C753" s="963" t="s">
        <v>1550</v>
      </c>
      <c r="D753" s="815">
        <v>0.35</v>
      </c>
      <c r="E753" s="818" t="s">
        <v>64</v>
      </c>
      <c r="F753" s="973">
        <v>1</v>
      </c>
      <c r="G753" s="818"/>
      <c r="H753" s="963"/>
      <c r="I753" s="817">
        <f>IF(H753="",D753*F753,D753*F753*H753)</f>
        <v>0.35</v>
      </c>
      <c r="J753" s="142"/>
      <c r="K753" s="142"/>
      <c r="L753" s="142"/>
      <c r="M753" s="142"/>
      <c r="N753" s="142"/>
      <c r="O753" s="120"/>
    </row>
    <row r="754" spans="1:15" x14ac:dyDescent="0.25">
      <c r="A754" s="98"/>
      <c r="B754" s="95"/>
      <c r="C754" s="95"/>
      <c r="D754" s="95"/>
      <c r="E754" s="95"/>
      <c r="F754" s="95"/>
      <c r="G754" s="95"/>
      <c r="H754" s="751" t="s">
        <v>58</v>
      </c>
      <c r="I754" s="750">
        <f>SUM(I750:I753)</f>
        <v>2.5020000000000002</v>
      </c>
      <c r="J754" s="95"/>
      <c r="K754" s="95"/>
      <c r="L754" s="95"/>
      <c r="M754" s="95"/>
      <c r="N754" s="95"/>
      <c r="O754" s="93"/>
    </row>
    <row r="755" spans="1:15" x14ac:dyDescent="0.25">
      <c r="A755" s="98"/>
      <c r="B755" s="95"/>
      <c r="C755" s="95"/>
      <c r="D755" s="95"/>
      <c r="E755" s="95"/>
      <c r="F755" s="95"/>
      <c r="G755" s="95"/>
      <c r="J755" s="95"/>
      <c r="K755" s="95"/>
      <c r="L755" s="95"/>
      <c r="M755" s="95"/>
      <c r="N755" s="95"/>
      <c r="O755" s="93"/>
    </row>
    <row r="756" spans="1:15" x14ac:dyDescent="0.25">
      <c r="A756" s="847" t="s">
        <v>67</v>
      </c>
      <c r="B756" s="847" t="s">
        <v>13</v>
      </c>
      <c r="C756" s="847" t="s">
        <v>66</v>
      </c>
      <c r="D756" s="847" t="s">
        <v>65</v>
      </c>
      <c r="E756" s="847" t="s">
        <v>64</v>
      </c>
      <c r="F756" s="847" t="s">
        <v>40</v>
      </c>
      <c r="G756" s="847" t="s">
        <v>63</v>
      </c>
      <c r="H756" s="847" t="s">
        <v>741</v>
      </c>
      <c r="I756" s="847" t="s">
        <v>58</v>
      </c>
      <c r="J756" s="95"/>
      <c r="K756" s="95"/>
      <c r="L756" s="95"/>
      <c r="M756" s="95"/>
      <c r="N756" s="95"/>
      <c r="O756" s="93"/>
    </row>
    <row r="757" spans="1:15" x14ac:dyDescent="0.25">
      <c r="A757" s="828">
        <v>10</v>
      </c>
      <c r="B757" s="818" t="s">
        <v>1316</v>
      </c>
      <c r="C757" s="828" t="s">
        <v>1549</v>
      </c>
      <c r="D757" s="840">
        <v>10000</v>
      </c>
      <c r="E757" s="828" t="s">
        <v>1315</v>
      </c>
      <c r="F757" s="972">
        <v>2</v>
      </c>
      <c r="G757" s="828">
        <v>3000</v>
      </c>
      <c r="H757" s="828">
        <v>1</v>
      </c>
      <c r="I757" s="845">
        <f>D757*F757/(G757*H757)</f>
        <v>6.666666666666667</v>
      </c>
      <c r="J757" s="95"/>
      <c r="K757" s="95"/>
      <c r="L757" s="95"/>
      <c r="M757" s="95"/>
      <c r="N757" s="95"/>
      <c r="O757" s="93"/>
    </row>
    <row r="758" spans="1:15" x14ac:dyDescent="0.25">
      <c r="A758" s="726"/>
      <c r="B758" s="726"/>
      <c r="C758" s="726"/>
      <c r="D758" s="726"/>
      <c r="E758" s="726"/>
      <c r="F758" s="726"/>
      <c r="G758" s="726"/>
      <c r="H758" s="766" t="s">
        <v>58</v>
      </c>
      <c r="I758" s="765">
        <f>I757</f>
        <v>6.666666666666667</v>
      </c>
      <c r="J758" s="95"/>
      <c r="K758" s="95"/>
      <c r="L758" s="95"/>
      <c r="M758" s="95"/>
      <c r="N758" s="95"/>
      <c r="O758" s="93"/>
    </row>
    <row r="759" spans="1:15" ht="15.75" thickBot="1" x14ac:dyDescent="0.3">
      <c r="A759" s="92"/>
      <c r="B759" s="91"/>
      <c r="C759" s="91"/>
      <c r="D759" s="91"/>
      <c r="E759" s="91"/>
      <c r="F759" s="91"/>
      <c r="G759" s="91"/>
      <c r="H759" s="91"/>
      <c r="I759" s="91"/>
      <c r="J759" s="91"/>
      <c r="K759" s="91"/>
      <c r="L759" s="91"/>
      <c r="M759" s="91"/>
      <c r="N759" s="91"/>
      <c r="O759" s="90"/>
    </row>
    <row r="760" spans="1:15" ht="15.75" thickBot="1" x14ac:dyDescent="0.3"/>
    <row r="761" spans="1:15" x14ac:dyDescent="0.25">
      <c r="A761" s="141"/>
      <c r="B761" s="140"/>
      <c r="C761" s="140"/>
      <c r="D761" s="140"/>
      <c r="E761" s="140"/>
      <c r="F761" s="140"/>
      <c r="G761" s="140"/>
      <c r="H761" s="140"/>
      <c r="I761" s="140"/>
      <c r="J761" s="272"/>
      <c r="K761" s="140"/>
      <c r="L761" s="140"/>
      <c r="M761" s="140"/>
      <c r="N761" s="140"/>
      <c r="O761" s="139"/>
    </row>
    <row r="762" spans="1:15" x14ac:dyDescent="0.25">
      <c r="A762" s="757" t="s">
        <v>57</v>
      </c>
      <c r="B762" s="133" t="s">
        <v>523</v>
      </c>
      <c r="C762" s="94"/>
      <c r="D762" s="94"/>
      <c r="E762" s="94"/>
      <c r="F762" s="94"/>
      <c r="G762" s="94"/>
      <c r="H762" s="94"/>
      <c r="I762" s="94"/>
      <c r="J762" s="760" t="s">
        <v>51</v>
      </c>
      <c r="K762" s="138">
        <v>81</v>
      </c>
      <c r="L762" s="94"/>
      <c r="M762" s="757" t="s">
        <v>113</v>
      </c>
      <c r="N762" s="100">
        <f>FR_05004_m+FR_05004_p+FR_05004_t</f>
        <v>7.3966666666666665</v>
      </c>
      <c r="O762" s="93"/>
    </row>
    <row r="763" spans="1:15" x14ac:dyDescent="0.25">
      <c r="A763" s="757" t="s">
        <v>125</v>
      </c>
      <c r="B763" s="133" t="s">
        <v>1412</v>
      </c>
      <c r="C763" s="94"/>
      <c r="D763" s="757" t="s">
        <v>122</v>
      </c>
      <c r="E763" s="94"/>
      <c r="F763" s="94"/>
      <c r="G763" s="94"/>
      <c r="H763" s="94"/>
      <c r="I763" s="94"/>
      <c r="J763" s="94"/>
      <c r="K763" s="94"/>
      <c r="L763" s="94"/>
      <c r="M763" s="757" t="s">
        <v>124</v>
      </c>
      <c r="N763" s="136">
        <v>1</v>
      </c>
      <c r="O763" s="93"/>
    </row>
    <row r="764" spans="1:15" x14ac:dyDescent="0.25">
      <c r="A764" s="757" t="s">
        <v>123</v>
      </c>
      <c r="B764" s="270" t="str">
        <f>'FR Assemblies'!B232</f>
        <v>Clutch actuation system</v>
      </c>
      <c r="C764" s="94"/>
      <c r="D764" s="757" t="s">
        <v>119</v>
      </c>
      <c r="E764" s="94"/>
      <c r="F764" s="94"/>
      <c r="G764" s="94"/>
      <c r="H764" s="94"/>
      <c r="I764" s="94"/>
      <c r="J764" s="758" t="s">
        <v>122</v>
      </c>
      <c r="K764" s="94"/>
      <c r="L764" s="94"/>
      <c r="M764" s="94"/>
      <c r="N764" s="94"/>
      <c r="O764" s="93"/>
    </row>
    <row r="765" spans="1:15" x14ac:dyDescent="0.25">
      <c r="A765" s="757" t="s">
        <v>114</v>
      </c>
      <c r="B765" s="764" t="s">
        <v>1548</v>
      </c>
      <c r="C765" s="94"/>
      <c r="D765" s="757" t="s">
        <v>116</v>
      </c>
      <c r="E765" s="94"/>
      <c r="F765" s="94"/>
      <c r="G765" s="94"/>
      <c r="H765" s="94"/>
      <c r="I765" s="94"/>
      <c r="J765" s="758" t="s">
        <v>119</v>
      </c>
      <c r="K765" s="94"/>
      <c r="L765" s="94"/>
      <c r="M765" s="757" t="s">
        <v>118</v>
      </c>
      <c r="N765" s="100">
        <f>N763*N762</f>
        <v>7.3966666666666665</v>
      </c>
      <c r="O765" s="93"/>
    </row>
    <row r="766" spans="1:15" x14ac:dyDescent="0.25">
      <c r="A766" s="757" t="s">
        <v>121</v>
      </c>
      <c r="B766" s="269" t="s">
        <v>1547</v>
      </c>
      <c r="C766" s="94"/>
      <c r="D766" s="94"/>
      <c r="E766" s="94"/>
      <c r="F766" s="94"/>
      <c r="G766" s="94"/>
      <c r="H766" s="94"/>
      <c r="I766" s="94"/>
      <c r="J766" s="758" t="s">
        <v>116</v>
      </c>
      <c r="K766" s="94"/>
      <c r="L766" s="94"/>
      <c r="M766" s="94"/>
      <c r="N766" s="94"/>
      <c r="O766" s="93"/>
    </row>
    <row r="767" spans="1:15" x14ac:dyDescent="0.25">
      <c r="A767" s="757" t="s">
        <v>117</v>
      </c>
      <c r="B767" s="133" t="s">
        <v>23</v>
      </c>
      <c r="C767" s="94"/>
      <c r="D767" s="94"/>
      <c r="E767" s="94"/>
      <c r="F767" s="94"/>
      <c r="G767" s="94"/>
      <c r="H767" s="94"/>
      <c r="I767" s="94"/>
      <c r="J767" s="94"/>
      <c r="K767" s="94"/>
      <c r="L767" s="94"/>
      <c r="M767" s="94"/>
      <c r="N767" s="94"/>
      <c r="O767" s="93"/>
    </row>
    <row r="768" spans="1:15" x14ac:dyDescent="0.25">
      <c r="A768" s="757" t="s">
        <v>115</v>
      </c>
      <c r="B768" s="764"/>
      <c r="C768" s="94"/>
      <c r="D768" s="94"/>
      <c r="E768" s="94"/>
      <c r="F768" s="94"/>
      <c r="G768" s="94"/>
      <c r="H768" s="94"/>
      <c r="I768" s="94"/>
      <c r="J768" s="94"/>
      <c r="K768" s="94"/>
      <c r="L768" s="94"/>
      <c r="M768" s="94"/>
      <c r="N768" s="94"/>
      <c r="O768" s="93"/>
    </row>
    <row r="769" spans="1:15" x14ac:dyDescent="0.25">
      <c r="A769" s="266"/>
      <c r="B769" s="265"/>
      <c r="C769" s="265"/>
      <c r="D769" s="265"/>
      <c r="E769" s="265"/>
      <c r="F769" s="94"/>
      <c r="G769" s="94"/>
      <c r="H769" s="94"/>
      <c r="I769" s="94"/>
      <c r="J769" s="94"/>
      <c r="K769" s="94"/>
      <c r="L769" s="94"/>
      <c r="M769" s="94"/>
      <c r="N769" s="94"/>
      <c r="O769" s="93"/>
    </row>
    <row r="770" spans="1:15" x14ac:dyDescent="0.25">
      <c r="A770" s="756" t="s">
        <v>67</v>
      </c>
      <c r="B770" s="755" t="s">
        <v>112</v>
      </c>
      <c r="C770" s="755" t="s">
        <v>66</v>
      </c>
      <c r="D770" s="755" t="s">
        <v>65</v>
      </c>
      <c r="E770" s="755" t="s">
        <v>81</v>
      </c>
      <c r="F770" s="816" t="s">
        <v>80</v>
      </c>
      <c r="G770" s="816" t="s">
        <v>79</v>
      </c>
      <c r="H770" s="816" t="s">
        <v>78</v>
      </c>
      <c r="I770" s="816" t="s">
        <v>111</v>
      </c>
      <c r="J770" s="816" t="s">
        <v>110</v>
      </c>
      <c r="K770" s="816" t="s">
        <v>109</v>
      </c>
      <c r="L770" s="816" t="s">
        <v>108</v>
      </c>
      <c r="M770" s="816" t="s">
        <v>40</v>
      </c>
      <c r="N770" s="816" t="s">
        <v>58</v>
      </c>
      <c r="O770" s="93"/>
    </row>
    <row r="771" spans="1:15" x14ac:dyDescent="0.25">
      <c r="A771" s="970">
        <v>10</v>
      </c>
      <c r="B771" s="971" t="s">
        <v>1546</v>
      </c>
      <c r="C771" s="970"/>
      <c r="D771" s="837">
        <v>3.3</v>
      </c>
      <c r="E771" s="970">
        <v>0.1</v>
      </c>
      <c r="F771" s="970" t="s">
        <v>794</v>
      </c>
      <c r="G771" s="970"/>
      <c r="H771" s="835"/>
      <c r="I771" s="969"/>
      <c r="J771" s="974"/>
      <c r="K771" s="833"/>
      <c r="L771" s="967">
        <v>900</v>
      </c>
      <c r="M771" s="966">
        <v>1</v>
      </c>
      <c r="N771" s="809">
        <f>D771*E771</f>
        <v>0.33</v>
      </c>
      <c r="O771" s="93"/>
    </row>
    <row r="772" spans="1:15" x14ac:dyDescent="0.25">
      <c r="A772" s="98"/>
      <c r="B772" s="95"/>
      <c r="C772" s="95"/>
      <c r="D772" s="95"/>
      <c r="E772" s="95"/>
      <c r="F772" s="95"/>
      <c r="G772" s="95"/>
      <c r="H772" s="95"/>
      <c r="I772" s="95"/>
      <c r="J772" s="754"/>
      <c r="K772" s="754"/>
      <c r="L772" s="95"/>
      <c r="M772" s="808" t="s">
        <v>58</v>
      </c>
      <c r="N772" s="750">
        <f>SUM(N771:N771)</f>
        <v>0.33</v>
      </c>
      <c r="O772" s="93"/>
    </row>
    <row r="773" spans="1:15" x14ac:dyDescent="0.25">
      <c r="A773" s="107"/>
      <c r="B773" s="94"/>
      <c r="C773" s="94"/>
      <c r="D773" s="94"/>
      <c r="E773" s="94"/>
      <c r="F773" s="94"/>
      <c r="G773" s="94"/>
      <c r="H773" s="94"/>
      <c r="I773" s="94"/>
      <c r="J773" s="94"/>
      <c r="K773" s="94"/>
      <c r="L773" s="94"/>
      <c r="M773" s="94"/>
      <c r="N773" s="94"/>
      <c r="O773" s="93"/>
    </row>
    <row r="774" spans="1:15" x14ac:dyDescent="0.25">
      <c r="A774" s="797" t="s">
        <v>67</v>
      </c>
      <c r="B774" s="816" t="s">
        <v>106</v>
      </c>
      <c r="C774" s="816" t="s">
        <v>66</v>
      </c>
      <c r="D774" s="816" t="s">
        <v>65</v>
      </c>
      <c r="E774" s="816" t="s">
        <v>64</v>
      </c>
      <c r="F774" s="816" t="s">
        <v>40</v>
      </c>
      <c r="G774" s="816" t="s">
        <v>105</v>
      </c>
      <c r="H774" s="816" t="s">
        <v>104</v>
      </c>
      <c r="I774" s="816" t="s">
        <v>58</v>
      </c>
      <c r="J774" s="95"/>
      <c r="K774" s="95"/>
      <c r="L774" s="95"/>
      <c r="M774" s="95"/>
      <c r="N774" s="95"/>
      <c r="O774" s="93"/>
    </row>
    <row r="775" spans="1:15" x14ac:dyDescent="0.25">
      <c r="A775" s="963">
        <v>10</v>
      </c>
      <c r="B775" s="818" t="s">
        <v>1321</v>
      </c>
      <c r="C775" s="963" t="s">
        <v>1541</v>
      </c>
      <c r="D775" s="815">
        <v>4</v>
      </c>
      <c r="E775" s="818" t="s">
        <v>794</v>
      </c>
      <c r="F775" s="973">
        <v>0.1</v>
      </c>
      <c r="G775" s="963"/>
      <c r="H775" s="963"/>
      <c r="I775" s="817">
        <f>IF(H775="",D775*F775,D775*F775*H775)</f>
        <v>0.4</v>
      </c>
      <c r="J775" s="142"/>
      <c r="K775" s="142"/>
      <c r="L775" s="142"/>
      <c r="M775" s="142"/>
      <c r="N775" s="142"/>
      <c r="O775" s="120"/>
    </row>
    <row r="776" spans="1:15" x14ac:dyDescent="0.25">
      <c r="A776" s="98"/>
      <c r="B776" s="95"/>
      <c r="C776" s="95"/>
      <c r="D776" s="95"/>
      <c r="E776" s="95"/>
      <c r="F776" s="95"/>
      <c r="G776" s="95"/>
      <c r="H776" s="751" t="s">
        <v>58</v>
      </c>
      <c r="I776" s="750">
        <f>SUM(I775:I775)</f>
        <v>0.4</v>
      </c>
      <c r="J776" s="95"/>
      <c r="K776" s="95"/>
      <c r="L776" s="95"/>
      <c r="M776" s="95"/>
      <c r="N776" s="95"/>
      <c r="O776" s="93"/>
    </row>
    <row r="777" spans="1:15" x14ac:dyDescent="0.25">
      <c r="A777" s="98"/>
      <c r="B777" s="95"/>
      <c r="C777" s="95"/>
      <c r="D777" s="95"/>
      <c r="E777" s="95"/>
      <c r="F777" s="95"/>
      <c r="G777" s="95"/>
      <c r="J777" s="95"/>
      <c r="K777" s="95"/>
      <c r="L777" s="95"/>
      <c r="M777" s="95"/>
      <c r="N777" s="95"/>
      <c r="O777" s="93"/>
    </row>
    <row r="778" spans="1:15" x14ac:dyDescent="0.25">
      <c r="A778" s="847" t="s">
        <v>67</v>
      </c>
      <c r="B778" s="847" t="s">
        <v>13</v>
      </c>
      <c r="C778" s="847" t="s">
        <v>66</v>
      </c>
      <c r="D778" s="847" t="s">
        <v>65</v>
      </c>
      <c r="E778" s="847" t="s">
        <v>64</v>
      </c>
      <c r="F778" s="847" t="s">
        <v>40</v>
      </c>
      <c r="G778" s="847" t="s">
        <v>63</v>
      </c>
      <c r="H778" s="847" t="s">
        <v>741</v>
      </c>
      <c r="I778" s="847" t="s">
        <v>58</v>
      </c>
      <c r="J778" s="95"/>
      <c r="K778" s="95"/>
      <c r="L778" s="95"/>
      <c r="M778" s="95"/>
      <c r="N778" s="95"/>
      <c r="O778" s="93"/>
    </row>
    <row r="779" spans="1:15" x14ac:dyDescent="0.25">
      <c r="A779" s="828">
        <v>10</v>
      </c>
      <c r="B779" s="818" t="s">
        <v>1316</v>
      </c>
      <c r="C779" s="963" t="s">
        <v>1541</v>
      </c>
      <c r="D779" s="840">
        <v>10000</v>
      </c>
      <c r="E779" s="828" t="s">
        <v>1315</v>
      </c>
      <c r="F779" s="972">
        <v>2</v>
      </c>
      <c r="G779" s="828">
        <v>3000</v>
      </c>
      <c r="H779" s="828">
        <v>1</v>
      </c>
      <c r="I779" s="845">
        <f>D779*F779/(G779*H779)</f>
        <v>6.666666666666667</v>
      </c>
      <c r="J779" s="95"/>
      <c r="K779" s="95"/>
      <c r="L779" s="95"/>
      <c r="M779" s="95"/>
      <c r="N779" s="95"/>
      <c r="O779" s="93"/>
    </row>
    <row r="780" spans="1:15" x14ac:dyDescent="0.25">
      <c r="A780" s="726"/>
      <c r="B780" s="726"/>
      <c r="C780" s="726"/>
      <c r="D780" s="726"/>
      <c r="E780" s="726"/>
      <c r="F780" s="726"/>
      <c r="G780" s="726"/>
      <c r="H780" s="766" t="s">
        <v>58</v>
      </c>
      <c r="I780" s="765">
        <f>I779</f>
        <v>6.666666666666667</v>
      </c>
      <c r="J780" s="95"/>
      <c r="K780" s="95"/>
      <c r="L780" s="95"/>
      <c r="M780" s="95"/>
      <c r="N780" s="95"/>
      <c r="O780" s="93"/>
    </row>
    <row r="781" spans="1:15" ht="15.75" thickBot="1" x14ac:dyDescent="0.3">
      <c r="A781" s="92"/>
      <c r="B781" s="91"/>
      <c r="C781" s="91"/>
      <c r="D781" s="91"/>
      <c r="E781" s="91"/>
      <c r="F781" s="91"/>
      <c r="G781" s="91"/>
      <c r="H781" s="91"/>
      <c r="I781" s="91"/>
      <c r="J781" s="91"/>
      <c r="K781" s="91"/>
      <c r="L781" s="91"/>
      <c r="M781" s="91"/>
      <c r="N781" s="91"/>
      <c r="O781" s="90"/>
    </row>
    <row r="782" spans="1:15" ht="15.75" thickBot="1" x14ac:dyDescent="0.3"/>
    <row r="783" spans="1:15" x14ac:dyDescent="0.25">
      <c r="A783" s="141"/>
      <c r="B783" s="140"/>
      <c r="C783" s="140"/>
      <c r="D783" s="140"/>
      <c r="E783" s="140"/>
      <c r="F783" s="140"/>
      <c r="G783" s="140"/>
      <c r="H783" s="140"/>
      <c r="I783" s="140"/>
      <c r="J783" s="272"/>
      <c r="K783" s="140"/>
      <c r="L783" s="140"/>
      <c r="M783" s="140"/>
      <c r="N783" s="140"/>
      <c r="O783" s="139"/>
    </row>
    <row r="784" spans="1:15" x14ac:dyDescent="0.25">
      <c r="A784" s="757" t="s">
        <v>57</v>
      </c>
      <c r="B784" s="133" t="s">
        <v>523</v>
      </c>
      <c r="C784" s="94"/>
      <c r="D784" s="94"/>
      <c r="E784" s="94"/>
      <c r="F784" s="94"/>
      <c r="G784" s="94"/>
      <c r="H784" s="94"/>
      <c r="I784" s="94"/>
      <c r="J784" s="760" t="s">
        <v>51</v>
      </c>
      <c r="K784" s="138">
        <v>81</v>
      </c>
      <c r="L784" s="94"/>
      <c r="M784" s="757" t="s">
        <v>113</v>
      </c>
      <c r="N784" s="100">
        <f>FR_05005_m+FR_05005_p</f>
        <v>1.6905574863433046</v>
      </c>
      <c r="O784" s="93"/>
    </row>
    <row r="785" spans="1:15" x14ac:dyDescent="0.25">
      <c r="A785" s="757" t="s">
        <v>125</v>
      </c>
      <c r="B785" s="133" t="s">
        <v>1412</v>
      </c>
      <c r="C785" s="94"/>
      <c r="D785" s="757" t="s">
        <v>122</v>
      </c>
      <c r="E785" s="270" t="s">
        <v>522</v>
      </c>
      <c r="F785" s="94"/>
      <c r="G785" s="94"/>
      <c r="H785" s="94"/>
      <c r="I785" s="94"/>
      <c r="J785" s="94"/>
      <c r="K785" s="94"/>
      <c r="L785" s="94"/>
      <c r="M785" s="757" t="s">
        <v>124</v>
      </c>
      <c r="N785" s="136">
        <v>1</v>
      </c>
      <c r="O785" s="93"/>
    </row>
    <row r="786" spans="1:15" x14ac:dyDescent="0.25">
      <c r="A786" s="757" t="s">
        <v>123</v>
      </c>
      <c r="B786" s="270" t="str">
        <f>'FR Assemblies'!B232</f>
        <v>Clutch actuation system</v>
      </c>
      <c r="C786" s="94"/>
      <c r="D786" s="757" t="s">
        <v>119</v>
      </c>
      <c r="E786" s="94"/>
      <c r="F786" s="94"/>
      <c r="G786" s="94"/>
      <c r="H786" s="94"/>
      <c r="I786" s="94"/>
      <c r="J786" s="758" t="s">
        <v>122</v>
      </c>
      <c r="K786" s="94"/>
      <c r="L786" s="94"/>
      <c r="M786" s="94"/>
      <c r="N786" s="94"/>
      <c r="O786" s="93"/>
    </row>
    <row r="787" spans="1:15" x14ac:dyDescent="0.25">
      <c r="A787" s="757" t="s">
        <v>114</v>
      </c>
      <c r="B787" s="764" t="s">
        <v>1545</v>
      </c>
      <c r="C787" s="94"/>
      <c r="D787" s="757" t="s">
        <v>116</v>
      </c>
      <c r="E787" s="94"/>
      <c r="F787" s="94"/>
      <c r="G787" s="94"/>
      <c r="H787" s="94"/>
      <c r="I787" s="94"/>
      <c r="J787" s="758" t="s">
        <v>119</v>
      </c>
      <c r="K787" s="94"/>
      <c r="L787" s="94"/>
      <c r="M787" s="757" t="s">
        <v>118</v>
      </c>
      <c r="N787" s="100">
        <f>N785*N784</f>
        <v>1.6905574863433046</v>
      </c>
      <c r="O787" s="93"/>
    </row>
    <row r="788" spans="1:15" x14ac:dyDescent="0.25">
      <c r="A788" s="757" t="s">
        <v>121</v>
      </c>
      <c r="B788" s="269" t="s">
        <v>1544</v>
      </c>
      <c r="C788" s="94"/>
      <c r="D788" s="94"/>
      <c r="E788" s="94"/>
      <c r="F788" s="94"/>
      <c r="G788" s="94"/>
      <c r="H788" s="94"/>
      <c r="I788" s="94"/>
      <c r="J788" s="758" t="s">
        <v>116</v>
      </c>
      <c r="K788" s="94"/>
      <c r="L788" s="94"/>
      <c r="M788" s="94"/>
      <c r="N788" s="94"/>
      <c r="O788" s="93"/>
    </row>
    <row r="789" spans="1:15" x14ac:dyDescent="0.25">
      <c r="A789" s="757" t="s">
        <v>117</v>
      </c>
      <c r="B789" s="133" t="s">
        <v>23</v>
      </c>
      <c r="C789" s="94"/>
      <c r="D789" s="94"/>
      <c r="E789" s="94"/>
      <c r="F789" s="94"/>
      <c r="G789" s="94"/>
      <c r="H789" s="94"/>
      <c r="I789" s="94"/>
      <c r="J789" s="94"/>
      <c r="K789" s="94"/>
      <c r="L789" s="94"/>
      <c r="M789" s="94"/>
      <c r="N789" s="94"/>
      <c r="O789" s="93"/>
    </row>
    <row r="790" spans="1:15" x14ac:dyDescent="0.25">
      <c r="A790" s="757" t="s">
        <v>115</v>
      </c>
      <c r="B790" s="764"/>
      <c r="C790" s="94"/>
      <c r="D790" s="94"/>
      <c r="E790" s="94"/>
      <c r="F790" s="94"/>
      <c r="G790" s="94"/>
      <c r="H790" s="94"/>
      <c r="I790" s="94"/>
      <c r="J790" s="94"/>
      <c r="K790" s="94"/>
      <c r="L790" s="94"/>
      <c r="M790" s="94"/>
      <c r="N790" s="94"/>
      <c r="O790" s="93"/>
    </row>
    <row r="791" spans="1:15" x14ac:dyDescent="0.25">
      <c r="A791" s="266"/>
      <c r="B791" s="265"/>
      <c r="C791" s="265"/>
      <c r="D791" s="265"/>
      <c r="E791" s="265"/>
      <c r="F791" s="94"/>
      <c r="G791" s="94"/>
      <c r="H791" s="94"/>
      <c r="I791" s="94"/>
      <c r="J791" s="94"/>
      <c r="K791" s="94"/>
      <c r="L791" s="94"/>
      <c r="M791" s="94"/>
      <c r="N791" s="94"/>
      <c r="O791" s="93"/>
    </row>
    <row r="792" spans="1:15" x14ac:dyDescent="0.25">
      <c r="A792" s="756" t="s">
        <v>67</v>
      </c>
      <c r="B792" s="755" t="s">
        <v>112</v>
      </c>
      <c r="C792" s="755" t="s">
        <v>66</v>
      </c>
      <c r="D792" s="755" t="s">
        <v>65</v>
      </c>
      <c r="E792" s="755" t="s">
        <v>81</v>
      </c>
      <c r="F792" s="816" t="s">
        <v>80</v>
      </c>
      <c r="G792" s="816" t="s">
        <v>79</v>
      </c>
      <c r="H792" s="816" t="s">
        <v>78</v>
      </c>
      <c r="I792" s="816" t="s">
        <v>111</v>
      </c>
      <c r="J792" s="816" t="s">
        <v>110</v>
      </c>
      <c r="K792" s="816" t="s">
        <v>109</v>
      </c>
      <c r="L792" s="816" t="s">
        <v>108</v>
      </c>
      <c r="M792" s="816" t="s">
        <v>40</v>
      </c>
      <c r="N792" s="816" t="s">
        <v>58</v>
      </c>
      <c r="O792" s="93"/>
    </row>
    <row r="793" spans="1:15" x14ac:dyDescent="0.25">
      <c r="A793" s="970">
        <v>10</v>
      </c>
      <c r="B793" s="971" t="s">
        <v>1543</v>
      </c>
      <c r="C793" s="970" t="s">
        <v>682</v>
      </c>
      <c r="D793" s="837">
        <v>2.25</v>
      </c>
      <c r="E793" s="1359">
        <v>12</v>
      </c>
      <c r="F793" s="970" t="s">
        <v>68</v>
      </c>
      <c r="G793" s="970">
        <v>1</v>
      </c>
      <c r="H793" s="835" t="s">
        <v>68</v>
      </c>
      <c r="I793" s="969" t="s">
        <v>1542</v>
      </c>
      <c r="J793" s="968">
        <v>3.4557519189487722E-5</v>
      </c>
      <c r="K793" s="833">
        <v>0.05</v>
      </c>
      <c r="L793" s="967">
        <v>7860</v>
      </c>
      <c r="M793" s="966">
        <v>1</v>
      </c>
      <c r="N793" s="809">
        <f>D793*J793*K793*L793*M793</f>
        <v>3.0557486343304522E-2</v>
      </c>
      <c r="O793" s="93"/>
    </row>
    <row r="794" spans="1:15" x14ac:dyDescent="0.25">
      <c r="A794" s="98"/>
      <c r="B794" s="95"/>
      <c r="C794" s="95"/>
      <c r="D794" s="95"/>
      <c r="E794" s="95"/>
      <c r="F794" s="95"/>
      <c r="G794" s="95"/>
      <c r="H794" s="95"/>
      <c r="I794" s="95"/>
      <c r="J794" s="754"/>
      <c r="K794" s="754"/>
      <c r="L794" s="95"/>
      <c r="M794" s="808" t="s">
        <v>58</v>
      </c>
      <c r="N794" s="750">
        <f>SUM(N793:N793)</f>
        <v>3.0557486343304522E-2</v>
      </c>
      <c r="O794" s="93"/>
    </row>
    <row r="795" spans="1:15" x14ac:dyDescent="0.25">
      <c r="A795" s="107"/>
      <c r="B795" s="94"/>
      <c r="C795" s="94"/>
      <c r="D795" s="94"/>
      <c r="E795" s="94"/>
      <c r="F795" s="94"/>
      <c r="G795" s="94"/>
      <c r="H795" s="94"/>
      <c r="I795" s="94"/>
      <c r="J795" s="94"/>
      <c r="K795" s="94"/>
      <c r="L795" s="94"/>
      <c r="M795" s="94"/>
      <c r="N795" s="94"/>
      <c r="O795" s="93"/>
    </row>
    <row r="796" spans="1:15" x14ac:dyDescent="0.25">
      <c r="A796" s="797" t="s">
        <v>67</v>
      </c>
      <c r="B796" s="816" t="s">
        <v>106</v>
      </c>
      <c r="C796" s="816" t="s">
        <v>66</v>
      </c>
      <c r="D796" s="816" t="s">
        <v>65</v>
      </c>
      <c r="E796" s="816" t="s">
        <v>64</v>
      </c>
      <c r="F796" s="816" t="s">
        <v>40</v>
      </c>
      <c r="G796" s="816" t="s">
        <v>105</v>
      </c>
      <c r="H796" s="816" t="s">
        <v>104</v>
      </c>
      <c r="I796" s="816" t="s">
        <v>58</v>
      </c>
      <c r="J796" s="95"/>
      <c r="K796" s="95"/>
      <c r="L796" s="95"/>
      <c r="M796" s="95"/>
      <c r="N796" s="95"/>
      <c r="O796" s="93"/>
    </row>
    <row r="797" spans="1:15" x14ac:dyDescent="0.25">
      <c r="A797" s="858">
        <v>10</v>
      </c>
      <c r="B797" s="818" t="s">
        <v>516</v>
      </c>
      <c r="C797" s="858"/>
      <c r="D797" s="829">
        <v>1.3</v>
      </c>
      <c r="E797" s="858" t="s">
        <v>64</v>
      </c>
      <c r="F797" s="965">
        <v>1</v>
      </c>
      <c r="G797" s="818"/>
      <c r="H797" s="871"/>
      <c r="I797" s="817">
        <f>IF(H797="",D797*F797,D797*F797*H797)</f>
        <v>1.3</v>
      </c>
      <c r="J797" s="95"/>
      <c r="K797" s="95"/>
      <c r="L797" s="95"/>
      <c r="M797" s="95"/>
      <c r="N797" s="95"/>
      <c r="O797" s="93"/>
    </row>
    <row r="798" spans="1:15" ht="30" x14ac:dyDescent="0.25">
      <c r="A798" s="963">
        <v>20</v>
      </c>
      <c r="B798" s="818" t="s">
        <v>1321</v>
      </c>
      <c r="C798" s="963" t="s">
        <v>1541</v>
      </c>
      <c r="D798" s="815">
        <v>0.04</v>
      </c>
      <c r="E798" s="818" t="s">
        <v>512</v>
      </c>
      <c r="F798" s="964">
        <v>3</v>
      </c>
      <c r="G798" s="963" t="s">
        <v>1540</v>
      </c>
      <c r="H798" s="963">
        <v>3</v>
      </c>
      <c r="I798" s="817">
        <f>IF(H798="",D798*F798,D798*F798*H798)</f>
        <v>0.36</v>
      </c>
      <c r="J798" s="142"/>
      <c r="K798" s="752"/>
      <c r="L798" s="142"/>
      <c r="M798" s="752"/>
      <c r="N798" s="142"/>
      <c r="O798" s="120"/>
    </row>
    <row r="799" spans="1:15" x14ac:dyDescent="0.25">
      <c r="A799" s="98"/>
      <c r="B799" s="95"/>
      <c r="C799" s="95"/>
      <c r="D799" s="95"/>
      <c r="E799" s="95"/>
      <c r="F799" s="95"/>
      <c r="G799" s="95"/>
      <c r="H799" s="751" t="s">
        <v>58</v>
      </c>
      <c r="I799" s="750">
        <f>SUM(I797:I798)</f>
        <v>1.6600000000000001</v>
      </c>
      <c r="J799" s="95"/>
      <c r="K799" s="95"/>
      <c r="L799" s="95"/>
      <c r="M799" s="95"/>
      <c r="N799" s="95"/>
      <c r="O799" s="93"/>
    </row>
    <row r="800" spans="1:15" ht="15.75" thickBot="1" x14ac:dyDescent="0.3">
      <c r="A800" s="92"/>
      <c r="B800" s="91"/>
      <c r="C800" s="91"/>
      <c r="D800" s="91"/>
      <c r="E800" s="91"/>
      <c r="F800" s="91"/>
      <c r="G800" s="91"/>
      <c r="H800" s="91"/>
      <c r="I800" s="91"/>
      <c r="J800" s="91"/>
      <c r="K800" s="91"/>
      <c r="L800" s="91"/>
      <c r="M800" s="91"/>
      <c r="N800" s="91"/>
      <c r="O800" s="90"/>
    </row>
    <row r="801" spans="1:15" ht="15.75" thickBot="1" x14ac:dyDescent="0.3"/>
    <row r="802" spans="1:15" x14ac:dyDescent="0.25">
      <c r="A802" s="141"/>
      <c r="B802" s="140"/>
      <c r="C802" s="140"/>
      <c r="D802" s="140"/>
      <c r="E802" s="140"/>
      <c r="F802" s="140"/>
      <c r="G802" s="140"/>
      <c r="H802" s="140"/>
      <c r="I802" s="140"/>
      <c r="J802" s="272"/>
      <c r="K802" s="140"/>
      <c r="L802" s="140"/>
      <c r="M802" s="140"/>
      <c r="N802" s="140"/>
      <c r="O802" s="139"/>
    </row>
    <row r="803" spans="1:15" x14ac:dyDescent="0.25">
      <c r="A803" s="757" t="s">
        <v>57</v>
      </c>
      <c r="B803" s="133" t="s">
        <v>523</v>
      </c>
      <c r="C803" s="94"/>
      <c r="D803" s="94"/>
      <c r="E803" s="94"/>
      <c r="F803" s="94"/>
      <c r="G803" s="94"/>
      <c r="H803" s="94"/>
      <c r="I803" s="94"/>
      <c r="J803" s="760" t="s">
        <v>51</v>
      </c>
      <c r="K803" s="138">
        <v>81</v>
      </c>
      <c r="L803" s="94"/>
      <c r="M803" s="757" t="s">
        <v>113</v>
      </c>
      <c r="N803" s="100">
        <f>FR_06001_m+FR_06001_p+FR_06001_t</f>
        <v>634.80433333333337</v>
      </c>
      <c r="O803" s="93"/>
    </row>
    <row r="804" spans="1:15" x14ac:dyDescent="0.25">
      <c r="A804" s="757" t="s">
        <v>125</v>
      </c>
      <c r="B804" s="133" t="s">
        <v>1412</v>
      </c>
      <c r="C804" s="94"/>
      <c r="D804" s="757" t="s">
        <v>122</v>
      </c>
      <c r="E804" s="94"/>
      <c r="F804" s="94"/>
      <c r="G804" s="94"/>
      <c r="H804" s="94"/>
      <c r="I804" s="94"/>
      <c r="J804" s="94"/>
      <c r="K804" s="94"/>
      <c r="L804" s="94"/>
      <c r="M804" s="757" t="s">
        <v>124</v>
      </c>
      <c r="N804" s="136">
        <v>1</v>
      </c>
      <c r="O804" s="93"/>
    </row>
    <row r="805" spans="1:15" x14ac:dyDescent="0.25">
      <c r="A805" s="757" t="s">
        <v>123</v>
      </c>
      <c r="B805" s="270" t="str">
        <f>'FR Assemblies'!B278</f>
        <v>Body</v>
      </c>
      <c r="C805" s="94"/>
      <c r="D805" s="757" t="s">
        <v>119</v>
      </c>
      <c r="E805" s="94"/>
      <c r="F805" s="94"/>
      <c r="G805" s="94"/>
      <c r="H805" s="94"/>
      <c r="I805" s="94"/>
      <c r="J805" s="758" t="s">
        <v>122</v>
      </c>
      <c r="K805" s="94"/>
      <c r="L805" s="94"/>
      <c r="M805" s="94"/>
      <c r="N805" s="94"/>
      <c r="O805" s="93"/>
    </row>
    <row r="806" spans="1:15" x14ac:dyDescent="0.25">
      <c r="A806" s="757" t="s">
        <v>114</v>
      </c>
      <c r="B806" s="759" t="s">
        <v>1539</v>
      </c>
      <c r="C806" s="94"/>
      <c r="D806" s="757" t="s">
        <v>116</v>
      </c>
      <c r="E806" s="94"/>
      <c r="F806" s="94"/>
      <c r="G806" s="94"/>
      <c r="H806" s="94"/>
      <c r="I806" s="94"/>
      <c r="J806" s="758" t="s">
        <v>119</v>
      </c>
      <c r="K806" s="94"/>
      <c r="L806" s="94"/>
      <c r="M806" s="757" t="s">
        <v>118</v>
      </c>
      <c r="N806" s="100">
        <f>N804*N803</f>
        <v>634.80433333333337</v>
      </c>
      <c r="O806" s="93"/>
    </row>
    <row r="807" spans="1:15" x14ac:dyDescent="0.25">
      <c r="A807" s="757" t="s">
        <v>121</v>
      </c>
      <c r="B807" s="269" t="s">
        <v>1538</v>
      </c>
      <c r="C807" s="94"/>
      <c r="D807" s="94"/>
      <c r="E807" s="94"/>
      <c r="F807" s="94"/>
      <c r="G807" s="94"/>
      <c r="H807" s="94"/>
      <c r="I807" s="94"/>
      <c r="J807" s="758" t="s">
        <v>116</v>
      </c>
      <c r="K807" s="94"/>
      <c r="L807" s="94"/>
      <c r="M807" s="94"/>
      <c r="N807" s="94"/>
      <c r="O807" s="93"/>
    </row>
    <row r="808" spans="1:15" x14ac:dyDescent="0.25">
      <c r="A808" s="757" t="s">
        <v>117</v>
      </c>
      <c r="B808" s="133" t="s">
        <v>23</v>
      </c>
      <c r="C808" s="94"/>
      <c r="D808" s="94"/>
      <c r="E808" s="94"/>
      <c r="F808" s="94"/>
      <c r="G808" s="94"/>
      <c r="H808" s="94"/>
      <c r="I808" s="94"/>
      <c r="J808" s="94"/>
      <c r="K808" s="94"/>
      <c r="L808" s="94"/>
      <c r="M808" s="94"/>
      <c r="N808" s="94"/>
      <c r="O808" s="93"/>
    </row>
    <row r="809" spans="1:15" x14ac:dyDescent="0.25">
      <c r="A809" s="757" t="s">
        <v>115</v>
      </c>
      <c r="B809" s="764"/>
      <c r="C809" s="94"/>
      <c r="D809" s="94"/>
      <c r="E809" s="94"/>
      <c r="F809" s="94"/>
      <c r="G809" s="94"/>
      <c r="H809" s="94"/>
      <c r="I809" s="94"/>
      <c r="J809" s="94"/>
      <c r="K809" s="94"/>
      <c r="L809" s="94"/>
      <c r="M809" s="94"/>
      <c r="N809" s="94"/>
      <c r="O809" s="93"/>
    </row>
    <row r="810" spans="1:15" x14ac:dyDescent="0.25">
      <c r="A810" s="266"/>
      <c r="B810" s="265"/>
      <c r="C810" s="265"/>
      <c r="D810" s="265"/>
      <c r="E810" s="265"/>
      <c r="F810" s="94"/>
      <c r="G810" s="94"/>
      <c r="H810" s="94"/>
      <c r="I810" s="94"/>
      <c r="J810" s="94"/>
      <c r="K810" s="94"/>
      <c r="L810" s="94"/>
      <c r="M810" s="94"/>
      <c r="N810" s="94"/>
      <c r="O810" s="93"/>
    </row>
    <row r="811" spans="1:15" x14ac:dyDescent="0.25">
      <c r="A811" s="756" t="s">
        <v>67</v>
      </c>
      <c r="B811" s="755" t="s">
        <v>112</v>
      </c>
      <c r="C811" s="755" t="s">
        <v>66</v>
      </c>
      <c r="D811" s="755" t="s">
        <v>65</v>
      </c>
      <c r="E811" s="755" t="s">
        <v>81</v>
      </c>
      <c r="F811" s="816" t="s">
        <v>80</v>
      </c>
      <c r="G811" s="816" t="s">
        <v>79</v>
      </c>
      <c r="H811" s="816" t="s">
        <v>78</v>
      </c>
      <c r="I811" s="816" t="s">
        <v>111</v>
      </c>
      <c r="J811" s="816" t="s">
        <v>110</v>
      </c>
      <c r="K811" s="816" t="s">
        <v>109</v>
      </c>
      <c r="L811" s="816" t="s">
        <v>108</v>
      </c>
      <c r="M811" s="816" t="s">
        <v>40</v>
      </c>
      <c r="N811" s="816" t="s">
        <v>58</v>
      </c>
      <c r="O811" s="93"/>
    </row>
    <row r="812" spans="1:15" x14ac:dyDescent="0.25">
      <c r="A812" s="858">
        <v>10</v>
      </c>
      <c r="B812" s="858" t="s">
        <v>1000</v>
      </c>
      <c r="C812" s="943" t="s">
        <v>1521</v>
      </c>
      <c r="D812" s="840">
        <v>200</v>
      </c>
      <c r="E812" s="962">
        <v>0.59150000000000003</v>
      </c>
      <c r="F812" s="858" t="s">
        <v>794</v>
      </c>
      <c r="G812" s="858"/>
      <c r="H812" s="843"/>
      <c r="I812" s="942"/>
      <c r="J812" s="844">
        <v>1.1830000000000001</v>
      </c>
      <c r="K812" s="850"/>
      <c r="L812" s="843"/>
      <c r="M812" s="842">
        <v>2</v>
      </c>
      <c r="N812" s="809">
        <f>D812*E812*M812</f>
        <v>236.60000000000002</v>
      </c>
      <c r="O812" s="93"/>
    </row>
    <row r="813" spans="1:15" x14ac:dyDescent="0.25">
      <c r="A813" s="858">
        <v>20</v>
      </c>
      <c r="B813" s="943" t="s">
        <v>1532</v>
      </c>
      <c r="C813" s="943" t="s">
        <v>1521</v>
      </c>
      <c r="D813" s="840">
        <v>100</v>
      </c>
      <c r="E813" s="962">
        <v>0.59150000000000003</v>
      </c>
      <c r="F813" s="858" t="s">
        <v>794</v>
      </c>
      <c r="G813" s="858"/>
      <c r="H813" s="843"/>
      <c r="I813" s="942"/>
      <c r="J813" s="844">
        <v>1.1830000000000001</v>
      </c>
      <c r="K813" s="850"/>
      <c r="L813" s="843"/>
      <c r="M813" s="842">
        <v>2</v>
      </c>
      <c r="N813" s="809">
        <f>D813*E813*M813</f>
        <v>118.30000000000001</v>
      </c>
      <c r="O813" s="93"/>
    </row>
    <row r="814" spans="1:15" x14ac:dyDescent="0.25">
      <c r="A814" s="98"/>
      <c r="B814" s="95"/>
      <c r="C814" s="95"/>
      <c r="D814" s="95"/>
      <c r="E814" s="95"/>
      <c r="F814" s="95"/>
      <c r="G814" s="95"/>
      <c r="H814" s="95"/>
      <c r="I814" s="95"/>
      <c r="J814" s="754"/>
      <c r="K814" s="754"/>
      <c r="L814" s="95"/>
      <c r="M814" s="808" t="s">
        <v>58</v>
      </c>
      <c r="N814" s="750">
        <f>SUM(N812:N813)</f>
        <v>354.90000000000003</v>
      </c>
      <c r="O814" s="93"/>
    </row>
    <row r="815" spans="1:15" x14ac:dyDescent="0.25">
      <c r="A815" s="107"/>
      <c r="B815" s="94"/>
      <c r="C815" s="94"/>
      <c r="D815" s="94"/>
      <c r="E815" s="94"/>
      <c r="F815" s="94"/>
      <c r="G815" s="94"/>
      <c r="H815" s="94"/>
      <c r="I815" s="94"/>
      <c r="J815" s="94"/>
      <c r="K815" s="94"/>
      <c r="L815" s="94"/>
      <c r="M815" s="94"/>
      <c r="N815" s="94"/>
      <c r="O815" s="93"/>
    </row>
    <row r="816" spans="1:15" x14ac:dyDescent="0.25">
      <c r="A816" s="797" t="s">
        <v>67</v>
      </c>
      <c r="B816" s="816" t="s">
        <v>106</v>
      </c>
      <c r="C816" s="816" t="s">
        <v>66</v>
      </c>
      <c r="D816" s="816" t="s">
        <v>65</v>
      </c>
      <c r="E816" s="816" t="s">
        <v>64</v>
      </c>
      <c r="F816" s="816" t="s">
        <v>40</v>
      </c>
      <c r="G816" s="816" t="s">
        <v>105</v>
      </c>
      <c r="H816" s="816" t="s">
        <v>104</v>
      </c>
      <c r="I816" s="816" t="s">
        <v>58</v>
      </c>
      <c r="J816" s="95"/>
      <c r="K816" s="95"/>
      <c r="L816" s="95"/>
      <c r="M816" s="95"/>
      <c r="N816" s="95"/>
      <c r="O816" s="93"/>
    </row>
    <row r="817" spans="1:15" x14ac:dyDescent="0.25">
      <c r="A817" s="848">
        <v>10</v>
      </c>
      <c r="B817" s="818" t="s">
        <v>290</v>
      </c>
      <c r="C817" s="89" t="s">
        <v>1531</v>
      </c>
      <c r="D817" s="849">
        <v>0.06</v>
      </c>
      <c r="E817" s="818" t="s">
        <v>101</v>
      </c>
      <c r="F817" s="848">
        <v>315</v>
      </c>
      <c r="G817" s="858" t="s">
        <v>1163</v>
      </c>
      <c r="H817" s="858">
        <v>4</v>
      </c>
      <c r="I817" s="817">
        <f>IF(H817="",D817*F817,D817*F817*H817)</f>
        <v>75.599999999999994</v>
      </c>
    </row>
    <row r="818" spans="1:15" x14ac:dyDescent="0.25">
      <c r="A818" s="858">
        <v>20</v>
      </c>
      <c r="B818" s="818" t="s">
        <v>790</v>
      </c>
      <c r="C818" s="860" t="s">
        <v>1530</v>
      </c>
      <c r="D818" s="840">
        <v>35</v>
      </c>
      <c r="E818" s="858" t="s">
        <v>241</v>
      </c>
      <c r="F818" s="858">
        <v>1.1830000000000001</v>
      </c>
      <c r="G818" s="858" t="s">
        <v>1163</v>
      </c>
      <c r="H818" s="858">
        <v>4</v>
      </c>
      <c r="I818" s="817">
        <f>IF(H818="",D818*F818,D818*F818*H818)</f>
        <v>165.62</v>
      </c>
      <c r="J818" s="95"/>
      <c r="K818" s="95"/>
      <c r="L818" s="95"/>
      <c r="M818" s="95"/>
      <c r="N818" s="95"/>
      <c r="O818" s="93"/>
    </row>
    <row r="819" spans="1:15" x14ac:dyDescent="0.25">
      <c r="A819" s="848">
        <v>30</v>
      </c>
      <c r="B819" s="818" t="s">
        <v>788</v>
      </c>
      <c r="C819" s="860" t="s">
        <v>1529</v>
      </c>
      <c r="D819" s="840">
        <v>5</v>
      </c>
      <c r="E819" s="858" t="s">
        <v>241</v>
      </c>
      <c r="F819" s="961">
        <v>1.1830000000000001</v>
      </c>
      <c r="G819" s="858" t="s">
        <v>1163</v>
      </c>
      <c r="H819" s="858">
        <v>4</v>
      </c>
      <c r="I819" s="817">
        <f>IF(H819="",D819*F819,D819*F819*H819)</f>
        <v>23.66</v>
      </c>
      <c r="J819" s="95"/>
      <c r="K819" s="95"/>
      <c r="L819" s="95"/>
      <c r="M819" s="95"/>
      <c r="N819" s="95"/>
      <c r="O819" s="93"/>
    </row>
    <row r="820" spans="1:15" x14ac:dyDescent="0.25">
      <c r="A820" s="858">
        <v>40</v>
      </c>
      <c r="B820" s="818" t="s">
        <v>785</v>
      </c>
      <c r="C820" s="860" t="s">
        <v>1517</v>
      </c>
      <c r="D820" s="840">
        <v>10</v>
      </c>
      <c r="E820" s="858" t="s">
        <v>241</v>
      </c>
      <c r="F820" s="961">
        <v>1.1830000000000001</v>
      </c>
      <c r="G820" s="858"/>
      <c r="H820" s="858"/>
      <c r="I820" s="817">
        <f>IF(H820="",D820*F820,D820*F820*H820)</f>
        <v>11.83</v>
      </c>
      <c r="J820" s="95"/>
      <c r="K820" s="95"/>
      <c r="L820" s="95"/>
      <c r="M820" s="95"/>
      <c r="N820" s="95"/>
      <c r="O820" s="93"/>
    </row>
    <row r="821" spans="1:15" ht="30" x14ac:dyDescent="0.25">
      <c r="A821" s="848">
        <v>50</v>
      </c>
      <c r="B821" s="818" t="s">
        <v>296</v>
      </c>
      <c r="C821" s="860" t="s">
        <v>1528</v>
      </c>
      <c r="D821" s="840">
        <v>0.35</v>
      </c>
      <c r="E821" s="858" t="s">
        <v>64</v>
      </c>
      <c r="F821" s="858">
        <v>4</v>
      </c>
      <c r="G821" s="818" t="s">
        <v>1527</v>
      </c>
      <c r="H821" s="858">
        <v>2</v>
      </c>
      <c r="I821" s="817">
        <f>IF(H821="",D821*F821,D821*F821*H821)</f>
        <v>2.8</v>
      </c>
      <c r="J821" s="142"/>
      <c r="K821" s="752"/>
      <c r="L821" s="142"/>
      <c r="M821" s="752"/>
      <c r="N821" s="142"/>
      <c r="O821" s="120"/>
    </row>
    <row r="822" spans="1:15" x14ac:dyDescent="0.25">
      <c r="A822" s="98"/>
      <c r="B822" s="95"/>
      <c r="C822" s="95"/>
      <c r="D822" s="95"/>
      <c r="E822" s="95"/>
      <c r="F822" s="95"/>
      <c r="G822" s="95"/>
      <c r="H822" s="751" t="s">
        <v>58</v>
      </c>
      <c r="I822" s="750">
        <f>SUM(I817:I821)</f>
        <v>279.51</v>
      </c>
      <c r="J822" s="95"/>
      <c r="K822" s="95"/>
      <c r="L822" s="95"/>
      <c r="M822" s="95"/>
      <c r="N822" s="95"/>
      <c r="O822" s="93"/>
    </row>
    <row r="823" spans="1:15" x14ac:dyDescent="0.25">
      <c r="A823" s="98"/>
      <c r="B823" s="95"/>
      <c r="C823" s="95"/>
      <c r="D823" s="95"/>
      <c r="E823" s="95"/>
      <c r="F823" s="95"/>
      <c r="G823" s="95"/>
      <c r="J823" s="95"/>
      <c r="K823" s="95"/>
      <c r="L823" s="95"/>
      <c r="M823" s="95"/>
      <c r="N823" s="95"/>
      <c r="O823" s="93"/>
    </row>
    <row r="824" spans="1:15" x14ac:dyDescent="0.25">
      <c r="A824" s="944" t="s">
        <v>67</v>
      </c>
      <c r="B824" s="944" t="s">
        <v>13</v>
      </c>
      <c r="C824" s="944" t="s">
        <v>66</v>
      </c>
      <c r="D824" s="944" t="s">
        <v>65</v>
      </c>
      <c r="E824" s="944" t="s">
        <v>64</v>
      </c>
      <c r="F824" s="944" t="s">
        <v>40</v>
      </c>
      <c r="G824" s="944" t="s">
        <v>63</v>
      </c>
      <c r="H824" s="944" t="s">
        <v>741</v>
      </c>
      <c r="I824" s="944" t="s">
        <v>58</v>
      </c>
      <c r="J824" s="95"/>
      <c r="K824" s="95"/>
      <c r="L824" s="95"/>
      <c r="M824" s="95"/>
      <c r="N824" s="95"/>
      <c r="O824" s="93"/>
    </row>
    <row r="825" spans="1:15" x14ac:dyDescent="0.25">
      <c r="A825" s="858">
        <v>10</v>
      </c>
      <c r="B825" s="858" t="s">
        <v>1526</v>
      </c>
      <c r="C825" s="858" t="s">
        <v>1535</v>
      </c>
      <c r="D825" s="840">
        <v>1000</v>
      </c>
      <c r="E825" s="858" t="s">
        <v>241</v>
      </c>
      <c r="F825" s="956">
        <v>0.59150000000000003</v>
      </c>
      <c r="G825" s="858">
        <v>3000</v>
      </c>
      <c r="H825" s="858">
        <v>1</v>
      </c>
      <c r="I825" s="845">
        <v>0.19716666666666666</v>
      </c>
      <c r="J825" s="95"/>
      <c r="K825" s="95"/>
      <c r="L825" s="95"/>
      <c r="M825" s="95"/>
      <c r="N825" s="95"/>
      <c r="O825" s="93"/>
    </row>
    <row r="826" spans="1:15" x14ac:dyDescent="0.25">
      <c r="A826" s="858">
        <v>20</v>
      </c>
      <c r="B826" s="858" t="s">
        <v>1526</v>
      </c>
      <c r="C826" s="858" t="s">
        <v>1525</v>
      </c>
      <c r="D826" s="840">
        <v>1000</v>
      </c>
      <c r="E826" s="858" t="s">
        <v>241</v>
      </c>
      <c r="F826" s="956">
        <v>0.59150000000000003</v>
      </c>
      <c r="G826" s="858">
        <v>3000</v>
      </c>
      <c r="H826" s="858">
        <v>1</v>
      </c>
      <c r="I826" s="845">
        <v>0.19716666666666666</v>
      </c>
      <c r="J826" s="95"/>
      <c r="K826" s="95"/>
      <c r="L826" s="95"/>
      <c r="M826" s="95"/>
      <c r="N826" s="95"/>
      <c r="O826" s="93"/>
    </row>
    <row r="827" spans="1:15" x14ac:dyDescent="0.25">
      <c r="A827" s="763"/>
      <c r="B827" s="763"/>
      <c r="C827" s="763"/>
      <c r="D827" s="763"/>
      <c r="E827" s="763"/>
      <c r="F827" s="763"/>
      <c r="G827" s="763"/>
      <c r="H827" s="762" t="s">
        <v>58</v>
      </c>
      <c r="I827" s="761">
        <f>SUM(I825:I826)</f>
        <v>0.39433333333333331</v>
      </c>
      <c r="J827" s="95"/>
      <c r="K827" s="95"/>
      <c r="L827" s="95"/>
      <c r="M827" s="95"/>
      <c r="N827" s="95"/>
      <c r="O827" s="93"/>
    </row>
    <row r="828" spans="1:15" ht="15.75" thickBot="1" x14ac:dyDescent="0.3">
      <c r="A828" s="92"/>
      <c r="B828" s="91"/>
      <c r="C828" s="91"/>
      <c r="D828" s="91"/>
      <c r="E828" s="91"/>
      <c r="F828" s="91"/>
      <c r="G828" s="91"/>
      <c r="H828" s="91"/>
      <c r="I828" s="91"/>
      <c r="J828" s="91"/>
      <c r="K828" s="91"/>
      <c r="L828" s="91"/>
      <c r="M828" s="91"/>
      <c r="N828" s="91"/>
      <c r="O828" s="90"/>
    </row>
    <row r="829" spans="1:15" ht="15.75" thickBot="1" x14ac:dyDescent="0.3"/>
    <row r="830" spans="1:15" x14ac:dyDescent="0.25">
      <c r="A830" s="141"/>
      <c r="B830" s="140"/>
      <c r="C830" s="140"/>
      <c r="D830" s="140"/>
      <c r="E830" s="140"/>
      <c r="F830" s="140"/>
      <c r="G830" s="140"/>
      <c r="H830" s="140"/>
      <c r="I830" s="140"/>
      <c r="J830" s="272"/>
      <c r="K830" s="140"/>
      <c r="L830" s="140"/>
      <c r="M830" s="140"/>
      <c r="N830" s="140"/>
      <c r="O830" s="139"/>
    </row>
    <row r="831" spans="1:15" x14ac:dyDescent="0.25">
      <c r="A831" s="757" t="s">
        <v>57</v>
      </c>
      <c r="B831" s="133" t="s">
        <v>523</v>
      </c>
      <c r="C831" s="94"/>
      <c r="D831" s="94"/>
      <c r="E831" s="94"/>
      <c r="F831" s="94"/>
      <c r="G831" s="94"/>
      <c r="H831" s="94"/>
      <c r="I831" s="94"/>
      <c r="J831" s="760" t="s">
        <v>51</v>
      </c>
      <c r="K831" s="138">
        <v>81</v>
      </c>
      <c r="L831" s="94"/>
      <c r="M831" s="757" t="s">
        <v>113</v>
      </c>
      <c r="N831" s="100">
        <f>FR_06002_m+FR_06002_p+FR_06002_t</f>
        <v>322.83966666666669</v>
      </c>
      <c r="O831" s="93"/>
    </row>
    <row r="832" spans="1:15" x14ac:dyDescent="0.25">
      <c r="A832" s="757" t="s">
        <v>125</v>
      </c>
      <c r="B832" s="133" t="s">
        <v>1412</v>
      </c>
      <c r="C832" s="94"/>
      <c r="D832" s="757" t="s">
        <v>122</v>
      </c>
      <c r="E832" s="94"/>
      <c r="F832" s="94"/>
      <c r="G832" s="94"/>
      <c r="H832" s="94"/>
      <c r="I832" s="94"/>
      <c r="J832" s="94"/>
      <c r="K832" s="94"/>
      <c r="L832" s="94"/>
      <c r="M832" s="757" t="s">
        <v>124</v>
      </c>
      <c r="N832" s="136">
        <v>1</v>
      </c>
      <c r="O832" s="93"/>
    </row>
    <row r="833" spans="1:15" x14ac:dyDescent="0.25">
      <c r="A833" s="757" t="s">
        <v>123</v>
      </c>
      <c r="B833" s="270" t="str">
        <f>'FR Assemblies'!B278</f>
        <v>Body</v>
      </c>
      <c r="C833" s="94"/>
      <c r="D833" s="757" t="s">
        <v>119</v>
      </c>
      <c r="E833" s="94"/>
      <c r="F833" s="94"/>
      <c r="G833" s="94"/>
      <c r="H833" s="94"/>
      <c r="I833" s="94"/>
      <c r="J833" s="758" t="s">
        <v>122</v>
      </c>
      <c r="K833" s="94"/>
      <c r="L833" s="94"/>
      <c r="M833" s="94"/>
      <c r="N833" s="94"/>
      <c r="O833" s="93"/>
    </row>
    <row r="834" spans="1:15" x14ac:dyDescent="0.25">
      <c r="A834" s="757" t="s">
        <v>114</v>
      </c>
      <c r="B834" s="759" t="s">
        <v>1537</v>
      </c>
      <c r="C834" s="94"/>
      <c r="D834" s="757" t="s">
        <v>116</v>
      </c>
      <c r="E834" s="94"/>
      <c r="F834" s="94"/>
      <c r="G834" s="94"/>
      <c r="H834" s="94"/>
      <c r="I834" s="94"/>
      <c r="J834" s="758" t="s">
        <v>119</v>
      </c>
      <c r="K834" s="94"/>
      <c r="L834" s="94"/>
      <c r="M834" s="757" t="s">
        <v>118</v>
      </c>
      <c r="N834" s="100">
        <f>N832*N831</f>
        <v>322.83966666666669</v>
      </c>
      <c r="O834" s="93"/>
    </row>
    <row r="835" spans="1:15" x14ac:dyDescent="0.25">
      <c r="A835" s="757" t="s">
        <v>121</v>
      </c>
      <c r="B835" s="269" t="s">
        <v>1536</v>
      </c>
      <c r="C835" s="94"/>
      <c r="D835" s="94"/>
      <c r="E835" s="94"/>
      <c r="F835" s="94"/>
      <c r="G835" s="94"/>
      <c r="H835" s="94"/>
      <c r="I835" s="94"/>
      <c r="J835" s="758" t="s">
        <v>116</v>
      </c>
      <c r="K835" s="94"/>
      <c r="L835" s="94"/>
      <c r="M835" s="94"/>
      <c r="N835" s="94"/>
      <c r="O835" s="93"/>
    </row>
    <row r="836" spans="1:15" x14ac:dyDescent="0.25">
      <c r="A836" s="757" t="s">
        <v>117</v>
      </c>
      <c r="B836" s="133" t="s">
        <v>23</v>
      </c>
      <c r="C836" s="94"/>
      <c r="D836" s="94"/>
      <c r="E836" s="94"/>
      <c r="F836" s="94"/>
      <c r="G836" s="94"/>
      <c r="H836" s="94"/>
      <c r="I836" s="94"/>
      <c r="J836" s="94"/>
      <c r="K836" s="94"/>
      <c r="L836" s="94"/>
      <c r="M836" s="94"/>
      <c r="N836" s="94"/>
      <c r="O836" s="93"/>
    </row>
    <row r="837" spans="1:15" x14ac:dyDescent="0.25">
      <c r="A837" s="757" t="s">
        <v>115</v>
      </c>
      <c r="B837" s="764"/>
      <c r="C837" s="94"/>
      <c r="D837" s="94"/>
      <c r="E837" s="94"/>
      <c r="F837" s="94"/>
      <c r="G837" s="94"/>
      <c r="H837" s="94"/>
      <c r="I837" s="94"/>
      <c r="J837" s="94"/>
      <c r="K837" s="94"/>
      <c r="L837" s="94"/>
      <c r="M837" s="94"/>
      <c r="N837" s="94"/>
      <c r="O837" s="93"/>
    </row>
    <row r="838" spans="1:15" x14ac:dyDescent="0.25">
      <c r="A838" s="266"/>
      <c r="B838" s="265"/>
      <c r="C838" s="265"/>
      <c r="D838" s="265"/>
      <c r="E838" s="265"/>
      <c r="F838" s="94"/>
      <c r="G838" s="94"/>
      <c r="H838" s="94"/>
      <c r="I838" s="94"/>
      <c r="J838" s="94"/>
      <c r="K838" s="94"/>
      <c r="L838" s="94"/>
      <c r="M838" s="94"/>
      <c r="N838" s="94"/>
      <c r="O838" s="93"/>
    </row>
    <row r="839" spans="1:15" x14ac:dyDescent="0.25">
      <c r="A839" s="756" t="s">
        <v>67</v>
      </c>
      <c r="B839" s="755" t="s">
        <v>112</v>
      </c>
      <c r="C839" s="755" t="s">
        <v>66</v>
      </c>
      <c r="D839" s="755" t="s">
        <v>65</v>
      </c>
      <c r="E839" s="755" t="s">
        <v>81</v>
      </c>
      <c r="F839" s="816" t="s">
        <v>80</v>
      </c>
      <c r="G839" s="816" t="s">
        <v>79</v>
      </c>
      <c r="H839" s="816" t="s">
        <v>78</v>
      </c>
      <c r="I839" s="816" t="s">
        <v>111</v>
      </c>
      <c r="J839" s="816" t="s">
        <v>110</v>
      </c>
      <c r="K839" s="816" t="s">
        <v>109</v>
      </c>
      <c r="L839" s="816" t="s">
        <v>108</v>
      </c>
      <c r="M839" s="816" t="s">
        <v>40</v>
      </c>
      <c r="N839" s="816" t="s">
        <v>58</v>
      </c>
      <c r="O839" s="93"/>
    </row>
    <row r="840" spans="1:15" x14ac:dyDescent="0.25">
      <c r="A840" s="858">
        <v>10</v>
      </c>
      <c r="B840" s="858" t="s">
        <v>1000</v>
      </c>
      <c r="C840" s="943" t="s">
        <v>1521</v>
      </c>
      <c r="D840" s="840">
        <v>200</v>
      </c>
      <c r="E840" s="960">
        <v>0.2545</v>
      </c>
      <c r="F840" s="858" t="s">
        <v>794</v>
      </c>
      <c r="G840" s="858"/>
      <c r="H840" s="843"/>
      <c r="I840" s="942"/>
      <c r="J840" s="844">
        <v>0.50900000000000001</v>
      </c>
      <c r="K840" s="850"/>
      <c r="L840" s="843"/>
      <c r="M840" s="842">
        <v>2</v>
      </c>
      <c r="N840" s="809">
        <f>D840*E840*M840</f>
        <v>101.8</v>
      </c>
      <c r="O840" s="93"/>
    </row>
    <row r="841" spans="1:15" x14ac:dyDescent="0.25">
      <c r="A841" s="858">
        <v>20</v>
      </c>
      <c r="B841" s="943" t="s">
        <v>1532</v>
      </c>
      <c r="C841" s="943" t="s">
        <v>1521</v>
      </c>
      <c r="D841" s="840">
        <v>100</v>
      </c>
      <c r="E841" s="960">
        <v>0.2545</v>
      </c>
      <c r="F841" s="858" t="s">
        <v>794</v>
      </c>
      <c r="G841" s="858"/>
      <c r="H841" s="843"/>
      <c r="I841" s="942"/>
      <c r="J841" s="844">
        <v>0.50900000000000001</v>
      </c>
      <c r="K841" s="850"/>
      <c r="L841" s="843"/>
      <c r="M841" s="842">
        <v>2</v>
      </c>
      <c r="N841" s="809">
        <f>D841*E841*M841</f>
        <v>50.9</v>
      </c>
      <c r="O841" s="93"/>
    </row>
    <row r="842" spans="1:15" x14ac:dyDescent="0.25">
      <c r="A842" s="98"/>
      <c r="B842" s="95"/>
      <c r="C842" s="95"/>
      <c r="D842" s="95"/>
      <c r="E842" s="95"/>
      <c r="F842" s="95"/>
      <c r="G842" s="95"/>
      <c r="H842" s="95"/>
      <c r="I842" s="95"/>
      <c r="J842" s="754"/>
      <c r="K842" s="754"/>
      <c r="L842" s="95"/>
      <c r="M842" s="808" t="s">
        <v>58</v>
      </c>
      <c r="N842" s="750">
        <f>SUM(N840:N841)</f>
        <v>152.69999999999999</v>
      </c>
      <c r="O842" s="93"/>
    </row>
    <row r="843" spans="1:15" x14ac:dyDescent="0.25">
      <c r="A843" s="107"/>
      <c r="B843" s="94"/>
      <c r="C843" s="94"/>
      <c r="D843" s="94"/>
      <c r="E843" s="94"/>
      <c r="F843" s="94"/>
      <c r="G843" s="94"/>
      <c r="H843" s="94"/>
      <c r="I843" s="94"/>
      <c r="J843" s="94"/>
      <c r="K843" s="94"/>
      <c r="L843" s="94"/>
      <c r="M843" s="94"/>
      <c r="N843" s="94"/>
      <c r="O843" s="93"/>
    </row>
    <row r="844" spans="1:15" x14ac:dyDescent="0.25">
      <c r="A844" s="797" t="s">
        <v>67</v>
      </c>
      <c r="B844" s="816" t="s">
        <v>106</v>
      </c>
      <c r="C844" s="816" t="s">
        <v>66</v>
      </c>
      <c r="D844" s="816" t="s">
        <v>65</v>
      </c>
      <c r="E844" s="816" t="s">
        <v>64</v>
      </c>
      <c r="F844" s="816" t="s">
        <v>40</v>
      </c>
      <c r="G844" s="816" t="s">
        <v>105</v>
      </c>
      <c r="H844" s="816" t="s">
        <v>104</v>
      </c>
      <c r="I844" s="816" t="s">
        <v>58</v>
      </c>
      <c r="J844" s="95"/>
      <c r="K844" s="95"/>
      <c r="L844" s="95"/>
      <c r="M844" s="95"/>
      <c r="N844" s="95"/>
      <c r="O844" s="93"/>
    </row>
    <row r="845" spans="1:15" x14ac:dyDescent="0.25">
      <c r="A845" s="89">
        <v>10</v>
      </c>
      <c r="B845" s="945" t="s">
        <v>290</v>
      </c>
      <c r="C845" s="89" t="s">
        <v>1531</v>
      </c>
      <c r="D845" s="946">
        <v>0.06</v>
      </c>
      <c r="E845" s="954" t="s">
        <v>101</v>
      </c>
      <c r="F845" s="953">
        <v>336</v>
      </c>
      <c r="G845" s="948" t="s">
        <v>1163</v>
      </c>
      <c r="H845" s="953">
        <v>4</v>
      </c>
      <c r="I845" s="949">
        <f>IF(H845="",D845*F845,D845*F845*H845)</f>
        <v>80.64</v>
      </c>
      <c r="J845" s="95"/>
      <c r="K845" s="95"/>
      <c r="L845" s="95"/>
      <c r="M845" s="95"/>
      <c r="N845" s="95"/>
      <c r="O845" s="93"/>
    </row>
    <row r="846" spans="1:15" x14ac:dyDescent="0.25">
      <c r="A846" s="948">
        <v>20</v>
      </c>
      <c r="B846" s="951" t="s">
        <v>790</v>
      </c>
      <c r="C846" s="947" t="s">
        <v>1530</v>
      </c>
      <c r="D846" s="950">
        <v>35</v>
      </c>
      <c r="E846" s="948" t="s">
        <v>241</v>
      </c>
      <c r="F846" s="959">
        <v>0.50900000000000001</v>
      </c>
      <c r="G846" s="948" t="s">
        <v>1163</v>
      </c>
      <c r="H846" s="948">
        <v>4</v>
      </c>
      <c r="I846" s="949">
        <f>IF(H846="",D846*F846,D846*F846*H846)</f>
        <v>71.260000000000005</v>
      </c>
      <c r="J846" s="95"/>
      <c r="K846" s="95"/>
      <c r="L846" s="95"/>
      <c r="M846" s="95"/>
      <c r="N846" s="95"/>
      <c r="O846" s="93"/>
    </row>
    <row r="847" spans="1:15" x14ac:dyDescent="0.25">
      <c r="A847" s="89">
        <v>30</v>
      </c>
      <c r="B847" s="951" t="s">
        <v>788</v>
      </c>
      <c r="C847" s="947" t="s">
        <v>1529</v>
      </c>
      <c r="D847" s="950">
        <v>5</v>
      </c>
      <c r="E847" s="948" t="s">
        <v>241</v>
      </c>
      <c r="F847" s="959">
        <v>0.50900000000000001</v>
      </c>
      <c r="G847" s="948" t="s">
        <v>1163</v>
      </c>
      <c r="H847" s="948">
        <v>4</v>
      </c>
      <c r="I847" s="949">
        <f>IF(H847="",D847*F847,D847*F847*H847)</f>
        <v>10.18</v>
      </c>
      <c r="J847" s="95"/>
      <c r="K847" s="95"/>
      <c r="L847" s="95"/>
      <c r="M847" s="95"/>
      <c r="N847" s="95"/>
      <c r="O847" s="93"/>
    </row>
    <row r="848" spans="1:15" x14ac:dyDescent="0.25">
      <c r="A848" s="948">
        <v>40</v>
      </c>
      <c r="B848" s="945" t="s">
        <v>785</v>
      </c>
      <c r="C848" s="860" t="s">
        <v>1517</v>
      </c>
      <c r="D848" s="840">
        <v>10</v>
      </c>
      <c r="E848" s="858" t="s">
        <v>241</v>
      </c>
      <c r="F848" s="955">
        <v>0.50900000000000001</v>
      </c>
      <c r="G848" s="858"/>
      <c r="H848" s="858"/>
      <c r="I848" s="817">
        <f>IF(H848="",D848*F848,D848*F848*H848)</f>
        <v>5.09</v>
      </c>
      <c r="J848" s="95"/>
      <c r="K848" s="95"/>
      <c r="L848" s="95"/>
      <c r="M848" s="95"/>
      <c r="N848" s="95"/>
      <c r="O848" s="93"/>
    </row>
    <row r="849" spans="1:15" ht="30" x14ac:dyDescent="0.25">
      <c r="A849" s="848">
        <v>50</v>
      </c>
      <c r="B849" s="818" t="s">
        <v>296</v>
      </c>
      <c r="C849" s="860" t="s">
        <v>1528</v>
      </c>
      <c r="D849" s="840">
        <v>0.35</v>
      </c>
      <c r="E849" s="858" t="s">
        <v>64</v>
      </c>
      <c r="F849" s="858">
        <v>4</v>
      </c>
      <c r="G849" s="818" t="s">
        <v>1527</v>
      </c>
      <c r="H849" s="858">
        <v>2</v>
      </c>
      <c r="I849" s="817">
        <f>IF(H849="",D849*F849,D849*F849*H849)</f>
        <v>2.8</v>
      </c>
      <c r="J849" s="142"/>
      <c r="K849" s="752"/>
      <c r="L849" s="142"/>
      <c r="M849" s="752"/>
      <c r="N849" s="142"/>
      <c r="O849" s="120"/>
    </row>
    <row r="850" spans="1:15" x14ac:dyDescent="0.25">
      <c r="A850" s="98"/>
      <c r="B850" s="95"/>
      <c r="C850" s="95"/>
      <c r="D850" s="95"/>
      <c r="E850" s="95"/>
      <c r="F850" s="95"/>
      <c r="G850" s="95"/>
      <c r="H850" s="751" t="s">
        <v>58</v>
      </c>
      <c r="I850" s="750">
        <f>SUM(I845:I849)</f>
        <v>169.97000000000003</v>
      </c>
      <c r="J850" s="95"/>
      <c r="K850" s="95"/>
      <c r="L850" s="95"/>
      <c r="M850" s="95"/>
      <c r="N850" s="95"/>
      <c r="O850" s="93"/>
    </row>
    <row r="851" spans="1:15" x14ac:dyDescent="0.25">
      <c r="A851" s="98"/>
      <c r="B851" s="95"/>
      <c r="C851" s="95"/>
      <c r="D851" s="95"/>
      <c r="E851" s="95"/>
      <c r="F851" s="95"/>
      <c r="G851" s="95"/>
      <c r="J851" s="95"/>
      <c r="K851" s="95"/>
      <c r="L851" s="95"/>
      <c r="M851" s="95"/>
      <c r="N851" s="95"/>
      <c r="O851" s="93"/>
    </row>
    <row r="852" spans="1:15" x14ac:dyDescent="0.25">
      <c r="A852" s="944" t="s">
        <v>67</v>
      </c>
      <c r="B852" s="944" t="s">
        <v>13</v>
      </c>
      <c r="C852" s="944" t="s">
        <v>66</v>
      </c>
      <c r="D852" s="944" t="s">
        <v>65</v>
      </c>
      <c r="E852" s="944" t="s">
        <v>64</v>
      </c>
      <c r="F852" s="944" t="s">
        <v>40</v>
      </c>
      <c r="G852" s="944" t="s">
        <v>63</v>
      </c>
      <c r="H852" s="944" t="s">
        <v>741</v>
      </c>
      <c r="I852" s="944" t="s">
        <v>58</v>
      </c>
      <c r="J852" s="95"/>
      <c r="K852" s="95"/>
      <c r="L852" s="95"/>
      <c r="M852" s="95"/>
      <c r="N852" s="95"/>
      <c r="O852" s="93"/>
    </row>
    <row r="853" spans="1:15" x14ac:dyDescent="0.25">
      <c r="A853" s="858">
        <v>10</v>
      </c>
      <c r="B853" s="858" t="s">
        <v>1526</v>
      </c>
      <c r="C853" s="858" t="s">
        <v>1535</v>
      </c>
      <c r="D853" s="840">
        <v>1000</v>
      </c>
      <c r="E853" s="858" t="s">
        <v>241</v>
      </c>
      <c r="F853" s="956">
        <v>0.50900000000000001</v>
      </c>
      <c r="G853" s="858">
        <v>3000</v>
      </c>
      <c r="H853" s="858">
        <v>1</v>
      </c>
      <c r="I853" s="845">
        <f>D853*F853/(G853*H853)</f>
        <v>0.16966666666666666</v>
      </c>
      <c r="J853" s="95"/>
      <c r="K853" s="95"/>
      <c r="L853" s="95"/>
      <c r="M853" s="95"/>
      <c r="N853" s="95"/>
      <c r="O853" s="93"/>
    </row>
    <row r="854" spans="1:15" x14ac:dyDescent="0.25">
      <c r="A854" s="763"/>
      <c r="B854" s="763"/>
      <c r="C854" s="763"/>
      <c r="D854" s="763"/>
      <c r="E854" s="763"/>
      <c r="F854" s="763"/>
      <c r="G854" s="763"/>
      <c r="H854" s="762" t="s">
        <v>58</v>
      </c>
      <c r="I854" s="761">
        <f>I853</f>
        <v>0.16966666666666666</v>
      </c>
      <c r="J854" s="95"/>
      <c r="K854" s="95"/>
      <c r="L854" s="95"/>
      <c r="M854" s="95"/>
      <c r="N854" s="95"/>
      <c r="O854" s="93"/>
    </row>
    <row r="855" spans="1:15" ht="15.75" thickBot="1" x14ac:dyDescent="0.3">
      <c r="A855" s="92"/>
      <c r="B855" s="91"/>
      <c r="C855" s="91"/>
      <c r="D855" s="91"/>
      <c r="E855" s="91"/>
      <c r="F855" s="91"/>
      <c r="G855" s="91"/>
      <c r="H855" s="91"/>
      <c r="I855" s="91"/>
      <c r="J855" s="91"/>
      <c r="K855" s="91"/>
      <c r="L855" s="91"/>
      <c r="M855" s="91"/>
      <c r="N855" s="91"/>
      <c r="O855" s="90"/>
    </row>
    <row r="856" spans="1:15" ht="15.75" thickBot="1" x14ac:dyDescent="0.3"/>
    <row r="857" spans="1:15" x14ac:dyDescent="0.25">
      <c r="A857" s="141"/>
      <c r="B857" s="140"/>
      <c r="C857" s="140"/>
      <c r="D857" s="140"/>
      <c r="E857" s="140"/>
      <c r="F857" s="140"/>
      <c r="G857" s="140"/>
      <c r="H857" s="140"/>
      <c r="I857" s="140"/>
      <c r="J857" s="272"/>
      <c r="K857" s="140"/>
      <c r="L857" s="140"/>
      <c r="M857" s="140"/>
      <c r="N857" s="140"/>
      <c r="O857" s="139"/>
    </row>
    <row r="858" spans="1:15" x14ac:dyDescent="0.25">
      <c r="A858" s="757" t="s">
        <v>57</v>
      </c>
      <c r="B858" s="133" t="s">
        <v>523</v>
      </c>
      <c r="C858" s="94"/>
      <c r="D858" s="94"/>
      <c r="E858" s="94"/>
      <c r="F858" s="94"/>
      <c r="G858" s="94"/>
      <c r="H858" s="94"/>
      <c r="I858" s="94"/>
      <c r="J858" s="760" t="s">
        <v>51</v>
      </c>
      <c r="K858" s="138">
        <v>81</v>
      </c>
      <c r="L858" s="94"/>
      <c r="M858" s="757" t="s">
        <v>113</v>
      </c>
      <c r="N858" s="100">
        <f>FR_06003_m+FR_06003_p+FR_06003_t</f>
        <v>322.83966666666669</v>
      </c>
      <c r="O858" s="93"/>
    </row>
    <row r="859" spans="1:15" x14ac:dyDescent="0.25">
      <c r="A859" s="757" t="s">
        <v>125</v>
      </c>
      <c r="B859" s="133" t="s">
        <v>1412</v>
      </c>
      <c r="C859" s="94"/>
      <c r="D859" s="757" t="s">
        <v>122</v>
      </c>
      <c r="E859" s="94"/>
      <c r="F859" s="94"/>
      <c r="G859" s="94"/>
      <c r="H859" s="94"/>
      <c r="I859" s="94"/>
      <c r="J859" s="94"/>
      <c r="K859" s="94"/>
      <c r="L859" s="94"/>
      <c r="M859" s="757" t="s">
        <v>124</v>
      </c>
      <c r="N859" s="136">
        <v>1</v>
      </c>
      <c r="O859" s="93"/>
    </row>
    <row r="860" spans="1:15" x14ac:dyDescent="0.25">
      <c r="A860" s="757" t="s">
        <v>123</v>
      </c>
      <c r="B860" s="270" t="str">
        <f>'FR Assemblies'!B278</f>
        <v>Body</v>
      </c>
      <c r="C860" s="94"/>
      <c r="D860" s="757" t="s">
        <v>119</v>
      </c>
      <c r="E860" s="94"/>
      <c r="F860" s="94"/>
      <c r="G860" s="94"/>
      <c r="H860" s="94"/>
      <c r="I860" s="94"/>
      <c r="J860" s="758" t="s">
        <v>122</v>
      </c>
      <c r="K860" s="94"/>
      <c r="L860" s="94"/>
      <c r="M860" s="94"/>
      <c r="N860" s="94"/>
      <c r="O860" s="93"/>
    </row>
    <row r="861" spans="1:15" x14ac:dyDescent="0.25">
      <c r="A861" s="757" t="s">
        <v>114</v>
      </c>
      <c r="B861" s="759" t="s">
        <v>1534</v>
      </c>
      <c r="C861" s="94"/>
      <c r="D861" s="757" t="s">
        <v>116</v>
      </c>
      <c r="E861" s="94"/>
      <c r="F861" s="94"/>
      <c r="G861" s="94"/>
      <c r="H861" s="94"/>
      <c r="I861" s="94"/>
      <c r="J861" s="758" t="s">
        <v>119</v>
      </c>
      <c r="K861" s="94"/>
      <c r="L861" s="94"/>
      <c r="M861" s="757" t="s">
        <v>118</v>
      </c>
      <c r="N861" s="100">
        <f>N859*N858</f>
        <v>322.83966666666669</v>
      </c>
      <c r="O861" s="93"/>
    </row>
    <row r="862" spans="1:15" x14ac:dyDescent="0.25">
      <c r="A862" s="757" t="s">
        <v>121</v>
      </c>
      <c r="B862" s="269" t="s">
        <v>1533</v>
      </c>
      <c r="C862" s="94"/>
      <c r="D862" s="94"/>
      <c r="E862" s="94"/>
      <c r="F862" s="94"/>
      <c r="G862" s="94"/>
      <c r="H862" s="94"/>
      <c r="I862" s="94"/>
      <c r="J862" s="758" t="s">
        <v>116</v>
      </c>
      <c r="K862" s="94"/>
      <c r="L862" s="94"/>
      <c r="M862" s="94"/>
      <c r="N862" s="94"/>
      <c r="O862" s="93"/>
    </row>
    <row r="863" spans="1:15" x14ac:dyDescent="0.25">
      <c r="A863" s="757" t="s">
        <v>117</v>
      </c>
      <c r="B863" s="133" t="s">
        <v>23</v>
      </c>
      <c r="C863" s="94"/>
      <c r="D863" s="94"/>
      <c r="E863" s="94"/>
      <c r="F863" s="94"/>
      <c r="G863" s="94"/>
      <c r="H863" s="94"/>
      <c r="I863" s="94"/>
      <c r="J863" s="94"/>
      <c r="K863" s="94"/>
      <c r="L863" s="94"/>
      <c r="M863" s="94"/>
      <c r="N863" s="94"/>
      <c r="O863" s="93"/>
    </row>
    <row r="864" spans="1:15" x14ac:dyDescent="0.25">
      <c r="A864" s="757" t="s">
        <v>115</v>
      </c>
      <c r="B864" s="764"/>
      <c r="C864" s="94"/>
      <c r="D864" s="94"/>
      <c r="E864" s="94"/>
      <c r="F864" s="94"/>
      <c r="G864" s="94"/>
      <c r="H864" s="94"/>
      <c r="I864" s="94"/>
      <c r="J864" s="94"/>
      <c r="K864" s="94"/>
      <c r="L864" s="94"/>
      <c r="M864" s="94"/>
      <c r="N864" s="94"/>
      <c r="O864" s="93"/>
    </row>
    <row r="865" spans="1:15" x14ac:dyDescent="0.25">
      <c r="A865" s="266"/>
      <c r="B865" s="265"/>
      <c r="C865" s="265"/>
      <c r="D865" s="265"/>
      <c r="E865" s="265"/>
      <c r="F865" s="94"/>
      <c r="G865" s="94"/>
      <c r="H865" s="94"/>
      <c r="I865" s="94"/>
      <c r="J865" s="94"/>
      <c r="K865" s="94"/>
      <c r="L865" s="94"/>
      <c r="M865" s="94"/>
      <c r="N865" s="94"/>
      <c r="O865" s="93"/>
    </row>
    <row r="866" spans="1:15" x14ac:dyDescent="0.25">
      <c r="A866" s="756" t="s">
        <v>67</v>
      </c>
      <c r="B866" s="755" t="s">
        <v>112</v>
      </c>
      <c r="C866" s="755" t="s">
        <v>66</v>
      </c>
      <c r="D866" s="755" t="s">
        <v>65</v>
      </c>
      <c r="E866" s="755" t="s">
        <v>81</v>
      </c>
      <c r="F866" s="816" t="s">
        <v>80</v>
      </c>
      <c r="G866" s="816" t="s">
        <v>79</v>
      </c>
      <c r="H866" s="816" t="s">
        <v>78</v>
      </c>
      <c r="I866" s="816" t="s">
        <v>111</v>
      </c>
      <c r="J866" s="816" t="s">
        <v>110</v>
      </c>
      <c r="K866" s="816" t="s">
        <v>109</v>
      </c>
      <c r="L866" s="816" t="s">
        <v>108</v>
      </c>
      <c r="M866" s="816" t="s">
        <v>40</v>
      </c>
      <c r="N866" s="816" t="s">
        <v>58</v>
      </c>
      <c r="O866" s="93"/>
    </row>
    <row r="867" spans="1:15" x14ac:dyDescent="0.25">
      <c r="A867" s="858">
        <v>10</v>
      </c>
      <c r="B867" s="858" t="s">
        <v>1000</v>
      </c>
      <c r="C867" s="943" t="s">
        <v>1521</v>
      </c>
      <c r="D867" s="840">
        <v>200</v>
      </c>
      <c r="E867" s="958">
        <v>0.2545</v>
      </c>
      <c r="F867" s="858" t="s">
        <v>794</v>
      </c>
      <c r="G867" s="858"/>
      <c r="H867" s="843"/>
      <c r="I867" s="942"/>
      <c r="J867" s="844">
        <v>0.50900000000000001</v>
      </c>
      <c r="K867" s="850"/>
      <c r="L867" s="843"/>
      <c r="M867" s="842">
        <v>2</v>
      </c>
      <c r="N867" s="809">
        <f>D867*E867*M867</f>
        <v>101.8</v>
      </c>
      <c r="O867" s="93"/>
    </row>
    <row r="868" spans="1:15" x14ac:dyDescent="0.25">
      <c r="A868" s="858">
        <v>20</v>
      </c>
      <c r="B868" s="943" t="s">
        <v>1532</v>
      </c>
      <c r="C868" s="943" t="s">
        <v>1521</v>
      </c>
      <c r="D868" s="840">
        <v>100</v>
      </c>
      <c r="E868" s="958">
        <v>0.2545</v>
      </c>
      <c r="F868" s="858" t="s">
        <v>794</v>
      </c>
      <c r="G868" s="858"/>
      <c r="H868" s="843"/>
      <c r="I868" s="942"/>
      <c r="J868" s="844">
        <v>0.50900000000000001</v>
      </c>
      <c r="K868" s="850"/>
      <c r="L868" s="843"/>
      <c r="M868" s="842">
        <v>2</v>
      </c>
      <c r="N868" s="809">
        <f>D868*E868*M868</f>
        <v>50.9</v>
      </c>
      <c r="O868" s="93"/>
    </row>
    <row r="869" spans="1:15" x14ac:dyDescent="0.25">
      <c r="A869" s="98"/>
      <c r="B869" s="95"/>
      <c r="C869" s="95"/>
      <c r="D869" s="95"/>
      <c r="E869" s="95"/>
      <c r="F869" s="95"/>
      <c r="G869" s="95"/>
      <c r="H869" s="95"/>
      <c r="I869" s="95"/>
      <c r="J869" s="754"/>
      <c r="K869" s="754"/>
      <c r="L869" s="95"/>
      <c r="M869" s="808" t="s">
        <v>58</v>
      </c>
      <c r="N869" s="750">
        <f>SUM(N867:N868)</f>
        <v>152.69999999999999</v>
      </c>
      <c r="O869" s="93"/>
    </row>
    <row r="870" spans="1:15" x14ac:dyDescent="0.25">
      <c r="A870" s="107"/>
      <c r="B870" s="94"/>
      <c r="C870" s="94"/>
      <c r="D870" s="94"/>
      <c r="E870" s="94"/>
      <c r="F870" s="94"/>
      <c r="G870" s="94"/>
      <c r="H870" s="94"/>
      <c r="I870" s="94"/>
      <c r="J870" s="94"/>
      <c r="K870" s="94"/>
      <c r="L870" s="94"/>
      <c r="M870" s="94"/>
      <c r="N870" s="94"/>
      <c r="O870" s="93"/>
    </row>
    <row r="871" spans="1:15" x14ac:dyDescent="0.25">
      <c r="A871" s="797" t="s">
        <v>67</v>
      </c>
      <c r="B871" s="816" t="s">
        <v>106</v>
      </c>
      <c r="C871" s="816" t="s">
        <v>66</v>
      </c>
      <c r="D871" s="816" t="s">
        <v>65</v>
      </c>
      <c r="E871" s="816" t="s">
        <v>64</v>
      </c>
      <c r="F871" s="816" t="s">
        <v>40</v>
      </c>
      <c r="G871" s="816" t="s">
        <v>105</v>
      </c>
      <c r="H871" s="816" t="s">
        <v>104</v>
      </c>
      <c r="I871" s="816" t="s">
        <v>58</v>
      </c>
      <c r="J871" s="95"/>
      <c r="K871" s="95"/>
      <c r="L871" s="95"/>
      <c r="M871" s="95"/>
      <c r="N871" s="95"/>
      <c r="O871" s="93"/>
    </row>
    <row r="872" spans="1:15" x14ac:dyDescent="0.25">
      <c r="A872" s="89">
        <v>10</v>
      </c>
      <c r="B872" s="945" t="s">
        <v>290</v>
      </c>
      <c r="C872" s="89" t="s">
        <v>1531</v>
      </c>
      <c r="D872" s="946">
        <v>0.06</v>
      </c>
      <c r="E872" s="954" t="s">
        <v>101</v>
      </c>
      <c r="F872" s="953">
        <v>336</v>
      </c>
      <c r="G872" s="948" t="s">
        <v>1163</v>
      </c>
      <c r="H872" s="953">
        <v>4</v>
      </c>
      <c r="I872" s="949">
        <f>IF(H872="",D872*F872,D872*F872*H872)</f>
        <v>80.64</v>
      </c>
    </row>
    <row r="873" spans="1:15" x14ac:dyDescent="0.25">
      <c r="A873" s="948">
        <v>20</v>
      </c>
      <c r="B873" s="951" t="s">
        <v>790</v>
      </c>
      <c r="C873" s="947" t="s">
        <v>1530</v>
      </c>
      <c r="D873" s="950">
        <v>35</v>
      </c>
      <c r="E873" s="948" t="s">
        <v>241</v>
      </c>
      <c r="F873" s="948">
        <v>0.50900000000000001</v>
      </c>
      <c r="G873" s="948" t="s">
        <v>1163</v>
      </c>
      <c r="H873" s="948">
        <v>4</v>
      </c>
      <c r="I873" s="949">
        <f>IF(H873="",D873*F873,D873*F873*H873)</f>
        <v>71.260000000000005</v>
      </c>
      <c r="J873" s="95"/>
      <c r="K873" s="95"/>
      <c r="L873" s="95"/>
      <c r="M873" s="95"/>
      <c r="N873" s="95"/>
      <c r="O873" s="93"/>
    </row>
    <row r="874" spans="1:15" x14ac:dyDescent="0.25">
      <c r="A874" s="89">
        <v>30</v>
      </c>
      <c r="B874" s="951" t="s">
        <v>788</v>
      </c>
      <c r="C874" s="947" t="s">
        <v>1529</v>
      </c>
      <c r="D874" s="950">
        <v>5</v>
      </c>
      <c r="E874" s="948" t="s">
        <v>241</v>
      </c>
      <c r="F874" s="957">
        <v>0.50900000000000001</v>
      </c>
      <c r="G874" s="948" t="s">
        <v>1163</v>
      </c>
      <c r="H874" s="948">
        <v>4</v>
      </c>
      <c r="I874" s="949">
        <f>IF(H874="",D874*F874,D874*F874*H874)</f>
        <v>10.18</v>
      </c>
      <c r="J874" s="95"/>
      <c r="K874" s="95"/>
      <c r="L874" s="95"/>
      <c r="M874" s="95"/>
      <c r="N874" s="95"/>
      <c r="O874" s="93"/>
    </row>
    <row r="875" spans="1:15" x14ac:dyDescent="0.25">
      <c r="A875" s="948">
        <v>40</v>
      </c>
      <c r="B875" s="945" t="s">
        <v>785</v>
      </c>
      <c r="C875" s="860" t="s">
        <v>1517</v>
      </c>
      <c r="D875" s="840">
        <v>10</v>
      </c>
      <c r="E875" s="858" t="s">
        <v>241</v>
      </c>
      <c r="F875" s="956">
        <v>0.50900000000000001</v>
      </c>
      <c r="G875" s="858"/>
      <c r="H875" s="858"/>
      <c r="I875" s="817">
        <f>IF(H875="",D875*F875,D875*F875*H875)</f>
        <v>5.09</v>
      </c>
      <c r="J875" s="95"/>
      <c r="K875" s="95"/>
      <c r="L875" s="95"/>
      <c r="M875" s="95"/>
      <c r="N875" s="95"/>
      <c r="O875" s="93"/>
    </row>
    <row r="876" spans="1:15" ht="30" x14ac:dyDescent="0.25">
      <c r="A876" s="848">
        <v>50</v>
      </c>
      <c r="B876" s="818" t="s">
        <v>296</v>
      </c>
      <c r="C876" s="860" t="s">
        <v>1528</v>
      </c>
      <c r="D876" s="840">
        <v>0.35</v>
      </c>
      <c r="E876" s="858" t="s">
        <v>64</v>
      </c>
      <c r="F876" s="858">
        <v>4</v>
      </c>
      <c r="G876" s="818" t="s">
        <v>1527</v>
      </c>
      <c r="H876" s="858">
        <v>2</v>
      </c>
      <c r="I876" s="817">
        <f>IF(H876="",D876*F876,D876*F876*H876)</f>
        <v>2.8</v>
      </c>
      <c r="J876" s="142"/>
      <c r="K876" s="752"/>
      <c r="L876" s="142"/>
      <c r="M876" s="752"/>
      <c r="N876" s="142"/>
      <c r="O876" s="120"/>
    </row>
    <row r="877" spans="1:15" x14ac:dyDescent="0.25">
      <c r="A877" s="98"/>
      <c r="B877" s="95"/>
      <c r="C877" s="95"/>
      <c r="D877" s="95"/>
      <c r="E877" s="95"/>
      <c r="F877" s="95"/>
      <c r="G877" s="95"/>
      <c r="H877" s="751" t="s">
        <v>58</v>
      </c>
      <c r="I877" s="750">
        <f>SUM(I872:I876)</f>
        <v>169.97000000000003</v>
      </c>
      <c r="J877" s="95"/>
      <c r="K877" s="95"/>
      <c r="L877" s="95"/>
      <c r="M877" s="95"/>
      <c r="N877" s="95"/>
      <c r="O877" s="93"/>
    </row>
    <row r="878" spans="1:15" x14ac:dyDescent="0.25">
      <c r="A878" s="98"/>
      <c r="B878" s="95"/>
      <c r="C878" s="95"/>
      <c r="D878" s="95"/>
      <c r="E878" s="95"/>
      <c r="F878" s="95"/>
      <c r="G878" s="95"/>
      <c r="J878" s="95"/>
      <c r="K878" s="95"/>
      <c r="L878" s="95"/>
      <c r="M878" s="95"/>
      <c r="N878" s="95"/>
      <c r="O878" s="93"/>
    </row>
    <row r="879" spans="1:15" x14ac:dyDescent="0.25">
      <c r="A879" s="944" t="s">
        <v>67</v>
      </c>
      <c r="B879" s="944" t="s">
        <v>13</v>
      </c>
      <c r="C879" s="944" t="s">
        <v>66</v>
      </c>
      <c r="D879" s="944" t="s">
        <v>65</v>
      </c>
      <c r="E879" s="944" t="s">
        <v>64</v>
      </c>
      <c r="F879" s="944" t="s">
        <v>40</v>
      </c>
      <c r="G879" s="944" t="s">
        <v>63</v>
      </c>
      <c r="H879" s="944" t="s">
        <v>741</v>
      </c>
      <c r="I879" s="944" t="s">
        <v>58</v>
      </c>
      <c r="J879" s="95"/>
      <c r="K879" s="95"/>
      <c r="L879" s="95"/>
      <c r="M879" s="95"/>
      <c r="N879" s="95"/>
      <c r="O879" s="93"/>
    </row>
    <row r="880" spans="1:15" x14ac:dyDescent="0.25">
      <c r="A880" s="858">
        <v>10</v>
      </c>
      <c r="B880" s="858" t="s">
        <v>1526</v>
      </c>
      <c r="C880" s="858" t="s">
        <v>1525</v>
      </c>
      <c r="D880" s="840">
        <v>1000</v>
      </c>
      <c r="E880" s="858" t="s">
        <v>241</v>
      </c>
      <c r="F880" s="956">
        <v>0.50900000000000001</v>
      </c>
      <c r="G880" s="858">
        <v>3000</v>
      </c>
      <c r="H880" s="858">
        <v>1</v>
      </c>
      <c r="I880" s="845">
        <f>D880*F880/(G880*H880)</f>
        <v>0.16966666666666666</v>
      </c>
      <c r="J880" s="95"/>
      <c r="K880" s="95"/>
      <c r="L880" s="95"/>
      <c r="M880" s="95"/>
      <c r="N880" s="95"/>
      <c r="O880" s="93"/>
    </row>
    <row r="881" spans="1:15" x14ac:dyDescent="0.25">
      <c r="A881" s="763"/>
      <c r="B881" s="763"/>
      <c r="C881" s="763"/>
      <c r="D881" s="763"/>
      <c r="E881" s="763"/>
      <c r="F881" s="763"/>
      <c r="G881" s="763"/>
      <c r="H881" s="762" t="s">
        <v>58</v>
      </c>
      <c r="I881" s="761">
        <f>I880</f>
        <v>0.16966666666666666</v>
      </c>
      <c r="J881" s="95"/>
      <c r="K881" s="95"/>
      <c r="L881" s="95"/>
      <c r="M881" s="95"/>
      <c r="N881" s="95"/>
      <c r="O881" s="93"/>
    </row>
    <row r="882" spans="1:15" ht="15.75" thickBot="1" x14ac:dyDescent="0.3">
      <c r="A882" s="92"/>
      <c r="B882" s="91"/>
      <c r="C882" s="91"/>
      <c r="D882" s="91"/>
      <c r="E882" s="91"/>
      <c r="F882" s="91"/>
      <c r="G882" s="91"/>
      <c r="H882" s="91"/>
      <c r="I882" s="91"/>
      <c r="J882" s="91"/>
      <c r="K882" s="91"/>
      <c r="L882" s="91"/>
      <c r="M882" s="91"/>
      <c r="N882" s="91"/>
      <c r="O882" s="90"/>
    </row>
    <row r="883" spans="1:15" ht="15.75" thickBot="1" x14ac:dyDescent="0.3"/>
    <row r="884" spans="1:15" x14ac:dyDescent="0.25">
      <c r="A884" s="141"/>
      <c r="B884" s="140"/>
      <c r="C884" s="140"/>
      <c r="D884" s="140"/>
      <c r="E884" s="140"/>
      <c r="F884" s="140"/>
      <c r="G884" s="140"/>
      <c r="H884" s="140"/>
      <c r="I884" s="140"/>
      <c r="J884" s="272"/>
      <c r="K884" s="140"/>
      <c r="L884" s="140"/>
      <c r="M884" s="140"/>
      <c r="N884" s="140"/>
      <c r="O884" s="139"/>
    </row>
    <row r="885" spans="1:15" x14ac:dyDescent="0.25">
      <c r="A885" s="757" t="s">
        <v>57</v>
      </c>
      <c r="B885" s="133" t="s">
        <v>523</v>
      </c>
      <c r="C885" s="94"/>
      <c r="D885" s="94"/>
      <c r="E885" s="94"/>
      <c r="F885" s="94"/>
      <c r="G885" s="94"/>
      <c r="H885" s="94"/>
      <c r="I885" s="94"/>
      <c r="J885" s="760" t="s">
        <v>51</v>
      </c>
      <c r="K885" s="138">
        <v>81</v>
      </c>
      <c r="L885" s="94"/>
      <c r="M885" s="757" t="s">
        <v>113</v>
      </c>
      <c r="N885" s="100">
        <f>FR_06004_m+FR_06004_p+FR_06004_t</f>
        <v>271.8837801616915</v>
      </c>
      <c r="O885" s="93"/>
    </row>
    <row r="886" spans="1:15" x14ac:dyDescent="0.25">
      <c r="A886" s="757" t="s">
        <v>125</v>
      </c>
      <c r="B886" s="133" t="s">
        <v>1412</v>
      </c>
      <c r="C886" s="94"/>
      <c r="D886" s="757" t="s">
        <v>122</v>
      </c>
      <c r="E886" s="94"/>
      <c r="F886" s="94"/>
      <c r="G886" s="94"/>
      <c r="H886" s="94"/>
      <c r="I886" s="94"/>
      <c r="J886" s="94"/>
      <c r="K886" s="94"/>
      <c r="L886" s="94"/>
      <c r="M886" s="757" t="s">
        <v>124</v>
      </c>
      <c r="N886" s="136">
        <v>2</v>
      </c>
      <c r="O886" s="93"/>
    </row>
    <row r="887" spans="1:15" x14ac:dyDescent="0.25">
      <c r="A887" s="757" t="s">
        <v>123</v>
      </c>
      <c r="B887" s="270" t="str">
        <f>'FR Assemblies'!B278</f>
        <v>Body</v>
      </c>
      <c r="C887" s="94"/>
      <c r="D887" s="757" t="s">
        <v>119</v>
      </c>
      <c r="E887" s="94"/>
      <c r="F887" s="94"/>
      <c r="G887" s="94"/>
      <c r="H887" s="94"/>
      <c r="I887" s="94"/>
      <c r="J887" s="758" t="s">
        <v>122</v>
      </c>
      <c r="K887" s="94"/>
      <c r="L887" s="94"/>
      <c r="M887" s="94"/>
      <c r="N887" s="94"/>
      <c r="O887" s="93"/>
    </row>
    <row r="888" spans="1:15" x14ac:dyDescent="0.25">
      <c r="A888" s="757" t="s">
        <v>114</v>
      </c>
      <c r="B888" s="759" t="s">
        <v>1398</v>
      </c>
      <c r="C888" s="94"/>
      <c r="D888" s="757" t="s">
        <v>116</v>
      </c>
      <c r="E888" s="94"/>
      <c r="F888" s="94"/>
      <c r="G888" s="94"/>
      <c r="H888" s="94"/>
      <c r="I888" s="94"/>
      <c r="J888" s="758" t="s">
        <v>119</v>
      </c>
      <c r="K888" s="94"/>
      <c r="L888" s="94"/>
      <c r="M888" s="757" t="s">
        <v>118</v>
      </c>
      <c r="N888" s="100">
        <f>N886*N885</f>
        <v>543.76756032338301</v>
      </c>
      <c r="O888" s="93"/>
    </row>
    <row r="889" spans="1:15" x14ac:dyDescent="0.25">
      <c r="A889" s="757" t="s">
        <v>121</v>
      </c>
      <c r="B889" s="269" t="s">
        <v>1524</v>
      </c>
      <c r="C889" s="94"/>
      <c r="D889" s="94"/>
      <c r="E889" s="94"/>
      <c r="F889" s="94"/>
      <c r="G889" s="94"/>
      <c r="H889" s="94"/>
      <c r="I889" s="94"/>
      <c r="J889" s="758" t="s">
        <v>116</v>
      </c>
      <c r="K889" s="94"/>
      <c r="L889" s="94"/>
      <c r="M889" s="94"/>
      <c r="N889" s="94"/>
      <c r="O889" s="93"/>
    </row>
    <row r="890" spans="1:15" x14ac:dyDescent="0.25">
      <c r="A890" s="757" t="s">
        <v>117</v>
      </c>
      <c r="B890" s="133" t="s">
        <v>23</v>
      </c>
      <c r="C890" s="94"/>
      <c r="D890" s="94"/>
      <c r="E890" s="94"/>
      <c r="F890" s="94"/>
      <c r="G890" s="94"/>
      <c r="H890" s="94"/>
      <c r="I890" s="94"/>
      <c r="J890" s="94"/>
      <c r="K890" s="94"/>
      <c r="L890" s="94"/>
      <c r="M890" s="94"/>
      <c r="N890" s="94"/>
      <c r="O890" s="93"/>
    </row>
    <row r="891" spans="1:15" x14ac:dyDescent="0.25">
      <c r="A891" s="757" t="s">
        <v>115</v>
      </c>
      <c r="B891" s="735" t="s">
        <v>1523</v>
      </c>
      <c r="C891" s="94"/>
      <c r="D891" s="94"/>
      <c r="E891" s="94"/>
      <c r="F891" s="94"/>
      <c r="G891" s="94"/>
      <c r="H891" s="94"/>
      <c r="I891" s="94"/>
      <c r="J891" s="94"/>
      <c r="K891" s="94"/>
      <c r="L891" s="94"/>
      <c r="M891" s="94"/>
      <c r="N891" s="94"/>
      <c r="O891" s="93"/>
    </row>
    <row r="892" spans="1:15" x14ac:dyDescent="0.25">
      <c r="A892" s="266"/>
      <c r="B892" s="265"/>
      <c r="C892" s="265"/>
      <c r="D892" s="265"/>
      <c r="E892" s="265"/>
      <c r="F892" s="94"/>
      <c r="G892" s="94"/>
      <c r="H892" s="94"/>
      <c r="I892" s="94"/>
      <c r="J892" s="94"/>
      <c r="K892" s="94"/>
      <c r="L892" s="94"/>
      <c r="M892" s="94"/>
      <c r="N892" s="94"/>
      <c r="O892" s="93"/>
    </row>
    <row r="893" spans="1:15" x14ac:dyDescent="0.25">
      <c r="A893" s="756" t="s">
        <v>67</v>
      </c>
      <c r="B893" s="755" t="s">
        <v>112</v>
      </c>
      <c r="C893" s="755" t="s">
        <v>66</v>
      </c>
      <c r="D893" s="755" t="s">
        <v>65</v>
      </c>
      <c r="E893" s="755" t="s">
        <v>81</v>
      </c>
      <c r="F893" s="816" t="s">
        <v>80</v>
      </c>
      <c r="G893" s="816" t="s">
        <v>79</v>
      </c>
      <c r="H893" s="816" t="s">
        <v>78</v>
      </c>
      <c r="I893" s="816" t="s">
        <v>111</v>
      </c>
      <c r="J893" s="816" t="s">
        <v>110</v>
      </c>
      <c r="K893" s="816" t="s">
        <v>109</v>
      </c>
      <c r="L893" s="816" t="s">
        <v>108</v>
      </c>
      <c r="M893" s="816" t="s">
        <v>40</v>
      </c>
      <c r="N893" s="816" t="s">
        <v>58</v>
      </c>
      <c r="O893" s="93"/>
    </row>
    <row r="894" spans="1:15" x14ac:dyDescent="0.25">
      <c r="A894" s="858">
        <v>10</v>
      </c>
      <c r="B894" s="858" t="s">
        <v>1000</v>
      </c>
      <c r="C894" s="943" t="s">
        <v>1521</v>
      </c>
      <c r="D894" s="840">
        <v>200</v>
      </c>
      <c r="E894" s="955">
        <f>0.161*0.517/0.402</f>
        <v>0.20705721393034826</v>
      </c>
      <c r="F894" s="858" t="s">
        <v>794</v>
      </c>
      <c r="G894" s="858"/>
      <c r="H894" s="843"/>
      <c r="I894" s="942"/>
      <c r="J894" s="850">
        <v>0.51700000000000002</v>
      </c>
      <c r="K894" s="850"/>
      <c r="L894" s="843"/>
      <c r="M894" s="842">
        <v>2</v>
      </c>
      <c r="N894" s="809">
        <f>D894*E894*M894</f>
        <v>82.822885572139299</v>
      </c>
      <c r="O894" s="93"/>
    </row>
    <row r="895" spans="1:15" x14ac:dyDescent="0.25">
      <c r="A895" s="858">
        <v>20</v>
      </c>
      <c r="B895" s="943" t="s">
        <v>1522</v>
      </c>
      <c r="C895" s="943" t="s">
        <v>1521</v>
      </c>
      <c r="D895" s="840">
        <v>150</v>
      </c>
      <c r="E895" s="955">
        <f>0.161*0.517/0.402</f>
        <v>0.20705721393034826</v>
      </c>
      <c r="F895" s="858" t="s">
        <v>794</v>
      </c>
      <c r="G895" s="858"/>
      <c r="H895" s="843"/>
      <c r="I895" s="942"/>
      <c r="J895" s="850">
        <v>0.51700000000000002</v>
      </c>
      <c r="K895" s="850"/>
      <c r="L895" s="843"/>
      <c r="M895" s="842">
        <v>1</v>
      </c>
      <c r="N895" s="809">
        <f>D895*E895*M895</f>
        <v>31.058582089552239</v>
      </c>
      <c r="O895" s="93"/>
    </row>
    <row r="896" spans="1:15" x14ac:dyDescent="0.25">
      <c r="A896" s="98"/>
      <c r="B896" s="95"/>
      <c r="C896" s="95"/>
      <c r="D896" s="95"/>
      <c r="E896" s="95"/>
      <c r="F896" s="95"/>
      <c r="G896" s="95"/>
      <c r="H896" s="95"/>
      <c r="I896" s="95"/>
      <c r="J896" s="754"/>
      <c r="K896" s="754"/>
      <c r="L896" s="95"/>
      <c r="M896" s="808" t="s">
        <v>58</v>
      </c>
      <c r="N896" s="750">
        <f>SUM(N894:N895)</f>
        <v>113.88146766169154</v>
      </c>
      <c r="O896" s="93"/>
    </row>
    <row r="897" spans="1:15" x14ac:dyDescent="0.25">
      <c r="A897" s="107"/>
      <c r="B897" s="94"/>
      <c r="C897" s="94"/>
      <c r="D897" s="94"/>
      <c r="E897" s="94"/>
      <c r="F897" s="94"/>
      <c r="G897" s="94"/>
      <c r="H897" s="94"/>
      <c r="I897" s="94"/>
      <c r="J897" s="94"/>
      <c r="K897" s="94"/>
      <c r="L897" s="94"/>
      <c r="M897" s="94"/>
      <c r="N897" s="94"/>
      <c r="O897" s="93"/>
    </row>
    <row r="898" spans="1:15" x14ac:dyDescent="0.25">
      <c r="A898" s="797" t="s">
        <v>67</v>
      </c>
      <c r="B898" s="816" t="s">
        <v>106</v>
      </c>
      <c r="C898" s="816" t="s">
        <v>66</v>
      </c>
      <c r="D898" s="816" t="s">
        <v>65</v>
      </c>
      <c r="E898" s="816" t="s">
        <v>64</v>
      </c>
      <c r="F898" s="816" t="s">
        <v>40</v>
      </c>
      <c r="G898" s="816" t="s">
        <v>105</v>
      </c>
      <c r="H898" s="816" t="s">
        <v>104</v>
      </c>
      <c r="I898" s="816" t="s">
        <v>58</v>
      </c>
      <c r="J898" s="95"/>
      <c r="K898" s="95"/>
      <c r="L898" s="95"/>
      <c r="M898" s="95"/>
      <c r="N898" s="95"/>
      <c r="O898" s="93"/>
    </row>
    <row r="899" spans="1:15" x14ac:dyDescent="0.25">
      <c r="A899" s="89">
        <v>10</v>
      </c>
      <c r="B899" s="945" t="s">
        <v>290</v>
      </c>
      <c r="C899" s="89" t="s">
        <v>1520</v>
      </c>
      <c r="D899" s="946">
        <v>0.06</v>
      </c>
      <c r="E899" s="954" t="s">
        <v>101</v>
      </c>
      <c r="F899" s="953">
        <v>387</v>
      </c>
      <c r="G899" s="953" t="s">
        <v>786</v>
      </c>
      <c r="H899" s="953">
        <v>3</v>
      </c>
      <c r="I899" s="949">
        <f t="shared" ref="I899:I905" si="8">IF(H899="",D899*F899,D899*F899*H899)</f>
        <v>69.66</v>
      </c>
      <c r="J899" s="95"/>
      <c r="K899" s="95"/>
      <c r="L899" s="95"/>
      <c r="M899" s="95"/>
      <c r="N899" s="95"/>
      <c r="O899" s="93"/>
    </row>
    <row r="900" spans="1:15" x14ac:dyDescent="0.25">
      <c r="A900" s="948">
        <v>20</v>
      </c>
      <c r="B900" s="951" t="s">
        <v>790</v>
      </c>
      <c r="C900" s="947" t="s">
        <v>1519</v>
      </c>
      <c r="D900" s="950">
        <v>35</v>
      </c>
      <c r="E900" s="948" t="s">
        <v>241</v>
      </c>
      <c r="F900" s="952">
        <f>J894</f>
        <v>0.51700000000000002</v>
      </c>
      <c r="G900" s="948" t="s">
        <v>786</v>
      </c>
      <c r="H900" s="948">
        <v>3</v>
      </c>
      <c r="I900" s="949">
        <f t="shared" si="8"/>
        <v>54.284999999999997</v>
      </c>
      <c r="J900" s="95"/>
      <c r="K900" s="95"/>
      <c r="L900" s="95"/>
      <c r="M900" s="95"/>
      <c r="N900" s="95"/>
      <c r="O900" s="93"/>
    </row>
    <row r="901" spans="1:15" x14ac:dyDescent="0.25">
      <c r="A901" s="89">
        <v>30</v>
      </c>
      <c r="B901" s="951" t="s">
        <v>788</v>
      </c>
      <c r="C901" s="947" t="s">
        <v>1518</v>
      </c>
      <c r="D901" s="950">
        <v>5</v>
      </c>
      <c r="E901" s="948" t="s">
        <v>241</v>
      </c>
      <c r="F901" s="952">
        <f>J895</f>
        <v>0.51700000000000002</v>
      </c>
      <c r="G901" s="948" t="s">
        <v>786</v>
      </c>
      <c r="H901" s="948">
        <v>3</v>
      </c>
      <c r="I901" s="949">
        <f t="shared" si="8"/>
        <v>7.7549999999999999</v>
      </c>
      <c r="J901" s="95"/>
      <c r="K901" s="95"/>
      <c r="L901" s="95"/>
      <c r="M901" s="95"/>
      <c r="N901" s="95"/>
      <c r="O901" s="93"/>
    </row>
    <row r="902" spans="1:15" x14ac:dyDescent="0.25">
      <c r="A902" s="948">
        <v>40</v>
      </c>
      <c r="B902" s="945" t="s">
        <v>785</v>
      </c>
      <c r="C902" s="947" t="s">
        <v>1517</v>
      </c>
      <c r="D902" s="950">
        <v>10</v>
      </c>
      <c r="E902" s="948" t="s">
        <v>241</v>
      </c>
      <c r="F902" s="952">
        <v>0.51700000000000002</v>
      </c>
      <c r="G902" s="948"/>
      <c r="H902" s="948"/>
      <c r="I902" s="949">
        <f t="shared" si="8"/>
        <v>5.17</v>
      </c>
      <c r="J902" s="95"/>
      <c r="K902" s="95"/>
      <c r="L902" s="95"/>
      <c r="M902" s="95"/>
      <c r="N902" s="95"/>
      <c r="O902" s="93"/>
    </row>
    <row r="903" spans="1:15" x14ac:dyDescent="0.25">
      <c r="A903" s="89">
        <v>50</v>
      </c>
      <c r="B903" s="951" t="s">
        <v>516</v>
      </c>
      <c r="C903" s="947" t="s">
        <v>528</v>
      </c>
      <c r="D903" s="950">
        <v>1.3</v>
      </c>
      <c r="E903" s="948" t="s">
        <v>64</v>
      </c>
      <c r="F903" s="948">
        <v>1</v>
      </c>
      <c r="G903" s="948"/>
      <c r="H903" s="948"/>
      <c r="I903" s="949">
        <f t="shared" si="8"/>
        <v>1.3</v>
      </c>
      <c r="J903" s="95"/>
      <c r="K903" s="95"/>
      <c r="L903" s="95"/>
      <c r="M903" s="95"/>
      <c r="N903" s="95"/>
      <c r="O903" s="93"/>
    </row>
    <row r="904" spans="1:15" ht="30" x14ac:dyDescent="0.25">
      <c r="A904" s="948">
        <v>60</v>
      </c>
      <c r="B904" s="947" t="s">
        <v>1516</v>
      </c>
      <c r="C904" s="947" t="s">
        <v>1515</v>
      </c>
      <c r="D904" s="946">
        <v>0.01</v>
      </c>
      <c r="E904" s="945" t="s">
        <v>101</v>
      </c>
      <c r="F904" s="858">
        <f>131+579</f>
        <v>710</v>
      </c>
      <c r="G904" s="818" t="s">
        <v>1513</v>
      </c>
      <c r="H904" s="858">
        <v>2</v>
      </c>
      <c r="I904" s="817">
        <f t="shared" si="8"/>
        <v>14.200000000000001</v>
      </c>
      <c r="J904" s="95"/>
      <c r="K904" s="95"/>
      <c r="L904" s="95"/>
      <c r="M904" s="95"/>
      <c r="N904" s="95"/>
      <c r="O904" s="93"/>
    </row>
    <row r="905" spans="1:15" ht="30" x14ac:dyDescent="0.25">
      <c r="A905" s="848">
        <v>70</v>
      </c>
      <c r="B905" s="818" t="s">
        <v>296</v>
      </c>
      <c r="C905" s="860" t="s">
        <v>1514</v>
      </c>
      <c r="D905" s="840">
        <v>0.35</v>
      </c>
      <c r="E905" s="858" t="s">
        <v>64</v>
      </c>
      <c r="F905" s="858">
        <v>8</v>
      </c>
      <c r="G905" s="818" t="s">
        <v>1513</v>
      </c>
      <c r="H905" s="858">
        <v>2</v>
      </c>
      <c r="I905" s="817">
        <f t="shared" si="8"/>
        <v>5.6</v>
      </c>
      <c r="J905" s="142"/>
      <c r="K905" s="752"/>
      <c r="L905" s="142"/>
      <c r="M905" s="752"/>
      <c r="N905" s="142"/>
      <c r="O905" s="120"/>
    </row>
    <row r="906" spans="1:15" x14ac:dyDescent="0.25">
      <c r="A906" s="98"/>
      <c r="B906" s="95"/>
      <c r="C906" s="95"/>
      <c r="D906" s="95"/>
      <c r="E906" s="95"/>
      <c r="F906" s="95"/>
      <c r="G906" s="95"/>
      <c r="H906" s="751" t="s">
        <v>58</v>
      </c>
      <c r="I906" s="750">
        <f>SUM(I899:I905)</f>
        <v>157.96999999999997</v>
      </c>
      <c r="J906" s="95"/>
      <c r="K906" s="95"/>
      <c r="L906" s="95"/>
      <c r="M906" s="95"/>
      <c r="N906" s="95"/>
      <c r="O906" s="93"/>
    </row>
    <row r="907" spans="1:15" x14ac:dyDescent="0.25">
      <c r="A907" s="98"/>
      <c r="B907" s="95"/>
      <c r="C907" s="95"/>
      <c r="D907" s="95"/>
      <c r="E907" s="95"/>
      <c r="F907" s="95"/>
      <c r="G907" s="95"/>
      <c r="J907" s="95"/>
      <c r="K907" s="95"/>
      <c r="L907" s="95"/>
      <c r="M907" s="95"/>
      <c r="N907" s="95"/>
      <c r="O907" s="93"/>
    </row>
    <row r="908" spans="1:15" x14ac:dyDescent="0.25">
      <c r="A908" s="944" t="s">
        <v>67</v>
      </c>
      <c r="B908" s="944" t="s">
        <v>13</v>
      </c>
      <c r="C908" s="944" t="s">
        <v>66</v>
      </c>
      <c r="D908" s="944" t="s">
        <v>65</v>
      </c>
      <c r="E908" s="944" t="s">
        <v>64</v>
      </c>
      <c r="F908" s="944" t="s">
        <v>40</v>
      </c>
      <c r="G908" s="944" t="s">
        <v>63</v>
      </c>
      <c r="H908" s="944" t="s">
        <v>741</v>
      </c>
      <c r="I908" s="944" t="s">
        <v>58</v>
      </c>
      <c r="J908" s="95"/>
      <c r="K908" s="95"/>
      <c r="L908" s="95"/>
      <c r="M908" s="95"/>
      <c r="N908" s="95"/>
      <c r="O908" s="93"/>
    </row>
    <row r="909" spans="1:15" x14ac:dyDescent="0.25">
      <c r="A909" s="858">
        <v>10</v>
      </c>
      <c r="B909" s="858" t="s">
        <v>783</v>
      </c>
      <c r="C909" s="858" t="s">
        <v>1512</v>
      </c>
      <c r="D909" s="840">
        <v>1500</v>
      </c>
      <c r="E909" s="858" t="s">
        <v>241</v>
      </c>
      <c r="F909" s="858">
        <v>0.51700000000000002</v>
      </c>
      <c r="G909" s="858">
        <v>3000</v>
      </c>
      <c r="H909" s="858">
        <v>8</v>
      </c>
      <c r="I909" s="845">
        <f>D909*F909/(G909*H909)</f>
        <v>3.2312500000000001E-2</v>
      </c>
      <c r="J909" s="95"/>
      <c r="K909" s="95"/>
      <c r="L909" s="95"/>
      <c r="M909" s="95"/>
      <c r="N909" s="95"/>
      <c r="O909" s="93"/>
    </row>
    <row r="910" spans="1:15" x14ac:dyDescent="0.25">
      <c r="A910" s="763"/>
      <c r="B910" s="763"/>
      <c r="C910" s="763"/>
      <c r="D910" s="763"/>
      <c r="E910" s="763"/>
      <c r="F910" s="763"/>
      <c r="G910" s="763"/>
      <c r="H910" s="762" t="s">
        <v>58</v>
      </c>
      <c r="I910" s="761">
        <f>I909</f>
        <v>3.2312500000000001E-2</v>
      </c>
      <c r="J910" s="95"/>
      <c r="K910" s="95"/>
      <c r="L910" s="95"/>
      <c r="M910" s="95"/>
      <c r="N910" s="95"/>
      <c r="O910" s="93"/>
    </row>
    <row r="911" spans="1:15" ht="15.75" thickBot="1" x14ac:dyDescent="0.3">
      <c r="A911" s="92"/>
      <c r="B911" s="91"/>
      <c r="C911" s="91"/>
      <c r="D911" s="91"/>
      <c r="E911" s="91"/>
      <c r="F911" s="91"/>
      <c r="G911" s="91"/>
      <c r="H911" s="91"/>
      <c r="I911" s="91"/>
      <c r="J911" s="91"/>
      <c r="K911" s="91"/>
      <c r="L911" s="91"/>
      <c r="M911" s="91"/>
      <c r="N911" s="91"/>
      <c r="O911" s="90"/>
    </row>
    <row r="912" spans="1:15" ht="15.75" thickBot="1" x14ac:dyDescent="0.3"/>
    <row r="913" spans="1:15" x14ac:dyDescent="0.25">
      <c r="A913" s="141"/>
      <c r="B913" s="140"/>
      <c r="C913" s="140"/>
      <c r="D913" s="140"/>
      <c r="E913" s="140"/>
      <c r="F913" s="140"/>
      <c r="G913" s="140"/>
      <c r="H913" s="140"/>
      <c r="I913" s="140"/>
      <c r="J913" s="272"/>
      <c r="K913" s="140"/>
      <c r="L913" s="140"/>
      <c r="M913" s="140"/>
      <c r="N913" s="140"/>
      <c r="O913" s="139"/>
    </row>
    <row r="914" spans="1:15" x14ac:dyDescent="0.25">
      <c r="A914" s="757" t="s">
        <v>57</v>
      </c>
      <c r="B914" s="133" t="s">
        <v>523</v>
      </c>
      <c r="C914" s="94"/>
      <c r="D914" s="94"/>
      <c r="E914" s="94"/>
      <c r="F914" s="94"/>
      <c r="G914" s="94"/>
      <c r="H914" s="94"/>
      <c r="I914" s="94"/>
      <c r="J914" s="760" t="s">
        <v>51</v>
      </c>
      <c r="K914" s="138">
        <v>81</v>
      </c>
      <c r="L914" s="94"/>
      <c r="M914" s="757" t="s">
        <v>113</v>
      </c>
      <c r="N914" s="100">
        <f>FR_06005_m+FR_06005_p</f>
        <v>0.50682821500000008</v>
      </c>
      <c r="O914" s="93"/>
    </row>
    <row r="915" spans="1:15" x14ac:dyDescent="0.25">
      <c r="A915" s="757" t="s">
        <v>125</v>
      </c>
      <c r="B915" s="133" t="s">
        <v>1412</v>
      </c>
      <c r="C915" s="94"/>
      <c r="D915" s="757" t="s">
        <v>122</v>
      </c>
      <c r="E915" s="94"/>
      <c r="F915" s="94"/>
      <c r="G915" s="94"/>
      <c r="H915" s="94"/>
      <c r="I915" s="94"/>
      <c r="J915" s="94"/>
      <c r="K915" s="94"/>
      <c r="L915" s="94"/>
      <c r="M915" s="757" t="s">
        <v>124</v>
      </c>
      <c r="N915" s="136">
        <v>10</v>
      </c>
      <c r="O915" s="93"/>
    </row>
    <row r="916" spans="1:15" x14ac:dyDescent="0.25">
      <c r="A916" s="757" t="s">
        <v>123</v>
      </c>
      <c r="B916" s="270" t="str">
        <f>'FR Assemblies'!B278</f>
        <v>Body</v>
      </c>
      <c r="C916" s="94"/>
      <c r="D916" s="757" t="s">
        <v>119</v>
      </c>
      <c r="E916" s="94"/>
      <c r="F916" s="94"/>
      <c r="G916" s="94"/>
      <c r="H916" s="94"/>
      <c r="I916" s="94"/>
      <c r="J916" s="758" t="s">
        <v>122</v>
      </c>
      <c r="K916" s="94"/>
      <c r="L916" s="94"/>
      <c r="M916" s="94"/>
      <c r="N916" s="94"/>
      <c r="O916" s="93"/>
    </row>
    <row r="917" spans="1:15" x14ac:dyDescent="0.25">
      <c r="A917" s="757" t="s">
        <v>114</v>
      </c>
      <c r="B917" s="759" t="s">
        <v>1511</v>
      </c>
      <c r="C917" s="94"/>
      <c r="D917" s="757" t="s">
        <v>116</v>
      </c>
      <c r="E917" s="94"/>
      <c r="F917" s="94"/>
      <c r="G917" s="94"/>
      <c r="H917" s="94"/>
      <c r="I917" s="94"/>
      <c r="J917" s="758" t="s">
        <v>119</v>
      </c>
      <c r="K917" s="94"/>
      <c r="L917" s="94"/>
      <c r="M917" s="757" t="s">
        <v>118</v>
      </c>
      <c r="N917" s="100">
        <f>N915*N914</f>
        <v>5.0682821500000008</v>
      </c>
      <c r="O917" s="93"/>
    </row>
    <row r="918" spans="1:15" x14ac:dyDescent="0.25">
      <c r="A918" s="757" t="s">
        <v>121</v>
      </c>
      <c r="B918" s="269" t="s">
        <v>1510</v>
      </c>
      <c r="C918" s="94"/>
      <c r="D918" s="94"/>
      <c r="E918" s="94"/>
      <c r="F918" s="94"/>
      <c r="G918" s="94"/>
      <c r="H918" s="94"/>
      <c r="I918" s="94"/>
      <c r="J918" s="758" t="s">
        <v>116</v>
      </c>
      <c r="K918" s="94"/>
      <c r="L918" s="94"/>
      <c r="M918" s="94"/>
      <c r="N918" s="94"/>
      <c r="O918" s="93"/>
    </row>
    <row r="919" spans="1:15" x14ac:dyDescent="0.25">
      <c r="A919" s="757" t="s">
        <v>117</v>
      </c>
      <c r="B919" s="133" t="s">
        <v>23</v>
      </c>
      <c r="C919" s="94"/>
      <c r="D919" s="94"/>
      <c r="E919" s="94"/>
      <c r="F919" s="94"/>
      <c r="G919" s="94"/>
      <c r="H919" s="94"/>
      <c r="I919" s="94"/>
      <c r="J919" s="94"/>
      <c r="K919" s="94"/>
      <c r="L919" s="94"/>
      <c r="M919" s="94"/>
      <c r="N919" s="94"/>
      <c r="O919" s="93"/>
    </row>
    <row r="920" spans="1:15" x14ac:dyDescent="0.25">
      <c r="A920" s="757" t="s">
        <v>115</v>
      </c>
      <c r="B920" s="735" t="s">
        <v>1509</v>
      </c>
      <c r="C920" s="94"/>
      <c r="D920" s="94"/>
      <c r="E920" s="94"/>
      <c r="F920" s="94"/>
      <c r="G920" s="94"/>
      <c r="H920" s="94"/>
      <c r="I920" s="94"/>
      <c r="J920" s="94"/>
      <c r="K920" s="94"/>
      <c r="L920" s="94"/>
      <c r="M920" s="94"/>
      <c r="N920" s="94"/>
      <c r="O920" s="93"/>
    </row>
    <row r="921" spans="1:15" x14ac:dyDescent="0.25">
      <c r="A921" s="266"/>
      <c r="B921" s="265"/>
      <c r="C921" s="265"/>
      <c r="D921" s="265"/>
      <c r="E921" s="265"/>
      <c r="F921" s="94"/>
      <c r="G921" s="94"/>
      <c r="H921" s="94"/>
      <c r="I921" s="94"/>
      <c r="J921" s="94"/>
      <c r="K921" s="94"/>
      <c r="L921" s="94"/>
      <c r="M921" s="94"/>
      <c r="N921" s="94"/>
      <c r="O921" s="93"/>
    </row>
    <row r="922" spans="1:15" x14ac:dyDescent="0.25">
      <c r="A922" s="756" t="s">
        <v>67</v>
      </c>
      <c r="B922" s="755" t="s">
        <v>112</v>
      </c>
      <c r="C922" s="755" t="s">
        <v>66</v>
      </c>
      <c r="D922" s="755" t="s">
        <v>65</v>
      </c>
      <c r="E922" s="755" t="s">
        <v>81</v>
      </c>
      <c r="F922" s="816" t="s">
        <v>80</v>
      </c>
      <c r="G922" s="816" t="s">
        <v>79</v>
      </c>
      <c r="H922" s="816" t="s">
        <v>78</v>
      </c>
      <c r="I922" s="816" t="s">
        <v>111</v>
      </c>
      <c r="J922" s="816" t="s">
        <v>110</v>
      </c>
      <c r="K922" s="816" t="s">
        <v>109</v>
      </c>
      <c r="L922" s="816" t="s">
        <v>108</v>
      </c>
      <c r="M922" s="816" t="s">
        <v>40</v>
      </c>
      <c r="N922" s="816" t="s">
        <v>58</v>
      </c>
      <c r="O922" s="93"/>
    </row>
    <row r="923" spans="1:15" ht="34.5" customHeight="1" x14ac:dyDescent="0.25">
      <c r="A923" s="858">
        <v>10</v>
      </c>
      <c r="B923" s="858" t="s">
        <v>519</v>
      </c>
      <c r="C923" s="943" t="s">
        <v>682</v>
      </c>
      <c r="D923" s="840">
        <v>2.25</v>
      </c>
      <c r="E923" s="858">
        <v>23</v>
      </c>
      <c r="F923" s="858" t="s">
        <v>68</v>
      </c>
      <c r="G923" s="858">
        <v>3</v>
      </c>
      <c r="H923" s="843" t="s">
        <v>68</v>
      </c>
      <c r="I923" s="942" t="s">
        <v>1508</v>
      </c>
      <c r="J923" s="941">
        <f>0.023*0.003</f>
        <v>6.8999999999999997E-5</v>
      </c>
      <c r="K923" s="850">
        <f>0.031</f>
        <v>3.1E-2</v>
      </c>
      <c r="L923" s="843">
        <v>7860</v>
      </c>
      <c r="M923" s="842">
        <v>1</v>
      </c>
      <c r="N923" s="809">
        <f>D923*J923*K923*L923</f>
        <v>3.7828214999999998E-2</v>
      </c>
      <c r="O923" s="93"/>
    </row>
    <row r="924" spans="1:15" x14ac:dyDescent="0.25">
      <c r="A924" s="98"/>
      <c r="B924" s="95"/>
      <c r="C924" s="95"/>
      <c r="D924" s="95"/>
      <c r="E924" s="95"/>
      <c r="F924" s="95"/>
      <c r="G924" s="95"/>
      <c r="H924" s="95"/>
      <c r="I924" s="95"/>
      <c r="J924" s="754"/>
      <c r="K924" s="754"/>
      <c r="L924" s="95"/>
      <c r="M924" s="808" t="s">
        <v>58</v>
      </c>
      <c r="N924" s="750">
        <f>SUM(N923:N923)</f>
        <v>3.7828214999999998E-2</v>
      </c>
      <c r="O924" s="93"/>
    </row>
    <row r="925" spans="1:15" x14ac:dyDescent="0.25">
      <c r="A925" s="107"/>
      <c r="B925" s="94"/>
      <c r="C925" s="94"/>
      <c r="D925" s="94"/>
      <c r="E925" s="94"/>
      <c r="F925" s="94"/>
      <c r="G925" s="94"/>
      <c r="H925" s="94"/>
      <c r="I925" s="94"/>
      <c r="J925" s="94"/>
      <c r="K925" s="94"/>
      <c r="L925" s="94"/>
      <c r="M925" s="94"/>
      <c r="N925" s="94"/>
      <c r="O925" s="93"/>
    </row>
    <row r="926" spans="1:15" x14ac:dyDescent="0.25">
      <c r="A926" s="797" t="s">
        <v>67</v>
      </c>
      <c r="B926" s="816" t="s">
        <v>106</v>
      </c>
      <c r="C926" s="816" t="s">
        <v>66</v>
      </c>
      <c r="D926" s="816" t="s">
        <v>65</v>
      </c>
      <c r="E926" s="816" t="s">
        <v>64</v>
      </c>
      <c r="F926" s="816" t="s">
        <v>40</v>
      </c>
      <c r="G926" s="816" t="s">
        <v>105</v>
      </c>
      <c r="H926" s="816" t="s">
        <v>104</v>
      </c>
      <c r="I926" s="816" t="s">
        <v>58</v>
      </c>
      <c r="J926" s="95"/>
      <c r="K926" s="95"/>
      <c r="L926" s="95"/>
      <c r="M926" s="95"/>
      <c r="N926" s="95"/>
      <c r="O926" s="93"/>
    </row>
    <row r="927" spans="1:15" ht="45" x14ac:dyDescent="0.25">
      <c r="A927" s="858">
        <v>20</v>
      </c>
      <c r="B927" s="818" t="s">
        <v>516</v>
      </c>
      <c r="C927" s="860" t="s">
        <v>528</v>
      </c>
      <c r="D927" s="840">
        <v>1.3</v>
      </c>
      <c r="E927" s="858" t="s">
        <v>64</v>
      </c>
      <c r="F927" s="858">
        <v>1</v>
      </c>
      <c r="G927" s="864" t="s">
        <v>1507</v>
      </c>
      <c r="H927" s="858">
        <v>0.1</v>
      </c>
      <c r="I927" s="817">
        <f>IF(H927="",D927*F927,D927*F927*H927)</f>
        <v>0.13</v>
      </c>
      <c r="J927" s="753"/>
      <c r="K927" s="95"/>
      <c r="L927" s="95"/>
      <c r="M927" s="95"/>
      <c r="N927" s="95"/>
      <c r="O927" s="93"/>
    </row>
    <row r="928" spans="1:15" x14ac:dyDescent="0.25">
      <c r="A928" s="858">
        <v>30</v>
      </c>
      <c r="B928" s="818" t="s">
        <v>541</v>
      </c>
      <c r="C928" s="860" t="s">
        <v>1506</v>
      </c>
      <c r="D928" s="840">
        <v>0.01</v>
      </c>
      <c r="E928" s="858" t="s">
        <v>101</v>
      </c>
      <c r="F928" s="858">
        <v>11.3</v>
      </c>
      <c r="G928" s="818" t="s">
        <v>1505</v>
      </c>
      <c r="H928" s="858">
        <v>3</v>
      </c>
      <c r="I928" s="817">
        <f>IF(H928="",D928*F928,D928*F928*H928)</f>
        <v>0.33900000000000002</v>
      </c>
      <c r="J928" s="142"/>
      <c r="K928" s="752"/>
      <c r="L928" s="142"/>
      <c r="M928" s="752"/>
      <c r="N928" s="142"/>
      <c r="O928" s="120"/>
    </row>
    <row r="929" spans="1:15" x14ac:dyDescent="0.25">
      <c r="A929" s="98"/>
      <c r="B929" s="95"/>
      <c r="C929" s="95"/>
      <c r="D929" s="95"/>
      <c r="E929" s="95"/>
      <c r="F929" s="95"/>
      <c r="G929" s="95"/>
      <c r="H929" s="751" t="s">
        <v>58</v>
      </c>
      <c r="I929" s="750">
        <f>SUM(I927:I928)</f>
        <v>0.46900000000000003</v>
      </c>
      <c r="J929" s="95"/>
      <c r="K929" s="95"/>
      <c r="L929" s="95"/>
      <c r="M929" s="95"/>
      <c r="N929" s="95"/>
      <c r="O929" s="93"/>
    </row>
    <row r="930" spans="1:15" ht="15.75" thickBot="1" x14ac:dyDescent="0.3">
      <c r="A930" s="92"/>
      <c r="B930" s="91"/>
      <c r="C930" s="91"/>
      <c r="D930" s="91"/>
      <c r="E930" s="91"/>
      <c r="F930" s="91"/>
      <c r="G930" s="91"/>
      <c r="H930" s="91"/>
      <c r="I930" s="91"/>
      <c r="J930" s="91"/>
      <c r="K930" s="91"/>
      <c r="L930" s="91"/>
      <c r="M930" s="91"/>
      <c r="N930" s="91"/>
      <c r="O930" s="90"/>
    </row>
  </sheetData>
  <hyperlinks>
    <hyperlink ref="B4" location="FR_A0001" display="FR_A0001"/>
    <hyperlink ref="B25" location="FR_A0001" display="FR_A0001"/>
    <hyperlink ref="B47" location="FR_A0001" display="FR_A0001"/>
    <hyperlink ref="E292" location="dFR_04001" display="Drawing"/>
    <hyperlink ref="E311" location="dFR_04002" display="Drawing"/>
    <hyperlink ref="E330" location="dFR_04003" display="Drawing"/>
    <hyperlink ref="E353" location="dFR_04004" display="Drawing"/>
    <hyperlink ref="E414" location="dFR_04007" display="Drawing"/>
    <hyperlink ref="E435" location="dFR_04008" display="Drawing"/>
    <hyperlink ref="E453" location="dFR_04009" display="Drawing"/>
    <hyperlink ref="E472" location="dFR_04010" display="Drawing"/>
    <hyperlink ref="E492" location="dFR_04011" display="Drawing"/>
    <hyperlink ref="E520" location="dFR_04012" display="Drawing"/>
    <hyperlink ref="E540" location="dFR_04013" display="Drawing"/>
    <hyperlink ref="E581" location="dFR_04015" display="Drawing"/>
    <hyperlink ref="E625" location="dFR_04017" display="Drawing"/>
    <hyperlink ref="E644" location="dFR_04018" display="Drawing"/>
    <hyperlink ref="E666" location="dFR_04019" display="Drawing"/>
    <hyperlink ref="E686" location="dFR_05001" display="Drawing"/>
    <hyperlink ref="E785" location="dFR_05005" display="Drawing"/>
    <hyperlink ref="B72" location="FR_A0001" display="FR_A0001"/>
    <hyperlink ref="B91" location="FR_A0001" display="FR_A0001"/>
    <hyperlink ref="B110" location="FR_A0001" display="FR_A0001"/>
    <hyperlink ref="B129" location="FR_A0001" display="FR_A0001"/>
    <hyperlink ref="B148" location="FR_A0001" display="FR_A0001"/>
    <hyperlink ref="B167" location="FR_A0001" display="FR_A0001"/>
    <hyperlink ref="B186" location="FR_A0002" display="FR_A0002"/>
    <hyperlink ref="B274" location="FR_A0003" display="FR_A0003"/>
    <hyperlink ref="B244" location="FR_A0003" display="FR_A0003"/>
    <hyperlink ref="B214" location="FR_A0003" display="FR_A0003"/>
    <hyperlink ref="B293" location="FR_A0004" display="FR_A0004"/>
    <hyperlink ref="B312" location="FR_A0004" display="FR_A0004"/>
    <hyperlink ref="B331" location="FR_A0004" display="FR_A0004"/>
    <hyperlink ref="B354" location="FR_A0004" display="FR_A0004"/>
    <hyperlink ref="B377" location="FR_A0004" display="FR_A0004"/>
    <hyperlink ref="B396" location="FR_A0004" display="FR_A0004"/>
    <hyperlink ref="B415" location="FR_A0004" display="FR_A0004"/>
    <hyperlink ref="B436" location="FR_A0004" display="FR_A0004"/>
    <hyperlink ref="B454" location="FR_A0004" display="FR_A0004"/>
    <hyperlink ref="B473" location="FR_A0004" display="FR_A0004"/>
    <hyperlink ref="B493" location="FR_A0004" display="FR_A0004"/>
    <hyperlink ref="B521" location="FR_A0004" display="FR_A0004"/>
    <hyperlink ref="B541" location="FR_A0004" display="FR_A0004"/>
    <hyperlink ref="B561" location="FR_A0004" display="FR_A0004"/>
    <hyperlink ref="B582" location="FR_A0004" display="FR_A0004"/>
    <hyperlink ref="B607" location="FR_A0004" display="FR_A0004"/>
    <hyperlink ref="B626" location="FR_A0004" display="FR_A0004"/>
    <hyperlink ref="B645" location="FR_A0004" display="FR_A0004"/>
    <hyperlink ref="B667" location="FR_A0004" display="FR_A0004"/>
    <hyperlink ref="B687" location="FR_A0005" display="FR_A0005"/>
    <hyperlink ref="B711" location="FR_A0005" display="FR_A0005"/>
    <hyperlink ref="B739" location="FR_A0005" display="FR_A0005"/>
    <hyperlink ref="B764" location="FR_A0005" display="FR_A0005"/>
    <hyperlink ref="B786" location="FR_A0005" display="FR_A0005"/>
    <hyperlink ref="B805" location="FR_A0006" display="FR_A0006"/>
    <hyperlink ref="B833" location="FR_A0006" display="FR_A0006"/>
    <hyperlink ref="B860" location="FR_A0006" display="FR_A0006"/>
    <hyperlink ref="B887" location="FR_A0006" display="FR_A0006"/>
    <hyperlink ref="B916" location="FR_A0006" display="FR_A0006"/>
  </hyperlinks>
  <pageMargins left="0.78749999999999998" right="0.78749999999999998" top="1.05277777777778" bottom="1.05277777777778" header="0.78749999999999998" footer="0.78749999999999998"/>
  <pageSetup paperSize="9" scale="36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41" manualBreakCount="41">
    <brk id="20" max="16383" man="1"/>
    <brk id="42" max="16383" man="1"/>
    <brk id="67" max="16383" man="1"/>
    <brk id="86" max="16383" man="1"/>
    <brk id="105" max="16383" man="1"/>
    <brk id="124" max="16383" man="1"/>
    <brk id="143" max="16383" man="1"/>
    <brk id="162" max="16383" man="1"/>
    <brk id="181" max="16383" man="1"/>
    <brk id="209" max="16383" man="1"/>
    <brk id="239" max="16383" man="1"/>
    <brk id="269" max="16383" man="1"/>
    <brk id="288" max="16383" man="1"/>
    <brk id="307" max="16383" man="1"/>
    <brk id="326" max="16383" man="1"/>
    <brk id="349" max="16383" man="1"/>
    <brk id="372" max="16383" man="1"/>
    <brk id="391" max="16383" man="1"/>
    <brk id="410" max="16383" man="1"/>
    <brk id="431" max="16383" man="1"/>
    <brk id="449" max="16383" man="1"/>
    <brk id="468" max="16383" man="1"/>
    <brk id="488" max="16383" man="1"/>
    <brk id="516" max="16383" man="1"/>
    <brk id="536" max="16383" man="1"/>
    <brk id="556" max="16383" man="1"/>
    <brk id="577" max="16383" man="1"/>
    <brk id="602" max="16383" man="1"/>
    <brk id="621" max="16383" man="1"/>
    <brk id="640" max="16383" man="1"/>
    <brk id="662" max="16383" man="1"/>
    <brk id="682" max="16383" man="1"/>
    <brk id="706" max="16383" man="1"/>
    <brk id="734" max="16383" man="1"/>
    <brk id="759" max="16383" man="1"/>
    <brk id="781" max="16383" man="1"/>
    <brk id="800" max="16383" man="1"/>
    <brk id="828" max="16383" man="1"/>
    <brk id="855" max="16383" man="1"/>
    <brk id="882" max="16383" man="1"/>
    <brk id="911" max="16383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26</vt:i4>
      </vt:variant>
      <vt:variant>
        <vt:lpstr>Plages nommées</vt:lpstr>
      </vt:variant>
      <vt:variant>
        <vt:i4>1620</vt:i4>
      </vt:variant>
    </vt:vector>
  </HeadingPairs>
  <TitlesOfParts>
    <vt:vector size="1646" baseType="lpstr">
      <vt:lpstr>Cost Summary</vt:lpstr>
      <vt:lpstr>BOM</vt:lpstr>
      <vt:lpstr>BR Assemblies</vt:lpstr>
      <vt:lpstr>BR Parts</vt:lpstr>
      <vt:lpstr>EN Assemblies</vt:lpstr>
      <vt:lpstr>EN Parts</vt:lpstr>
      <vt:lpstr>EN_Drawings</vt:lpstr>
      <vt:lpstr>FR Assemblies</vt:lpstr>
      <vt:lpstr>FR Parts</vt:lpstr>
      <vt:lpstr>FR_Drawings</vt:lpstr>
      <vt:lpstr>EL Assemblies</vt:lpstr>
      <vt:lpstr>EL Parts</vt:lpstr>
      <vt:lpstr>EL_Drawings</vt:lpstr>
      <vt:lpstr>MS Assemblies</vt:lpstr>
      <vt:lpstr>MS Parts</vt:lpstr>
      <vt:lpstr>MS_Drawings</vt:lpstr>
      <vt:lpstr>ST Assemblies</vt:lpstr>
      <vt:lpstr>ST Parts</vt:lpstr>
      <vt:lpstr>ST_Drawings</vt:lpstr>
      <vt:lpstr>SU Assemblies</vt:lpstr>
      <vt:lpstr>SU Parts</vt:lpstr>
      <vt:lpstr>SU_Drawings</vt:lpstr>
      <vt:lpstr>WT Assemblies</vt:lpstr>
      <vt:lpstr>WT Parts</vt:lpstr>
      <vt:lpstr>WT_Drawings</vt:lpstr>
      <vt:lpstr>Revision Log</vt:lpstr>
      <vt:lpstr>BOM_BR_f</vt:lpstr>
      <vt:lpstr>BOM_BR_m</vt:lpstr>
      <vt:lpstr>BOM_BR_p</vt:lpstr>
      <vt:lpstr>BOM_BR_t</vt:lpstr>
      <vt:lpstr>BOM_BR_tot</vt:lpstr>
      <vt:lpstr>BOM_EL_f</vt:lpstr>
      <vt:lpstr>BOM_EL_m</vt:lpstr>
      <vt:lpstr>BOM_EL_p</vt:lpstr>
      <vt:lpstr>BOM_EL_t</vt:lpstr>
      <vt:lpstr>BOM_EL_tot</vt:lpstr>
      <vt:lpstr>BOM_EN_f</vt:lpstr>
      <vt:lpstr>BOM_EN_m</vt:lpstr>
      <vt:lpstr>BOM_EN_p</vt:lpstr>
      <vt:lpstr>BOM_EN_t</vt:lpstr>
      <vt:lpstr>BOM_EN_tot</vt:lpstr>
      <vt:lpstr>BOM_FR_f</vt:lpstr>
      <vt:lpstr>BOM_FR_m</vt:lpstr>
      <vt:lpstr>BOM_FR_p</vt:lpstr>
      <vt:lpstr>BOM_FR_t</vt:lpstr>
      <vt:lpstr>BOM_FR_tot</vt:lpstr>
      <vt:lpstr>BOM_MS_f</vt:lpstr>
      <vt:lpstr>BOM_MS_m</vt:lpstr>
      <vt:lpstr>BOM_MS_p</vt:lpstr>
      <vt:lpstr>BOM_MS_t</vt:lpstr>
      <vt:lpstr>BOM_MS_tot</vt:lpstr>
      <vt:lpstr>BOM_ST_f</vt:lpstr>
      <vt:lpstr>BOM_ST_m</vt:lpstr>
      <vt:lpstr>BOM_ST_p</vt:lpstr>
      <vt:lpstr>BOM_ST_t</vt:lpstr>
      <vt:lpstr>BOM_ST_tot</vt:lpstr>
      <vt:lpstr>BOM_SU_f</vt:lpstr>
      <vt:lpstr>BOM_SU_m</vt:lpstr>
      <vt:lpstr>BOM_SU_p</vt:lpstr>
      <vt:lpstr>BOM_SU_t</vt:lpstr>
      <vt:lpstr>BOM_SU_tot</vt:lpstr>
      <vt:lpstr>BOM_WT_f</vt:lpstr>
      <vt:lpstr>BOM_WT_m</vt:lpstr>
      <vt:lpstr>BOM_WT_p</vt:lpstr>
      <vt:lpstr>BOM_WT_t</vt:lpstr>
      <vt:lpstr>BOM_WT_tot</vt:lpstr>
      <vt:lpstr>BON_BR_m</vt:lpstr>
      <vt:lpstr>BR_01001</vt:lpstr>
      <vt:lpstr>BR_01001_m</vt:lpstr>
      <vt:lpstr>BR_01001_p</vt:lpstr>
      <vt:lpstr>BR_01001_q</vt:lpstr>
      <vt:lpstr>BR_01002</vt:lpstr>
      <vt:lpstr>BR_01002_m</vt:lpstr>
      <vt:lpstr>BR_01002_p</vt:lpstr>
      <vt:lpstr>BR_01002_q</vt:lpstr>
      <vt:lpstr>BR_01003</vt:lpstr>
      <vt:lpstr>BR_01003_m</vt:lpstr>
      <vt:lpstr>BR_01003_q</vt:lpstr>
      <vt:lpstr>BR_01004</vt:lpstr>
      <vt:lpstr>BR_01004_m</vt:lpstr>
      <vt:lpstr>BR_01004_q</vt:lpstr>
      <vt:lpstr>BR_01005</vt:lpstr>
      <vt:lpstr>BR_01005_m</vt:lpstr>
      <vt:lpstr>BR_01005_p</vt:lpstr>
      <vt:lpstr>BR_01005_q</vt:lpstr>
      <vt:lpstr>BR_01006</vt:lpstr>
      <vt:lpstr>BR_01006_m</vt:lpstr>
      <vt:lpstr>BR_01006_p</vt:lpstr>
      <vt:lpstr>BR_01006_q</vt:lpstr>
      <vt:lpstr>BR_02001</vt:lpstr>
      <vt:lpstr>BR_02001_m</vt:lpstr>
      <vt:lpstr>BR_02001_p</vt:lpstr>
      <vt:lpstr>BR_02001_q</vt:lpstr>
      <vt:lpstr>BR_02002</vt:lpstr>
      <vt:lpstr>BR_02002_m</vt:lpstr>
      <vt:lpstr>BR_02002_p</vt:lpstr>
      <vt:lpstr>BR_02002_q</vt:lpstr>
      <vt:lpstr>BR_02003</vt:lpstr>
      <vt:lpstr>BR_02003_m</vt:lpstr>
      <vt:lpstr>BR_02003_q</vt:lpstr>
      <vt:lpstr>BR_02004</vt:lpstr>
      <vt:lpstr>BR_02004_m</vt:lpstr>
      <vt:lpstr>BR_02004_q</vt:lpstr>
      <vt:lpstr>BR_02005</vt:lpstr>
      <vt:lpstr>BR_02005_m</vt:lpstr>
      <vt:lpstr>BR_02005_p</vt:lpstr>
      <vt:lpstr>BR_02005_q</vt:lpstr>
      <vt:lpstr>BR_02006</vt:lpstr>
      <vt:lpstr>BR_02006_m</vt:lpstr>
      <vt:lpstr>BR_02006_p</vt:lpstr>
      <vt:lpstr>BR_02006_q</vt:lpstr>
      <vt:lpstr>BR_03001</vt:lpstr>
      <vt:lpstr>BR_03001_m</vt:lpstr>
      <vt:lpstr>BR_03001_p</vt:lpstr>
      <vt:lpstr>BR_03001_q</vt:lpstr>
      <vt:lpstr>BR_03002</vt:lpstr>
      <vt:lpstr>BR_03002_m</vt:lpstr>
      <vt:lpstr>BR_03002_p</vt:lpstr>
      <vt:lpstr>BR_03002_q</vt:lpstr>
      <vt:lpstr>BR_03003</vt:lpstr>
      <vt:lpstr>BR_03003_m</vt:lpstr>
      <vt:lpstr>BR_03003_q</vt:lpstr>
      <vt:lpstr>BR_03004</vt:lpstr>
      <vt:lpstr>BR_03004_m</vt:lpstr>
      <vt:lpstr>BR_03004_q</vt:lpstr>
      <vt:lpstr>BR_03005</vt:lpstr>
      <vt:lpstr>BR_03005_m</vt:lpstr>
      <vt:lpstr>BR_03005_p</vt:lpstr>
      <vt:lpstr>BR_03005_q</vt:lpstr>
      <vt:lpstr>BR_03006</vt:lpstr>
      <vt:lpstr>BR_03006_m</vt:lpstr>
      <vt:lpstr>BR_03006_p</vt:lpstr>
      <vt:lpstr>BR_03006_q</vt:lpstr>
      <vt:lpstr>BR_A0001</vt:lpstr>
      <vt:lpstr>BR_A0001_f</vt:lpstr>
      <vt:lpstr>BR_A0001_p</vt:lpstr>
      <vt:lpstr>BR_A0001_q</vt:lpstr>
      <vt:lpstr>BR_A0002</vt:lpstr>
      <vt:lpstr>BR_A0002_f</vt:lpstr>
      <vt:lpstr>BR_A0002_p</vt:lpstr>
      <vt:lpstr>BR_A0002_q</vt:lpstr>
      <vt:lpstr>BR_A0003</vt:lpstr>
      <vt:lpstr>BR_A0003_f</vt:lpstr>
      <vt:lpstr>BR_A0003_m</vt:lpstr>
      <vt:lpstr>BR_A0003_p</vt:lpstr>
      <vt:lpstr>BR_A0003_q</vt:lpstr>
      <vt:lpstr>BR_A0003_t</vt:lpstr>
      <vt:lpstr>BOM!Car</vt:lpstr>
      <vt:lpstr>BOM!CompCode</vt:lpstr>
      <vt:lpstr>dEL_01001</vt:lpstr>
      <vt:lpstr>dEL_01002</vt:lpstr>
      <vt:lpstr>dEL_01002a</vt:lpstr>
      <vt:lpstr>dEL_01003</vt:lpstr>
      <vt:lpstr>dEL_01004</vt:lpstr>
      <vt:lpstr>dEL_01005</vt:lpstr>
      <vt:lpstr>dEL_02001</vt:lpstr>
      <vt:lpstr>dEL_02002</vt:lpstr>
      <vt:lpstr>dEL_02003</vt:lpstr>
      <vt:lpstr>dEL_02004</vt:lpstr>
      <vt:lpstr>dEL_02005</vt:lpstr>
      <vt:lpstr>dEL_03001</vt:lpstr>
      <vt:lpstr>dEL_04001</vt:lpstr>
      <vt:lpstr>dFR_04001</vt:lpstr>
      <vt:lpstr>dFR_04002</vt:lpstr>
      <vt:lpstr>dFR_04003</vt:lpstr>
      <vt:lpstr>dFR_04004</vt:lpstr>
      <vt:lpstr>dFR_04007</vt:lpstr>
      <vt:lpstr>dFR_04008</vt:lpstr>
      <vt:lpstr>dFR_04009</vt:lpstr>
      <vt:lpstr>dFR_04010</vt:lpstr>
      <vt:lpstr>dFR_04011</vt:lpstr>
      <vt:lpstr>dFR_04012</vt:lpstr>
      <vt:lpstr>dFR_04013</vt:lpstr>
      <vt:lpstr>dFR_04015</vt:lpstr>
      <vt:lpstr>dFR_04017</vt:lpstr>
      <vt:lpstr>dFR_04018</vt:lpstr>
      <vt:lpstr>dFR_04019</vt:lpstr>
      <vt:lpstr>dFR_05001</vt:lpstr>
      <vt:lpstr>dFR_05005</vt:lpstr>
      <vt:lpstr>dFR_A0001</vt:lpstr>
      <vt:lpstr>dMS_01001</vt:lpstr>
      <vt:lpstr>dMS_01002</vt:lpstr>
      <vt:lpstr>dMS_01003</vt:lpstr>
      <vt:lpstr>dMS_01004</vt:lpstr>
      <vt:lpstr>dMS_01005</vt:lpstr>
      <vt:lpstr>dMS_01006</vt:lpstr>
      <vt:lpstr>dMS_01007</vt:lpstr>
      <vt:lpstr>dMS_02001</vt:lpstr>
      <vt:lpstr>dMS_03001</vt:lpstr>
      <vt:lpstr>dMS_03002</vt:lpstr>
      <vt:lpstr>dMS_03003</vt:lpstr>
      <vt:lpstr>dMS_05002</vt:lpstr>
      <vt:lpstr>dMS_05003</vt:lpstr>
      <vt:lpstr>dST_01001</vt:lpstr>
      <vt:lpstr>dST_01002</vt:lpstr>
      <vt:lpstr>dST_01004</vt:lpstr>
      <vt:lpstr>dST_01005</vt:lpstr>
      <vt:lpstr>dST_02004</vt:lpstr>
      <vt:lpstr>dST_02005</vt:lpstr>
      <vt:lpstr>dST_02006</vt:lpstr>
      <vt:lpstr>dST_02007</vt:lpstr>
      <vt:lpstr>dST_04004</vt:lpstr>
      <vt:lpstr>dST_05001</vt:lpstr>
      <vt:lpstr>dST_05004</vt:lpstr>
      <vt:lpstr>dSU_01001</vt:lpstr>
      <vt:lpstr>dSU_01002</vt:lpstr>
      <vt:lpstr>dSU_01007</vt:lpstr>
      <vt:lpstr>dSU_01008</vt:lpstr>
      <vt:lpstr>dSU_02002</vt:lpstr>
      <vt:lpstr>dSU_02007</vt:lpstr>
      <vt:lpstr>dSU_02008</vt:lpstr>
      <vt:lpstr>dSU_03002</vt:lpstr>
      <vt:lpstr>dSU_03007</vt:lpstr>
      <vt:lpstr>dSU_03008</vt:lpstr>
      <vt:lpstr>dSU_04002</vt:lpstr>
      <vt:lpstr>dSU_04007</vt:lpstr>
      <vt:lpstr>dSU_04008</vt:lpstr>
      <vt:lpstr>dSU_06001</vt:lpstr>
      <vt:lpstr>dSU_06004</vt:lpstr>
      <vt:lpstr>dSU_06006</vt:lpstr>
      <vt:lpstr>dSU_08001</vt:lpstr>
      <vt:lpstr>dSU_08004</vt:lpstr>
      <vt:lpstr>dSU_08006</vt:lpstr>
      <vt:lpstr>dSU_09001</vt:lpstr>
      <vt:lpstr>dSU_09003</vt:lpstr>
      <vt:lpstr>dSU_10007</vt:lpstr>
      <vt:lpstr>dWT_02001</vt:lpstr>
      <vt:lpstr>dWT_02003</vt:lpstr>
      <vt:lpstr>dWT_03001</vt:lpstr>
      <vt:lpstr>dWT_03003</vt:lpstr>
      <vt:lpstr>EL_010004_m</vt:lpstr>
      <vt:lpstr>EL_01001</vt:lpstr>
      <vt:lpstr>EL_01001_m</vt:lpstr>
      <vt:lpstr>EL_01001_p</vt:lpstr>
      <vt:lpstr>EL_01001_q</vt:lpstr>
      <vt:lpstr>EL_01001_t</vt:lpstr>
      <vt:lpstr>EL_01002</vt:lpstr>
      <vt:lpstr>EL_01002_m</vt:lpstr>
      <vt:lpstr>EL_01002_p</vt:lpstr>
      <vt:lpstr>EL_01002_q</vt:lpstr>
      <vt:lpstr>EL_01003</vt:lpstr>
      <vt:lpstr>EL_01003_m</vt:lpstr>
      <vt:lpstr>EL_01003_p</vt:lpstr>
      <vt:lpstr>EL_01003_q</vt:lpstr>
      <vt:lpstr>EL_01004</vt:lpstr>
      <vt:lpstr>EL_01004_m</vt:lpstr>
      <vt:lpstr>EL_01004_p</vt:lpstr>
      <vt:lpstr>EL_01004_q</vt:lpstr>
      <vt:lpstr>EL_01005</vt:lpstr>
      <vt:lpstr>EL_01005_m</vt:lpstr>
      <vt:lpstr>EL_01005_p</vt:lpstr>
      <vt:lpstr>EL_01005_q</vt:lpstr>
      <vt:lpstr>EL_02001</vt:lpstr>
      <vt:lpstr>EL_02001_m</vt:lpstr>
      <vt:lpstr>EL_02001_p</vt:lpstr>
      <vt:lpstr>EL_02001_q</vt:lpstr>
      <vt:lpstr>EL_02002</vt:lpstr>
      <vt:lpstr>EL_02002_m</vt:lpstr>
      <vt:lpstr>EL_02002_p</vt:lpstr>
      <vt:lpstr>EL_02002_q</vt:lpstr>
      <vt:lpstr>EL_02003</vt:lpstr>
      <vt:lpstr>EL_02003_m</vt:lpstr>
      <vt:lpstr>EL_02003_p</vt:lpstr>
      <vt:lpstr>EL_02003_q</vt:lpstr>
      <vt:lpstr>EL_02004</vt:lpstr>
      <vt:lpstr>EL_02004_m</vt:lpstr>
      <vt:lpstr>EL_02004_p</vt:lpstr>
      <vt:lpstr>EL_02004_q</vt:lpstr>
      <vt:lpstr>EL_02005</vt:lpstr>
      <vt:lpstr>EL_02005_m</vt:lpstr>
      <vt:lpstr>EL_02005_p</vt:lpstr>
      <vt:lpstr>EL_02005_q</vt:lpstr>
      <vt:lpstr>EL_03001</vt:lpstr>
      <vt:lpstr>EL_03001_m</vt:lpstr>
      <vt:lpstr>EL_03001_p</vt:lpstr>
      <vt:lpstr>EL_04001</vt:lpstr>
      <vt:lpstr>EL_04001_m</vt:lpstr>
      <vt:lpstr>EL_04001_p</vt:lpstr>
      <vt:lpstr>EL_3001_p</vt:lpstr>
      <vt:lpstr>EL_A0001</vt:lpstr>
      <vt:lpstr>EL_A0001_f</vt:lpstr>
      <vt:lpstr>EL_A0001_m</vt:lpstr>
      <vt:lpstr>EL_A0001_p</vt:lpstr>
      <vt:lpstr>EL_A0001_q</vt:lpstr>
      <vt:lpstr>EL_A0001_t</vt:lpstr>
      <vt:lpstr>EL_A0002</vt:lpstr>
      <vt:lpstr>EL_A0002_f</vt:lpstr>
      <vt:lpstr>EL_A0002_m</vt:lpstr>
      <vt:lpstr>EL_A0002_p</vt:lpstr>
      <vt:lpstr>EL_A0002_q</vt:lpstr>
      <vt:lpstr>EL_A0002_t</vt:lpstr>
      <vt:lpstr>EL_A0003</vt:lpstr>
      <vt:lpstr>EL_A0003_f</vt:lpstr>
      <vt:lpstr>EL_A0003_m</vt:lpstr>
      <vt:lpstr>EL_A0003_p</vt:lpstr>
      <vt:lpstr>EL_A0003_t</vt:lpstr>
      <vt:lpstr>EL_A0004</vt:lpstr>
      <vt:lpstr>EL_A0004_m</vt:lpstr>
      <vt:lpstr>EL_A0004_p</vt:lpstr>
      <vt:lpstr>EL_A0005</vt:lpstr>
      <vt:lpstr>EL_A0005_m</vt:lpstr>
      <vt:lpstr>EL_A0005_p</vt:lpstr>
      <vt:lpstr>EL_A0006</vt:lpstr>
      <vt:lpstr>EL_A0006_f</vt:lpstr>
      <vt:lpstr>EL_A0006_m</vt:lpstr>
      <vt:lpstr>EL_A0006_p</vt:lpstr>
      <vt:lpstr>EN_01001</vt:lpstr>
      <vt:lpstr>EN_01001_m</vt:lpstr>
      <vt:lpstr>EN_01001_q</vt:lpstr>
      <vt:lpstr>EN_01002</vt:lpstr>
      <vt:lpstr>EN_01002_d</vt:lpstr>
      <vt:lpstr>EN_01002_m</vt:lpstr>
      <vt:lpstr>EN_01002_p</vt:lpstr>
      <vt:lpstr>EN_01002_q</vt:lpstr>
      <vt:lpstr>EN_01003</vt:lpstr>
      <vt:lpstr>EN_01003_d1</vt:lpstr>
      <vt:lpstr>EN_01003_d2</vt:lpstr>
      <vt:lpstr>EN_01003_m</vt:lpstr>
      <vt:lpstr>EN_01003_p</vt:lpstr>
      <vt:lpstr>EN_01003_q</vt:lpstr>
      <vt:lpstr>EN_01004</vt:lpstr>
      <vt:lpstr>EN_01004_d</vt:lpstr>
      <vt:lpstr>EN_01004_m</vt:lpstr>
      <vt:lpstr>EN_01004_p</vt:lpstr>
      <vt:lpstr>EN_01004_q</vt:lpstr>
      <vt:lpstr>EN_01005</vt:lpstr>
      <vt:lpstr>EN_01005_d1</vt:lpstr>
      <vt:lpstr>EN_01005_d2</vt:lpstr>
      <vt:lpstr>EN_01005_d3</vt:lpstr>
      <vt:lpstr>EN_01005_d4</vt:lpstr>
      <vt:lpstr>EN_01005_f</vt:lpstr>
      <vt:lpstr>EN_01005_m</vt:lpstr>
      <vt:lpstr>EN_01005_p</vt:lpstr>
      <vt:lpstr>EN_01005_q</vt:lpstr>
      <vt:lpstr>EN_01005_t</vt:lpstr>
      <vt:lpstr>EN_01006</vt:lpstr>
      <vt:lpstr>EN_01006_d</vt:lpstr>
      <vt:lpstr>EN_01006_f</vt:lpstr>
      <vt:lpstr>EN_01006_m</vt:lpstr>
      <vt:lpstr>EN_01006_p</vt:lpstr>
      <vt:lpstr>EN_01006_q</vt:lpstr>
      <vt:lpstr>EN_02001</vt:lpstr>
      <vt:lpstr>EN_02001_m</vt:lpstr>
      <vt:lpstr>EN_02001_p</vt:lpstr>
      <vt:lpstr>EN_02001_q</vt:lpstr>
      <vt:lpstr>EN_02002</vt:lpstr>
      <vt:lpstr>EN_02002_m</vt:lpstr>
      <vt:lpstr>EN_02002_p</vt:lpstr>
      <vt:lpstr>EN_02002_q</vt:lpstr>
      <vt:lpstr>EN_02003</vt:lpstr>
      <vt:lpstr>EN_02003_m</vt:lpstr>
      <vt:lpstr>EN_02003_p</vt:lpstr>
      <vt:lpstr>EN_02003_q</vt:lpstr>
      <vt:lpstr>EN_02003_t</vt:lpstr>
      <vt:lpstr>EN_02004</vt:lpstr>
      <vt:lpstr>EN_02004_m</vt:lpstr>
      <vt:lpstr>EN_02004_p</vt:lpstr>
      <vt:lpstr>EN_02004_q</vt:lpstr>
      <vt:lpstr>EN_02004_t</vt:lpstr>
      <vt:lpstr>EN_02005</vt:lpstr>
      <vt:lpstr>EN_02005_m</vt:lpstr>
      <vt:lpstr>EN_02005_p</vt:lpstr>
      <vt:lpstr>EN_02005_q</vt:lpstr>
      <vt:lpstr>EN_02005_t</vt:lpstr>
      <vt:lpstr>EN_02006</vt:lpstr>
      <vt:lpstr>EN_02006_m</vt:lpstr>
      <vt:lpstr>EN_02006_p</vt:lpstr>
      <vt:lpstr>EN_02006_q</vt:lpstr>
      <vt:lpstr>EN_02006_t</vt:lpstr>
      <vt:lpstr>EN_02007</vt:lpstr>
      <vt:lpstr>EN_02007_m</vt:lpstr>
      <vt:lpstr>EN_02007_p</vt:lpstr>
      <vt:lpstr>EN_02007_q</vt:lpstr>
      <vt:lpstr>EN_02007_t</vt:lpstr>
      <vt:lpstr>EN_02008</vt:lpstr>
      <vt:lpstr>EN_02008_m</vt:lpstr>
      <vt:lpstr>EN_02008_p</vt:lpstr>
      <vt:lpstr>EN_02008_q</vt:lpstr>
      <vt:lpstr>EN_03001</vt:lpstr>
      <vt:lpstr>EN_03001_d1</vt:lpstr>
      <vt:lpstr>EN_03001_d2</vt:lpstr>
      <vt:lpstr>EN_03001_d3</vt:lpstr>
      <vt:lpstr>EN_03001_d4</vt:lpstr>
      <vt:lpstr>EN_03001_m</vt:lpstr>
      <vt:lpstr>EN_03001_p</vt:lpstr>
      <vt:lpstr>EN_03001_q</vt:lpstr>
      <vt:lpstr>EN_03001_t</vt:lpstr>
      <vt:lpstr>En_03002</vt:lpstr>
      <vt:lpstr>EN_03002_d</vt:lpstr>
      <vt:lpstr>EN_03002_f</vt:lpstr>
      <vt:lpstr>EN_03002_m</vt:lpstr>
      <vt:lpstr>EN_03002_p</vt:lpstr>
      <vt:lpstr>En_03002_q</vt:lpstr>
      <vt:lpstr>EN_03002_t</vt:lpstr>
      <vt:lpstr>EN_03003</vt:lpstr>
      <vt:lpstr>EN_03003_m</vt:lpstr>
      <vt:lpstr>EN_03003_p</vt:lpstr>
      <vt:lpstr>En_03003_q</vt:lpstr>
      <vt:lpstr>EN_03004</vt:lpstr>
      <vt:lpstr>EN_03004_m</vt:lpstr>
      <vt:lpstr>EN_03004_p</vt:lpstr>
      <vt:lpstr>En_03004_q</vt:lpstr>
      <vt:lpstr>EN_03005</vt:lpstr>
      <vt:lpstr>EN_03005_d</vt:lpstr>
      <vt:lpstr>EN_03005_m</vt:lpstr>
      <vt:lpstr>EN_03005_p</vt:lpstr>
      <vt:lpstr>EN_03005_q</vt:lpstr>
      <vt:lpstr>EN_03006</vt:lpstr>
      <vt:lpstr>EN_03006_d</vt:lpstr>
      <vt:lpstr>EN_03006_m</vt:lpstr>
      <vt:lpstr>EN_03006_p</vt:lpstr>
      <vt:lpstr>EN_03006_q</vt:lpstr>
      <vt:lpstr>EN_04001</vt:lpstr>
      <vt:lpstr>EN_04001_m</vt:lpstr>
      <vt:lpstr>EN_04001_p</vt:lpstr>
      <vt:lpstr>EN_04001_q</vt:lpstr>
      <vt:lpstr>EN_04001_t</vt:lpstr>
      <vt:lpstr>EN_04002</vt:lpstr>
      <vt:lpstr>EN_04002_m</vt:lpstr>
      <vt:lpstr>EN_04002_p</vt:lpstr>
      <vt:lpstr>EN_04002_q</vt:lpstr>
      <vt:lpstr>EN_04003</vt:lpstr>
      <vt:lpstr>EN_04003_d</vt:lpstr>
      <vt:lpstr>EN_04003_m</vt:lpstr>
      <vt:lpstr>EN_04003_p</vt:lpstr>
      <vt:lpstr>EN_04003_q</vt:lpstr>
      <vt:lpstr>EN_04004</vt:lpstr>
      <vt:lpstr>EN_04004_m</vt:lpstr>
      <vt:lpstr>EN_04004_p</vt:lpstr>
      <vt:lpstr>EN_04004_q</vt:lpstr>
      <vt:lpstr>EN_04005</vt:lpstr>
      <vt:lpstr>EN_04005_d</vt:lpstr>
      <vt:lpstr>EN_04005_m</vt:lpstr>
      <vt:lpstr>EN_04005_p</vt:lpstr>
      <vt:lpstr>EN_04005_q</vt:lpstr>
      <vt:lpstr>EN_04006</vt:lpstr>
      <vt:lpstr>EN_04006_m</vt:lpstr>
      <vt:lpstr>EN_04006_p</vt:lpstr>
      <vt:lpstr>EN_04006_q</vt:lpstr>
      <vt:lpstr>EN_05001</vt:lpstr>
      <vt:lpstr>EN_05001_m</vt:lpstr>
      <vt:lpstr>EN_05001_p</vt:lpstr>
      <vt:lpstr>EN_05001_q</vt:lpstr>
      <vt:lpstr>EN_05002</vt:lpstr>
      <vt:lpstr>EN_05002_d</vt:lpstr>
      <vt:lpstr>EN_05002_m</vt:lpstr>
      <vt:lpstr>EN_05002_p</vt:lpstr>
      <vt:lpstr>EN_05002_q</vt:lpstr>
      <vt:lpstr>EN_05003</vt:lpstr>
      <vt:lpstr>EN_05003_m</vt:lpstr>
      <vt:lpstr>EN_05003_p</vt:lpstr>
      <vt:lpstr>EN_05003_q</vt:lpstr>
      <vt:lpstr>EN_05004</vt:lpstr>
      <vt:lpstr>EN_05004_m</vt:lpstr>
      <vt:lpstr>EN_05004_p</vt:lpstr>
      <vt:lpstr>EN_05004_q</vt:lpstr>
      <vt:lpstr>EN_05005</vt:lpstr>
      <vt:lpstr>EN_05005_d</vt:lpstr>
      <vt:lpstr>EN_05005_m</vt:lpstr>
      <vt:lpstr>EN_05005_p</vt:lpstr>
      <vt:lpstr>EN_05005_q</vt:lpstr>
      <vt:lpstr>EN_05006</vt:lpstr>
      <vt:lpstr>EN_05006_m</vt:lpstr>
      <vt:lpstr>EN_05006_p</vt:lpstr>
      <vt:lpstr>EN_05006_q</vt:lpstr>
      <vt:lpstr>EN_06001</vt:lpstr>
      <vt:lpstr>EN_06001_m</vt:lpstr>
      <vt:lpstr>EN_06001_p</vt:lpstr>
      <vt:lpstr>EN_06001_q</vt:lpstr>
      <vt:lpstr>EN_06002</vt:lpstr>
      <vt:lpstr>EN_06002_m</vt:lpstr>
      <vt:lpstr>EN_06002_p</vt:lpstr>
      <vt:lpstr>EN_06002_q</vt:lpstr>
      <vt:lpstr>EN_06003</vt:lpstr>
      <vt:lpstr>EN_06003_m</vt:lpstr>
      <vt:lpstr>EN_06003_p</vt:lpstr>
      <vt:lpstr>EN_06003_q</vt:lpstr>
      <vt:lpstr>EN_06004</vt:lpstr>
      <vt:lpstr>EN_06004_m</vt:lpstr>
      <vt:lpstr>EN_06004_p</vt:lpstr>
      <vt:lpstr>EN_06004_q</vt:lpstr>
      <vt:lpstr>EN_06005</vt:lpstr>
      <vt:lpstr>EN_06005_m</vt:lpstr>
      <vt:lpstr>EN_06005_p</vt:lpstr>
      <vt:lpstr>EN_06005_q</vt:lpstr>
      <vt:lpstr>EN_06006</vt:lpstr>
      <vt:lpstr>EN_06006_m</vt:lpstr>
      <vt:lpstr>EN_06006_p</vt:lpstr>
      <vt:lpstr>EN_06006_q</vt:lpstr>
      <vt:lpstr>EN_06007</vt:lpstr>
      <vt:lpstr>EN_06007_m</vt:lpstr>
      <vt:lpstr>En_06007_p</vt:lpstr>
      <vt:lpstr>EN_06007_q</vt:lpstr>
      <vt:lpstr>EN_06007_t</vt:lpstr>
      <vt:lpstr>EN_06008</vt:lpstr>
      <vt:lpstr>EN_06008_m</vt:lpstr>
      <vt:lpstr>EN_06008_p</vt:lpstr>
      <vt:lpstr>EN_06008_q</vt:lpstr>
      <vt:lpstr>EN_06009</vt:lpstr>
      <vt:lpstr>EN_06009_m</vt:lpstr>
      <vt:lpstr>EN_06009_p</vt:lpstr>
      <vt:lpstr>EN_06009_q</vt:lpstr>
      <vt:lpstr>EN_07001</vt:lpstr>
      <vt:lpstr>EN_07001_m</vt:lpstr>
      <vt:lpstr>EN_07001_p</vt:lpstr>
      <vt:lpstr>EN_07001_q</vt:lpstr>
      <vt:lpstr>EN_07002</vt:lpstr>
      <vt:lpstr>EN_07002_m</vt:lpstr>
      <vt:lpstr>EN_07002_p</vt:lpstr>
      <vt:lpstr>EN_07002_q</vt:lpstr>
      <vt:lpstr>EN_07002_t</vt:lpstr>
      <vt:lpstr>EN_08001</vt:lpstr>
      <vt:lpstr>EN_08001_f</vt:lpstr>
      <vt:lpstr>EN_08001_m</vt:lpstr>
      <vt:lpstr>EN_08001_p</vt:lpstr>
      <vt:lpstr>EN_08001_q</vt:lpstr>
      <vt:lpstr>EN_08002</vt:lpstr>
      <vt:lpstr>EN_08002_d</vt:lpstr>
      <vt:lpstr>EN_08002_m</vt:lpstr>
      <vt:lpstr>EN_08002_q</vt:lpstr>
      <vt:lpstr>EN_08003</vt:lpstr>
      <vt:lpstr>EN_08003_f</vt:lpstr>
      <vt:lpstr>EN_08003_m</vt:lpstr>
      <vt:lpstr>EN_08003_p</vt:lpstr>
      <vt:lpstr>EN_08003_q</vt:lpstr>
      <vt:lpstr>EN_08004</vt:lpstr>
      <vt:lpstr>EN_08004_d</vt:lpstr>
      <vt:lpstr>EN_08004_m</vt:lpstr>
      <vt:lpstr>EN_08004_p</vt:lpstr>
      <vt:lpstr>EN_08004_q</vt:lpstr>
      <vt:lpstr>EN_08004_t</vt:lpstr>
      <vt:lpstr>EN_08005</vt:lpstr>
      <vt:lpstr>EN_08005_d</vt:lpstr>
      <vt:lpstr>EN_08005_m</vt:lpstr>
      <vt:lpstr>EN_08005_p</vt:lpstr>
      <vt:lpstr>EN_08005_q</vt:lpstr>
      <vt:lpstr>EN_08006</vt:lpstr>
      <vt:lpstr>EN_08006_d</vt:lpstr>
      <vt:lpstr>EN_08006_m</vt:lpstr>
      <vt:lpstr>EN_08006_p</vt:lpstr>
      <vt:lpstr>EN_08006_q</vt:lpstr>
      <vt:lpstr>EN_08007</vt:lpstr>
      <vt:lpstr>EN_08007_d</vt:lpstr>
      <vt:lpstr>EN_08007_m</vt:lpstr>
      <vt:lpstr>EN_08007_p</vt:lpstr>
      <vt:lpstr>EN_08007_q</vt:lpstr>
      <vt:lpstr>EN_08008</vt:lpstr>
      <vt:lpstr>EN_08008_d</vt:lpstr>
      <vt:lpstr>EN_08008_m</vt:lpstr>
      <vt:lpstr>EN_08008_p</vt:lpstr>
      <vt:lpstr>EN_08008_q</vt:lpstr>
      <vt:lpstr>EN_09001</vt:lpstr>
      <vt:lpstr>EN_09001_m</vt:lpstr>
      <vt:lpstr>EN_09001_p</vt:lpstr>
      <vt:lpstr>EN_09001_q</vt:lpstr>
      <vt:lpstr>EN_09002</vt:lpstr>
      <vt:lpstr>EN_09002_m</vt:lpstr>
      <vt:lpstr>EN_09002_p</vt:lpstr>
      <vt:lpstr>EN_09002_q</vt:lpstr>
      <vt:lpstr>EN_09003</vt:lpstr>
      <vt:lpstr>EN_09003_d</vt:lpstr>
      <vt:lpstr>EN_09003_m</vt:lpstr>
      <vt:lpstr>EN_09003_p</vt:lpstr>
      <vt:lpstr>EN_09003_q</vt:lpstr>
      <vt:lpstr>EN_09004</vt:lpstr>
      <vt:lpstr>EN_09004_d</vt:lpstr>
      <vt:lpstr>EN_09004_m</vt:lpstr>
      <vt:lpstr>EN_09004_p</vt:lpstr>
      <vt:lpstr>EN_09004_q</vt:lpstr>
      <vt:lpstr>EN_09005</vt:lpstr>
      <vt:lpstr>EN_09005_d</vt:lpstr>
      <vt:lpstr>EN_09005_m</vt:lpstr>
      <vt:lpstr>EN_09005_p</vt:lpstr>
      <vt:lpstr>EN_09005_q</vt:lpstr>
      <vt:lpstr>EN_09006</vt:lpstr>
      <vt:lpstr>EN_09006_f</vt:lpstr>
      <vt:lpstr>EN_09006_m</vt:lpstr>
      <vt:lpstr>EN_09006_p</vt:lpstr>
      <vt:lpstr>EN_09006_q</vt:lpstr>
      <vt:lpstr>EN_10001</vt:lpstr>
      <vt:lpstr>EN_10001_f</vt:lpstr>
      <vt:lpstr>EN_10001_m</vt:lpstr>
      <vt:lpstr>EN_10001_p</vt:lpstr>
      <vt:lpstr>EN_10001_q</vt:lpstr>
      <vt:lpstr>EN_10002</vt:lpstr>
      <vt:lpstr>EN_10002_m</vt:lpstr>
      <vt:lpstr>EN_10002_q</vt:lpstr>
      <vt:lpstr>EN_10003</vt:lpstr>
      <vt:lpstr>EN_10003_d</vt:lpstr>
      <vt:lpstr>EN_10003_m</vt:lpstr>
      <vt:lpstr>EN_10003_p</vt:lpstr>
      <vt:lpstr>EN_10003_q</vt:lpstr>
      <vt:lpstr>EN_10004</vt:lpstr>
      <vt:lpstr>EN_10004_d</vt:lpstr>
      <vt:lpstr>EN_10004_m</vt:lpstr>
      <vt:lpstr>EN_10004_p</vt:lpstr>
      <vt:lpstr>EN_10004_q</vt:lpstr>
      <vt:lpstr>EN_10005</vt:lpstr>
      <vt:lpstr>EN_10005_d</vt:lpstr>
      <vt:lpstr>EN_10005_m</vt:lpstr>
      <vt:lpstr>EN_10005_p</vt:lpstr>
      <vt:lpstr>EN_10005_q</vt:lpstr>
      <vt:lpstr>EN_10006</vt:lpstr>
      <vt:lpstr>EN_10006_d</vt:lpstr>
      <vt:lpstr>EN_10006_m</vt:lpstr>
      <vt:lpstr>EN_10006_p</vt:lpstr>
      <vt:lpstr>EN_10006_q</vt:lpstr>
      <vt:lpstr>EN_10007</vt:lpstr>
      <vt:lpstr>EN_10007_d</vt:lpstr>
      <vt:lpstr>EN_10007_m</vt:lpstr>
      <vt:lpstr>EN_10007_p</vt:lpstr>
      <vt:lpstr>EN_10007_q</vt:lpstr>
      <vt:lpstr>EN_10008</vt:lpstr>
      <vt:lpstr>EN_10008_d</vt:lpstr>
      <vt:lpstr>EN_10008_m</vt:lpstr>
      <vt:lpstr>EN_10008_p</vt:lpstr>
      <vt:lpstr>EN_10008_q</vt:lpstr>
      <vt:lpstr>EN_11001</vt:lpstr>
      <vt:lpstr>EN_11001_m</vt:lpstr>
      <vt:lpstr>EN_11001_p</vt:lpstr>
      <vt:lpstr>EN_11001_q</vt:lpstr>
      <vt:lpstr>EN_11002</vt:lpstr>
      <vt:lpstr>EN_11002_m</vt:lpstr>
      <vt:lpstr>EN_11002_p</vt:lpstr>
      <vt:lpstr>EN_11002_q</vt:lpstr>
      <vt:lpstr>EN_11003</vt:lpstr>
      <vt:lpstr>EN_11003_m</vt:lpstr>
      <vt:lpstr>EN_11003_p</vt:lpstr>
      <vt:lpstr>EN_11003_q</vt:lpstr>
      <vt:lpstr>EN_11004</vt:lpstr>
      <vt:lpstr>EN_11004_m</vt:lpstr>
      <vt:lpstr>EN_11004_p</vt:lpstr>
      <vt:lpstr>EN_11004_q</vt:lpstr>
      <vt:lpstr>EN_12001</vt:lpstr>
      <vt:lpstr>EN_12001_m</vt:lpstr>
      <vt:lpstr>EN_12001_p</vt:lpstr>
      <vt:lpstr>EN_12001_q</vt:lpstr>
      <vt:lpstr>EN_12002</vt:lpstr>
      <vt:lpstr>EN_12002_d</vt:lpstr>
      <vt:lpstr>EN_12002_m</vt:lpstr>
      <vt:lpstr>EN_12002_p</vt:lpstr>
      <vt:lpstr>EN_12002_q</vt:lpstr>
      <vt:lpstr>EN_12003</vt:lpstr>
      <vt:lpstr>EN_12003_d</vt:lpstr>
      <vt:lpstr>EN_12003_m</vt:lpstr>
      <vt:lpstr>EN_12003_p</vt:lpstr>
      <vt:lpstr>EN_12003_q</vt:lpstr>
      <vt:lpstr>EN_12004</vt:lpstr>
      <vt:lpstr>EN_12004_d</vt:lpstr>
      <vt:lpstr>EN_12004_m</vt:lpstr>
      <vt:lpstr>EN_12004_p</vt:lpstr>
      <vt:lpstr>EN_12004_q</vt:lpstr>
      <vt:lpstr>EN_12005</vt:lpstr>
      <vt:lpstr>EN_12005_m</vt:lpstr>
      <vt:lpstr>EN_12005_p</vt:lpstr>
      <vt:lpstr>EN_12005_q</vt:lpstr>
      <vt:lpstr>EN_12006</vt:lpstr>
      <vt:lpstr>EN_12006_d</vt:lpstr>
      <vt:lpstr>EN_12006_m</vt:lpstr>
      <vt:lpstr>EN_12006_p</vt:lpstr>
      <vt:lpstr>EN_12006_q</vt:lpstr>
      <vt:lpstr>EN_A0001</vt:lpstr>
      <vt:lpstr>EN_A0001_f</vt:lpstr>
      <vt:lpstr>EN_A0001_m</vt:lpstr>
      <vt:lpstr>EN_A0001_p</vt:lpstr>
      <vt:lpstr>EN_A0001_q</vt:lpstr>
      <vt:lpstr>EN_A0001_t</vt:lpstr>
      <vt:lpstr>EN_A0002</vt:lpstr>
      <vt:lpstr>EN_A0002_f</vt:lpstr>
      <vt:lpstr>EN_A0002_m</vt:lpstr>
      <vt:lpstr>EN_A0002_p</vt:lpstr>
      <vt:lpstr>EN_A0002_q</vt:lpstr>
      <vt:lpstr>EN_A0002_t</vt:lpstr>
      <vt:lpstr>EN_A0003</vt:lpstr>
      <vt:lpstr>EN_A0003_f</vt:lpstr>
      <vt:lpstr>EN_A0003_m</vt:lpstr>
      <vt:lpstr>EN_A0003_p</vt:lpstr>
      <vt:lpstr>EN_A0003_q</vt:lpstr>
      <vt:lpstr>EN_A0003_t</vt:lpstr>
      <vt:lpstr>EN_A0004</vt:lpstr>
      <vt:lpstr>EN_A0004_f</vt:lpstr>
      <vt:lpstr>EN_A0004_m</vt:lpstr>
      <vt:lpstr>EN_A0004_p</vt:lpstr>
      <vt:lpstr>EN_A0004_q</vt:lpstr>
      <vt:lpstr>EN_A0004_t</vt:lpstr>
      <vt:lpstr>EN_A0005</vt:lpstr>
      <vt:lpstr>EN_A0005_f</vt:lpstr>
      <vt:lpstr>EN_A0005_m</vt:lpstr>
      <vt:lpstr>EN_A0005_p</vt:lpstr>
      <vt:lpstr>EN_A0005_q</vt:lpstr>
      <vt:lpstr>EN_A0006</vt:lpstr>
      <vt:lpstr>EN_A0006_f</vt:lpstr>
      <vt:lpstr>EN_A0006_m</vt:lpstr>
      <vt:lpstr>EN_A0006_p</vt:lpstr>
      <vt:lpstr>EN_A0006_q</vt:lpstr>
      <vt:lpstr>EN_A0007</vt:lpstr>
      <vt:lpstr>EN_A0007_f</vt:lpstr>
      <vt:lpstr>EN_A0007_m</vt:lpstr>
      <vt:lpstr>EN_A0007_p</vt:lpstr>
      <vt:lpstr>EN_A0007_q</vt:lpstr>
      <vt:lpstr>EN_A0008</vt:lpstr>
      <vt:lpstr>EN_A0008_f</vt:lpstr>
      <vt:lpstr>EN_A0008_m</vt:lpstr>
      <vt:lpstr>EN_A0008_p</vt:lpstr>
      <vt:lpstr>EN_A0008_q</vt:lpstr>
      <vt:lpstr>EN_A0008_t</vt:lpstr>
      <vt:lpstr>EN_A0009</vt:lpstr>
      <vt:lpstr>EN_A0009_f</vt:lpstr>
      <vt:lpstr>EN_A0009_m</vt:lpstr>
      <vt:lpstr>EN_A0009_p</vt:lpstr>
      <vt:lpstr>EN_A0009_q</vt:lpstr>
      <vt:lpstr>EN_A0009_t</vt:lpstr>
      <vt:lpstr>EN_A0010</vt:lpstr>
      <vt:lpstr>EN_A0010_f</vt:lpstr>
      <vt:lpstr>EN_A0010_m</vt:lpstr>
      <vt:lpstr>EN_A0010_p</vt:lpstr>
      <vt:lpstr>EN_A0010_q</vt:lpstr>
      <vt:lpstr>EN_A0010_t</vt:lpstr>
      <vt:lpstr>EN_A0011</vt:lpstr>
      <vt:lpstr>EN_A0011_f</vt:lpstr>
      <vt:lpstr>EN_A0011_m</vt:lpstr>
      <vt:lpstr>EN_A0011_p</vt:lpstr>
      <vt:lpstr>EN_A0011_q</vt:lpstr>
      <vt:lpstr>EN_A0012</vt:lpstr>
      <vt:lpstr>EN_A0012_f</vt:lpstr>
      <vt:lpstr>EN_A0012_m</vt:lpstr>
      <vt:lpstr>EN_A0012_p</vt:lpstr>
      <vt:lpstr>EN_A0012_q</vt:lpstr>
      <vt:lpstr>EN_A0012_t</vt:lpstr>
      <vt:lpstr>FR_01001</vt:lpstr>
      <vt:lpstr>FR_01001_m</vt:lpstr>
      <vt:lpstr>FR_01001_p</vt:lpstr>
      <vt:lpstr>FR_01001_q</vt:lpstr>
      <vt:lpstr>FR_01002</vt:lpstr>
      <vt:lpstr>FR_01002_m</vt:lpstr>
      <vt:lpstr>FR_01002_p</vt:lpstr>
      <vt:lpstr>FR_01002_q</vt:lpstr>
      <vt:lpstr>FR_01003</vt:lpstr>
      <vt:lpstr>FR_01003_m</vt:lpstr>
      <vt:lpstr>FR_01003_p</vt:lpstr>
      <vt:lpstr>FR_01003_q</vt:lpstr>
      <vt:lpstr>FR_01004</vt:lpstr>
      <vt:lpstr>FR_01004_m</vt:lpstr>
      <vt:lpstr>FR_01004_p</vt:lpstr>
      <vt:lpstr>FR_01004_q</vt:lpstr>
      <vt:lpstr>FR_01005</vt:lpstr>
      <vt:lpstr>FR_01005_m</vt:lpstr>
      <vt:lpstr>FR_01005_p</vt:lpstr>
      <vt:lpstr>FR_01005_q</vt:lpstr>
      <vt:lpstr>FR_01006</vt:lpstr>
      <vt:lpstr>FR_01006_m</vt:lpstr>
      <vt:lpstr>FR_01006_p</vt:lpstr>
      <vt:lpstr>FR_01006_q</vt:lpstr>
      <vt:lpstr>FR_01007</vt:lpstr>
      <vt:lpstr>FR_01007_m</vt:lpstr>
      <vt:lpstr>FR_01007_p</vt:lpstr>
      <vt:lpstr>FR_01007_q</vt:lpstr>
      <vt:lpstr>FR_01008</vt:lpstr>
      <vt:lpstr>FR_01008_m</vt:lpstr>
      <vt:lpstr>FR_01008_p</vt:lpstr>
      <vt:lpstr>FR_01008_q</vt:lpstr>
      <vt:lpstr>FR_01009</vt:lpstr>
      <vt:lpstr>FR_01009_m</vt:lpstr>
      <vt:lpstr>FR_01009_p</vt:lpstr>
      <vt:lpstr>FR_01009_q</vt:lpstr>
      <vt:lpstr>FR_02001</vt:lpstr>
      <vt:lpstr>FR_02001_m</vt:lpstr>
      <vt:lpstr>FR_02001_p</vt:lpstr>
      <vt:lpstr>FR_02001_q</vt:lpstr>
      <vt:lpstr>FR_03001</vt:lpstr>
      <vt:lpstr>FR_03001_m</vt:lpstr>
      <vt:lpstr>FR_03001_p</vt:lpstr>
      <vt:lpstr>FR_03001_q</vt:lpstr>
      <vt:lpstr>FR_03001_t</vt:lpstr>
      <vt:lpstr>FR_03002</vt:lpstr>
      <vt:lpstr>FR_03002_m</vt:lpstr>
      <vt:lpstr>FR_03002_p</vt:lpstr>
      <vt:lpstr>FR_03002_q</vt:lpstr>
      <vt:lpstr>FR_03002_t</vt:lpstr>
      <vt:lpstr>FR_03003</vt:lpstr>
      <vt:lpstr>FR_03003_m</vt:lpstr>
      <vt:lpstr>FR_03003_p</vt:lpstr>
      <vt:lpstr>FR_03003_q</vt:lpstr>
      <vt:lpstr>FR_04001</vt:lpstr>
      <vt:lpstr>FR_04001_m</vt:lpstr>
      <vt:lpstr>FR_04001_p</vt:lpstr>
      <vt:lpstr>FR_04001_q</vt:lpstr>
      <vt:lpstr>FR_04002</vt:lpstr>
      <vt:lpstr>FR_04002_m</vt:lpstr>
      <vt:lpstr>FR_04002_p</vt:lpstr>
      <vt:lpstr>FR_04002_q</vt:lpstr>
      <vt:lpstr>FR_04003</vt:lpstr>
      <vt:lpstr>FR_04003_m</vt:lpstr>
      <vt:lpstr>FR_04003_p</vt:lpstr>
      <vt:lpstr>FR_04003_q</vt:lpstr>
      <vt:lpstr>FR_04004</vt:lpstr>
      <vt:lpstr>FR_04004_m</vt:lpstr>
      <vt:lpstr>FR_04004_p</vt:lpstr>
      <vt:lpstr>FR_04004_q</vt:lpstr>
      <vt:lpstr>FR_04005</vt:lpstr>
      <vt:lpstr>FR_04005_m</vt:lpstr>
      <vt:lpstr>FR_04005_p</vt:lpstr>
      <vt:lpstr>FR_04005_q</vt:lpstr>
      <vt:lpstr>FR_04006</vt:lpstr>
      <vt:lpstr>FR_04006_m</vt:lpstr>
      <vt:lpstr>FR_04006_p</vt:lpstr>
      <vt:lpstr>FR_04006_q</vt:lpstr>
      <vt:lpstr>FR_04007</vt:lpstr>
      <vt:lpstr>FR_04007_m</vt:lpstr>
      <vt:lpstr>FR_04007_p</vt:lpstr>
      <vt:lpstr>FR_04007_q</vt:lpstr>
      <vt:lpstr>FR_04008</vt:lpstr>
      <vt:lpstr>FR_04008_m</vt:lpstr>
      <vt:lpstr>FR_04008_p</vt:lpstr>
      <vt:lpstr>FR_04008_q</vt:lpstr>
      <vt:lpstr>FR_04009</vt:lpstr>
      <vt:lpstr>FR_04009_m</vt:lpstr>
      <vt:lpstr>FR_04009_p</vt:lpstr>
      <vt:lpstr>FR_04009_q</vt:lpstr>
      <vt:lpstr>FR_04010</vt:lpstr>
      <vt:lpstr>FR_04010_m</vt:lpstr>
      <vt:lpstr>FR_04010_p</vt:lpstr>
      <vt:lpstr>FR_04010_q</vt:lpstr>
      <vt:lpstr>FR_04011</vt:lpstr>
      <vt:lpstr>FR_04011_m</vt:lpstr>
      <vt:lpstr>FR_04011_p</vt:lpstr>
      <vt:lpstr>FR_04011_q</vt:lpstr>
      <vt:lpstr>FR_04011_t</vt:lpstr>
      <vt:lpstr>FR_04012</vt:lpstr>
      <vt:lpstr>FR_04012_m</vt:lpstr>
      <vt:lpstr>FR_04012_p</vt:lpstr>
      <vt:lpstr>FR_04012_q</vt:lpstr>
      <vt:lpstr>FR_04013</vt:lpstr>
      <vt:lpstr>FR_04013_m</vt:lpstr>
      <vt:lpstr>FR_04013_p</vt:lpstr>
      <vt:lpstr>FR_04013_q</vt:lpstr>
      <vt:lpstr>FR_04014</vt:lpstr>
      <vt:lpstr>FR_04014_m</vt:lpstr>
      <vt:lpstr>FR_04014_p</vt:lpstr>
      <vt:lpstr>FR_04014_q</vt:lpstr>
      <vt:lpstr>FR_04015</vt:lpstr>
      <vt:lpstr>FR_04015_m</vt:lpstr>
      <vt:lpstr>FR_04015_p</vt:lpstr>
      <vt:lpstr>FR_04015_q</vt:lpstr>
      <vt:lpstr>FR_04016</vt:lpstr>
      <vt:lpstr>FR_04016_m</vt:lpstr>
      <vt:lpstr>FR_04016_p</vt:lpstr>
      <vt:lpstr>FR_04016_q</vt:lpstr>
      <vt:lpstr>FR_04017</vt:lpstr>
      <vt:lpstr>FR_04017_m</vt:lpstr>
      <vt:lpstr>FR_04017_p</vt:lpstr>
      <vt:lpstr>FR_04017_q</vt:lpstr>
      <vt:lpstr>FR_04018</vt:lpstr>
      <vt:lpstr>FR_04018_m</vt:lpstr>
      <vt:lpstr>FR_04018_p</vt:lpstr>
      <vt:lpstr>FR_04018_q</vt:lpstr>
      <vt:lpstr>FR_04019</vt:lpstr>
      <vt:lpstr>FR_04019_m</vt:lpstr>
      <vt:lpstr>FR_04019_p</vt:lpstr>
      <vt:lpstr>FR_04019_q</vt:lpstr>
      <vt:lpstr>FR_05001</vt:lpstr>
      <vt:lpstr>FR_05001_m</vt:lpstr>
      <vt:lpstr>FR_05001_p</vt:lpstr>
      <vt:lpstr>FR_05001_q</vt:lpstr>
      <vt:lpstr>FR_05002</vt:lpstr>
      <vt:lpstr>FR_05002_m</vt:lpstr>
      <vt:lpstr>FR_05002_p</vt:lpstr>
      <vt:lpstr>FR_05002_q</vt:lpstr>
      <vt:lpstr>FR_05002_t</vt:lpstr>
      <vt:lpstr>FR_05003</vt:lpstr>
      <vt:lpstr>FR_05003_m</vt:lpstr>
      <vt:lpstr>FR_05003_p</vt:lpstr>
      <vt:lpstr>FR_05003_q</vt:lpstr>
      <vt:lpstr>FR_05003_t</vt:lpstr>
      <vt:lpstr>FR_05004</vt:lpstr>
      <vt:lpstr>FR_05004_m</vt:lpstr>
      <vt:lpstr>FR_05004_p</vt:lpstr>
      <vt:lpstr>FR_05004_q</vt:lpstr>
      <vt:lpstr>FR_05004_t</vt:lpstr>
      <vt:lpstr>FR_05005</vt:lpstr>
      <vt:lpstr>FR_05005_m</vt:lpstr>
      <vt:lpstr>FR_05005_p</vt:lpstr>
      <vt:lpstr>FR_05005_q</vt:lpstr>
      <vt:lpstr>FR_06001</vt:lpstr>
      <vt:lpstr>FR_06001_m</vt:lpstr>
      <vt:lpstr>FR_06001_p</vt:lpstr>
      <vt:lpstr>FR_06001_q</vt:lpstr>
      <vt:lpstr>FR_06001_t</vt:lpstr>
      <vt:lpstr>FR_06002</vt:lpstr>
      <vt:lpstr>FR_06002_m</vt:lpstr>
      <vt:lpstr>FR_06002_p</vt:lpstr>
      <vt:lpstr>FR_06002_q</vt:lpstr>
      <vt:lpstr>FR_06002_t</vt:lpstr>
      <vt:lpstr>FR_06003</vt:lpstr>
      <vt:lpstr>FR_06003_m</vt:lpstr>
      <vt:lpstr>FR_06003_p</vt:lpstr>
      <vt:lpstr>FR_06003_q</vt:lpstr>
      <vt:lpstr>FR_06003_t</vt:lpstr>
      <vt:lpstr>FR_06004</vt:lpstr>
      <vt:lpstr>FR_06004_m</vt:lpstr>
      <vt:lpstr>FR_06004_p</vt:lpstr>
      <vt:lpstr>FR_06004_q</vt:lpstr>
      <vt:lpstr>FR_06004_t</vt:lpstr>
      <vt:lpstr>FR_06005</vt:lpstr>
      <vt:lpstr>FR_06005_m</vt:lpstr>
      <vt:lpstr>FR_06005_p</vt:lpstr>
      <vt:lpstr>FR_06005_q</vt:lpstr>
      <vt:lpstr>FR_A0001</vt:lpstr>
      <vt:lpstr>FR_A0001_m</vt:lpstr>
      <vt:lpstr>FR_A0001_p</vt:lpstr>
      <vt:lpstr>FR_A0001_q</vt:lpstr>
      <vt:lpstr>FR_A0001_t</vt:lpstr>
      <vt:lpstr>FR_A0002</vt:lpstr>
      <vt:lpstr>FR_A0002_f</vt:lpstr>
      <vt:lpstr>FR_A0002_p</vt:lpstr>
      <vt:lpstr>FR_A0002_q</vt:lpstr>
      <vt:lpstr>FR_A0003</vt:lpstr>
      <vt:lpstr>FR_A0003_f</vt:lpstr>
      <vt:lpstr>FR_A0003_m</vt:lpstr>
      <vt:lpstr>FR_A0003_p</vt:lpstr>
      <vt:lpstr>FR_A0003_q</vt:lpstr>
      <vt:lpstr>FR_A0003_t</vt:lpstr>
      <vt:lpstr>FR_A0004</vt:lpstr>
      <vt:lpstr>FR_A0004_f</vt:lpstr>
      <vt:lpstr>FR_A0004_m</vt:lpstr>
      <vt:lpstr>FR_A0004_p</vt:lpstr>
      <vt:lpstr>FR_A0004_q</vt:lpstr>
      <vt:lpstr>FR_A0004_t</vt:lpstr>
      <vt:lpstr>FR_A0005</vt:lpstr>
      <vt:lpstr>FR_A0005_f</vt:lpstr>
      <vt:lpstr>FR_A0005_m</vt:lpstr>
      <vt:lpstr>FR_A0005_p</vt:lpstr>
      <vt:lpstr>FR_A0005_q</vt:lpstr>
      <vt:lpstr>FR_A0005_t</vt:lpstr>
      <vt:lpstr>FR_A0006</vt:lpstr>
      <vt:lpstr>FR_A0006_f</vt:lpstr>
      <vt:lpstr>FR_A0006_m</vt:lpstr>
      <vt:lpstr>FR_A0006_p</vt:lpstr>
      <vt:lpstr>FR_A0006_q</vt:lpstr>
      <vt:lpstr>FR_A0006_t</vt:lpstr>
      <vt:lpstr>BOM!Impression_des_titres</vt:lpstr>
      <vt:lpstr>MS_01001</vt:lpstr>
      <vt:lpstr>MS_01001_m</vt:lpstr>
      <vt:lpstr>MS_01001_p</vt:lpstr>
      <vt:lpstr>MS_01001_q</vt:lpstr>
      <vt:lpstr>MS_01002</vt:lpstr>
      <vt:lpstr>MS_01002_m</vt:lpstr>
      <vt:lpstr>MS_01002_p</vt:lpstr>
      <vt:lpstr>MS_01002_q</vt:lpstr>
      <vt:lpstr>MS_01003</vt:lpstr>
      <vt:lpstr>MS_01003_m</vt:lpstr>
      <vt:lpstr>MS_01003_p</vt:lpstr>
      <vt:lpstr>MS_01003_q</vt:lpstr>
      <vt:lpstr>MS_01004</vt:lpstr>
      <vt:lpstr>MS_01004_m</vt:lpstr>
      <vt:lpstr>MS_01004_p</vt:lpstr>
      <vt:lpstr>MS_01004_q</vt:lpstr>
      <vt:lpstr>MS_01005</vt:lpstr>
      <vt:lpstr>MS_01005_m</vt:lpstr>
      <vt:lpstr>MS_01005_p</vt:lpstr>
      <vt:lpstr>MS_01005_q</vt:lpstr>
      <vt:lpstr>MS_01006</vt:lpstr>
      <vt:lpstr>MS_01006_m</vt:lpstr>
      <vt:lpstr>MS_01006_p</vt:lpstr>
      <vt:lpstr>MS_01006_q</vt:lpstr>
      <vt:lpstr>MS_01007</vt:lpstr>
      <vt:lpstr>MS_01007_m</vt:lpstr>
      <vt:lpstr>MS_01007_p</vt:lpstr>
      <vt:lpstr>MS_01007_q</vt:lpstr>
      <vt:lpstr>MS_02001</vt:lpstr>
      <vt:lpstr>MS_02001_m</vt:lpstr>
      <vt:lpstr>MS_02001_p</vt:lpstr>
      <vt:lpstr>MS_02001_q</vt:lpstr>
      <vt:lpstr>MS_03001</vt:lpstr>
      <vt:lpstr>MS_03001_m</vt:lpstr>
      <vt:lpstr>MS_03001_p</vt:lpstr>
      <vt:lpstr>MS_03001_q</vt:lpstr>
      <vt:lpstr>MS_03002</vt:lpstr>
      <vt:lpstr>MS_03002_m</vt:lpstr>
      <vt:lpstr>MS_03002_p</vt:lpstr>
      <vt:lpstr>MS_03002_q</vt:lpstr>
      <vt:lpstr>MS_03003</vt:lpstr>
      <vt:lpstr>MS_03003_m</vt:lpstr>
      <vt:lpstr>MS_03003_p</vt:lpstr>
      <vt:lpstr>MS_03003_q</vt:lpstr>
      <vt:lpstr>MS_04001</vt:lpstr>
      <vt:lpstr>MS_04001_m</vt:lpstr>
      <vt:lpstr>MS_04001_p</vt:lpstr>
      <vt:lpstr>MS_04001_q</vt:lpstr>
      <vt:lpstr>MS_05001</vt:lpstr>
      <vt:lpstr>MS_05001_m</vt:lpstr>
      <vt:lpstr>MS_05001_p</vt:lpstr>
      <vt:lpstr>MS_05001_q</vt:lpstr>
      <vt:lpstr>MS_05001_t</vt:lpstr>
      <vt:lpstr>MS_05002</vt:lpstr>
      <vt:lpstr>MS_05002_m</vt:lpstr>
      <vt:lpstr>MS_05002_p</vt:lpstr>
      <vt:lpstr>MS_05002_q</vt:lpstr>
      <vt:lpstr>MS_05003</vt:lpstr>
      <vt:lpstr>MS_05003_m</vt:lpstr>
      <vt:lpstr>MS_05003_p</vt:lpstr>
      <vt:lpstr>MS_05003_q</vt:lpstr>
      <vt:lpstr>MS_A0001</vt:lpstr>
      <vt:lpstr>MS_A0001_f</vt:lpstr>
      <vt:lpstr>MS_A0001_m</vt:lpstr>
      <vt:lpstr>MS_A0001_p</vt:lpstr>
      <vt:lpstr>MS_A0001_q</vt:lpstr>
      <vt:lpstr>MS_A0001_t</vt:lpstr>
      <vt:lpstr>MS_A0002</vt:lpstr>
      <vt:lpstr>MS_A0002_f</vt:lpstr>
      <vt:lpstr>MS_A0002_m</vt:lpstr>
      <vt:lpstr>MS_A0002_p</vt:lpstr>
      <vt:lpstr>MS_A0002_q</vt:lpstr>
      <vt:lpstr>MS_A0002_t</vt:lpstr>
      <vt:lpstr>MS_A0003</vt:lpstr>
      <vt:lpstr>MS_A0003_f</vt:lpstr>
      <vt:lpstr>MS_A0003_m</vt:lpstr>
      <vt:lpstr>MS_A0003_p</vt:lpstr>
      <vt:lpstr>MS_A0003_q</vt:lpstr>
      <vt:lpstr>MS_A0003_t</vt:lpstr>
      <vt:lpstr>MS_A0004</vt:lpstr>
      <vt:lpstr>MS_A0004_f</vt:lpstr>
      <vt:lpstr>MS_A0004_p</vt:lpstr>
      <vt:lpstr>MS_A0004_q</vt:lpstr>
      <vt:lpstr>MS_A0005</vt:lpstr>
      <vt:lpstr>MS_A0005_f</vt:lpstr>
      <vt:lpstr>MS_A0005_m</vt:lpstr>
      <vt:lpstr>MS_A0005_p</vt:lpstr>
      <vt:lpstr>MS_A0005_q</vt:lpstr>
      <vt:lpstr>MS_A0005_t</vt:lpstr>
      <vt:lpstr>salut</vt:lpstr>
      <vt:lpstr>ST_01001</vt:lpstr>
      <vt:lpstr>ST_01001_c</vt:lpstr>
      <vt:lpstr>ST_01001_m</vt:lpstr>
      <vt:lpstr>ST_01001_n</vt:lpstr>
      <vt:lpstr>ST_01001_p</vt:lpstr>
      <vt:lpstr>ST_01001_q</vt:lpstr>
      <vt:lpstr>ST_01001_t</vt:lpstr>
      <vt:lpstr>ST_01002</vt:lpstr>
      <vt:lpstr>ST_01002_c</vt:lpstr>
      <vt:lpstr>ST_01002_m</vt:lpstr>
      <vt:lpstr>ST_01002_n</vt:lpstr>
      <vt:lpstr>ST_01002_p</vt:lpstr>
      <vt:lpstr>ST_01002_q</vt:lpstr>
      <vt:lpstr>ST_01003</vt:lpstr>
      <vt:lpstr>ST_01003_c</vt:lpstr>
      <vt:lpstr>ST_01003_m</vt:lpstr>
      <vt:lpstr>ST_01003_n</vt:lpstr>
      <vt:lpstr>ST_01003_p</vt:lpstr>
      <vt:lpstr>ST_01003_q</vt:lpstr>
      <vt:lpstr>ST_01004</vt:lpstr>
      <vt:lpstr>ST_01004_c</vt:lpstr>
      <vt:lpstr>ST_01004_m</vt:lpstr>
      <vt:lpstr>ST_01004_n</vt:lpstr>
      <vt:lpstr>ST_01004_p</vt:lpstr>
      <vt:lpstr>ST_01004_q</vt:lpstr>
      <vt:lpstr>ST_01005</vt:lpstr>
      <vt:lpstr>ST_01005_c</vt:lpstr>
      <vt:lpstr>ST_01005_m</vt:lpstr>
      <vt:lpstr>ST_01005_n</vt:lpstr>
      <vt:lpstr>ST_01005_p</vt:lpstr>
      <vt:lpstr>ST_01005_q</vt:lpstr>
      <vt:lpstr>ST_02001</vt:lpstr>
      <vt:lpstr>ST_02001_c</vt:lpstr>
      <vt:lpstr>ST_02001_m</vt:lpstr>
      <vt:lpstr>ST_02001_n</vt:lpstr>
      <vt:lpstr>ST_02001_p</vt:lpstr>
      <vt:lpstr>ST_02001_q</vt:lpstr>
      <vt:lpstr>ST_02002</vt:lpstr>
      <vt:lpstr>ST_02002_c</vt:lpstr>
      <vt:lpstr>ST_02002_m</vt:lpstr>
      <vt:lpstr>ST_02002_n</vt:lpstr>
      <vt:lpstr>ST_02002_p</vt:lpstr>
      <vt:lpstr>ST_02002_q</vt:lpstr>
      <vt:lpstr>ST_02003</vt:lpstr>
      <vt:lpstr>ST_02003_c</vt:lpstr>
      <vt:lpstr>ST_02003_m</vt:lpstr>
      <vt:lpstr>ST_02003_n</vt:lpstr>
      <vt:lpstr>ST_02003_p</vt:lpstr>
      <vt:lpstr>ST_02003_q</vt:lpstr>
      <vt:lpstr>ST_02003_t</vt:lpstr>
      <vt:lpstr>ST_02004</vt:lpstr>
      <vt:lpstr>ST_02004_c</vt:lpstr>
      <vt:lpstr>ST_02004_m</vt:lpstr>
      <vt:lpstr>ST_02004_n</vt:lpstr>
      <vt:lpstr>ST_02004_p</vt:lpstr>
      <vt:lpstr>ST_02004_q</vt:lpstr>
      <vt:lpstr>ST_02005</vt:lpstr>
      <vt:lpstr>ST_02005_c</vt:lpstr>
      <vt:lpstr>ST_02005_m</vt:lpstr>
      <vt:lpstr>ST_02005_n</vt:lpstr>
      <vt:lpstr>ST_02005_p</vt:lpstr>
      <vt:lpstr>ST_02005_q</vt:lpstr>
      <vt:lpstr>ST_02006</vt:lpstr>
      <vt:lpstr>ST_02006_c</vt:lpstr>
      <vt:lpstr>ST_02006_m</vt:lpstr>
      <vt:lpstr>ST_02006_n</vt:lpstr>
      <vt:lpstr>ST_02006_p</vt:lpstr>
      <vt:lpstr>ST_02006_q</vt:lpstr>
      <vt:lpstr>ST_02007</vt:lpstr>
      <vt:lpstr>ST_02007_c</vt:lpstr>
      <vt:lpstr>ST_02007_m</vt:lpstr>
      <vt:lpstr>ST_02007_n</vt:lpstr>
      <vt:lpstr>ST_02007_p</vt:lpstr>
      <vt:lpstr>ST_02007_q</vt:lpstr>
      <vt:lpstr>ST_03001</vt:lpstr>
      <vt:lpstr>ST_03001_c</vt:lpstr>
      <vt:lpstr>ST_03001_m</vt:lpstr>
      <vt:lpstr>ST_03001_n</vt:lpstr>
      <vt:lpstr>ST_03001_p</vt:lpstr>
      <vt:lpstr>ST_03001_q</vt:lpstr>
      <vt:lpstr>ST_03002</vt:lpstr>
      <vt:lpstr>ST_03002_c</vt:lpstr>
      <vt:lpstr>ST_03002_m</vt:lpstr>
      <vt:lpstr>ST_03002_n</vt:lpstr>
      <vt:lpstr>ST_03002_p</vt:lpstr>
      <vt:lpstr>ST_03002_q</vt:lpstr>
      <vt:lpstr>ST_03003</vt:lpstr>
      <vt:lpstr>ST_03003_c</vt:lpstr>
      <vt:lpstr>ST_03003_m</vt:lpstr>
      <vt:lpstr>ST_03003_n</vt:lpstr>
      <vt:lpstr>ST_03003_p</vt:lpstr>
      <vt:lpstr>ST_03003_q</vt:lpstr>
      <vt:lpstr>ST_04001</vt:lpstr>
      <vt:lpstr>ST_04001_c</vt:lpstr>
      <vt:lpstr>ST_04001_m</vt:lpstr>
      <vt:lpstr>ST_04001_n</vt:lpstr>
      <vt:lpstr>ST_04001_p</vt:lpstr>
      <vt:lpstr>ST_04001_q</vt:lpstr>
      <vt:lpstr>ST_04002</vt:lpstr>
      <vt:lpstr>ST_04002_c</vt:lpstr>
      <vt:lpstr>ST_04002_m</vt:lpstr>
      <vt:lpstr>ST_04002_n</vt:lpstr>
      <vt:lpstr>ST_04002_p</vt:lpstr>
      <vt:lpstr>ST_04002_q</vt:lpstr>
      <vt:lpstr>ST_04003</vt:lpstr>
      <vt:lpstr>ST_04003_c</vt:lpstr>
      <vt:lpstr>ST_04003_m</vt:lpstr>
      <vt:lpstr>ST_04003_n</vt:lpstr>
      <vt:lpstr>ST_04003_p</vt:lpstr>
      <vt:lpstr>ST_04003_q</vt:lpstr>
      <vt:lpstr>ST_04004</vt:lpstr>
      <vt:lpstr>ST_04004_c</vt:lpstr>
      <vt:lpstr>ST_04004_m</vt:lpstr>
      <vt:lpstr>ST_04004_n</vt:lpstr>
      <vt:lpstr>ST_04004_p</vt:lpstr>
      <vt:lpstr>ST_04004_q</vt:lpstr>
      <vt:lpstr>ST_05001</vt:lpstr>
      <vt:lpstr>ST_05001_c</vt:lpstr>
      <vt:lpstr>ST_05001_m</vt:lpstr>
      <vt:lpstr>ST_05001_n</vt:lpstr>
      <vt:lpstr>ST_05001_p</vt:lpstr>
      <vt:lpstr>ST_05001_q</vt:lpstr>
      <vt:lpstr>ST_05002</vt:lpstr>
      <vt:lpstr>ST_05002_c</vt:lpstr>
      <vt:lpstr>ST_05002_m</vt:lpstr>
      <vt:lpstr>ST_05002_n</vt:lpstr>
      <vt:lpstr>ST_05002_p</vt:lpstr>
      <vt:lpstr>ST_05002_q</vt:lpstr>
      <vt:lpstr>ST_05003</vt:lpstr>
      <vt:lpstr>ST_05003_c</vt:lpstr>
      <vt:lpstr>ST_05003_m</vt:lpstr>
      <vt:lpstr>ST_05003_n</vt:lpstr>
      <vt:lpstr>ST_05003_p</vt:lpstr>
      <vt:lpstr>ST_05003_q</vt:lpstr>
      <vt:lpstr>ST_05004</vt:lpstr>
      <vt:lpstr>ST_05004_c</vt:lpstr>
      <vt:lpstr>ST_05004_m</vt:lpstr>
      <vt:lpstr>ST_05004_n</vt:lpstr>
      <vt:lpstr>ST_05004_p</vt:lpstr>
      <vt:lpstr>ST_05004_q</vt:lpstr>
      <vt:lpstr>ST_A0001</vt:lpstr>
      <vt:lpstr>ST_A0001_f</vt:lpstr>
      <vt:lpstr>ST_A0001_m</vt:lpstr>
      <vt:lpstr>ST_A0001_n</vt:lpstr>
      <vt:lpstr>ST_A0001_p</vt:lpstr>
      <vt:lpstr>ST_A0001_q</vt:lpstr>
      <vt:lpstr>ST_A0001_t</vt:lpstr>
      <vt:lpstr>ST_A0002</vt:lpstr>
      <vt:lpstr>ST_A0002_f</vt:lpstr>
      <vt:lpstr>ST_A0002_m</vt:lpstr>
      <vt:lpstr>ST_A0002_n</vt:lpstr>
      <vt:lpstr>ST_A0002_p</vt:lpstr>
      <vt:lpstr>ST_A0002_q</vt:lpstr>
      <vt:lpstr>ST_A0002_t</vt:lpstr>
      <vt:lpstr>ST_A0003</vt:lpstr>
      <vt:lpstr>ST_A0003_f</vt:lpstr>
      <vt:lpstr>ST_A0003_m</vt:lpstr>
      <vt:lpstr>ST_A0003_n</vt:lpstr>
      <vt:lpstr>ST_A0003_p</vt:lpstr>
      <vt:lpstr>ST_A0003_q</vt:lpstr>
      <vt:lpstr>ST_A0003_t</vt:lpstr>
      <vt:lpstr>ST_A0004</vt:lpstr>
      <vt:lpstr>ST_A0004_f</vt:lpstr>
      <vt:lpstr>ST_A0004_m</vt:lpstr>
      <vt:lpstr>ST_A0004_n</vt:lpstr>
      <vt:lpstr>ST_A0004_p</vt:lpstr>
      <vt:lpstr>ST_A0004_q</vt:lpstr>
      <vt:lpstr>ST_A0005</vt:lpstr>
      <vt:lpstr>ST_A0005_f</vt:lpstr>
      <vt:lpstr>ST_A0005_m</vt:lpstr>
      <vt:lpstr>ST_A0005_n</vt:lpstr>
      <vt:lpstr>ST_A0005_p</vt:lpstr>
      <vt:lpstr>ST_A0005_q</vt:lpstr>
      <vt:lpstr>ST_A005_q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SU_05001</vt:lpstr>
      <vt:lpstr>SU_05001_m</vt:lpstr>
      <vt:lpstr>SU_05001_q</vt:lpstr>
      <vt:lpstr>SU_05002</vt:lpstr>
      <vt:lpstr>SU_05002_m</vt:lpstr>
      <vt:lpstr>SU_05002_q</vt:lpstr>
      <vt:lpstr>SU_05003</vt:lpstr>
      <vt:lpstr>SU_05003_d</vt:lpstr>
      <vt:lpstr>SU_05003_m</vt:lpstr>
      <vt:lpstr>SU_05003_p</vt:lpstr>
      <vt:lpstr>SU_05003_q</vt:lpstr>
      <vt:lpstr>SU_05004</vt:lpstr>
      <vt:lpstr>SU_05004_m</vt:lpstr>
      <vt:lpstr>SU_05004_p</vt:lpstr>
      <vt:lpstr>SU_05004_q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SU_06005</vt:lpstr>
      <vt:lpstr>SU_06005_m</vt:lpstr>
      <vt:lpstr>SU_06005_p</vt:lpstr>
      <vt:lpstr>SU_06005_q</vt:lpstr>
      <vt:lpstr>SU_06006</vt:lpstr>
      <vt:lpstr>SU_06006_m</vt:lpstr>
      <vt:lpstr>SU_06006_p</vt:lpstr>
      <vt:lpstr>SU_06006_q</vt:lpstr>
      <vt:lpstr>SU_07001</vt:lpstr>
      <vt:lpstr>SU_07001_m</vt:lpstr>
      <vt:lpstr>SU_07001_q</vt:lpstr>
      <vt:lpstr>SU_07002</vt:lpstr>
      <vt:lpstr>SU_07002_m</vt:lpstr>
      <vt:lpstr>SU_07002_q</vt:lpstr>
      <vt:lpstr>SU_07003</vt:lpstr>
      <vt:lpstr>SU_07003_d</vt:lpstr>
      <vt:lpstr>SU_07003_m</vt:lpstr>
      <vt:lpstr>SU_07003_p</vt:lpstr>
      <vt:lpstr>SU_07003_q</vt:lpstr>
      <vt:lpstr>SU_07004</vt:lpstr>
      <vt:lpstr>SU_07004_m</vt:lpstr>
      <vt:lpstr>SU_07004_p</vt:lpstr>
      <vt:lpstr>SU_07004_q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SU_08004</vt:lpstr>
      <vt:lpstr>SU_08004_m</vt:lpstr>
      <vt:lpstr>SU_08004_p</vt:lpstr>
      <vt:lpstr>SU_08004_q</vt:lpstr>
      <vt:lpstr>SU_08005</vt:lpstr>
      <vt:lpstr>SU_08005_m</vt:lpstr>
      <vt:lpstr>SU_08005_p</vt:lpstr>
      <vt:lpstr>SU_08005_q</vt:lpstr>
      <vt:lpstr>SU_08006</vt:lpstr>
      <vt:lpstr>SU_08006_m</vt:lpstr>
      <vt:lpstr>SU_08006_p</vt:lpstr>
      <vt:lpstr>SU_08006_q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SU_10001</vt:lpstr>
      <vt:lpstr>SU_10001_m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SU_10006</vt:lpstr>
      <vt:lpstr>SU_10006_m</vt:lpstr>
      <vt:lpstr>SU_10006_p</vt:lpstr>
      <vt:lpstr>SU_10006_q</vt:lpstr>
      <vt:lpstr>SU_10007</vt:lpstr>
      <vt:lpstr>SU_10007_m</vt:lpstr>
      <vt:lpstr>SU_10007_p</vt:lpstr>
      <vt:lpstr>SU_10007_q</vt:lpstr>
      <vt:lpstr>SU_11001</vt:lpstr>
      <vt:lpstr>SU_11001_d</vt:lpstr>
      <vt:lpstr>SU_11001_m</vt:lpstr>
      <vt:lpstr>SU_11001_p</vt:lpstr>
      <vt:lpstr>SU_11001_q</vt:lpstr>
      <vt:lpstr>SU_11002</vt:lpstr>
      <vt:lpstr>SU_11002_d</vt:lpstr>
      <vt:lpstr>SU_11002_m</vt:lpstr>
      <vt:lpstr>SU_11002_p</vt:lpstr>
      <vt:lpstr>SU_11002_q</vt:lpstr>
      <vt:lpstr>SU_11003</vt:lpstr>
      <vt:lpstr>SU_11003_d</vt:lpstr>
      <vt:lpstr>SU_11003_m</vt:lpstr>
      <vt:lpstr>SU_11003_p</vt:lpstr>
      <vt:lpstr>SU_11003_q</vt:lpstr>
      <vt:lpstr>SU_11004</vt:lpstr>
      <vt:lpstr>SU_11004_m</vt:lpstr>
      <vt:lpstr>SU_11004_p</vt:lpstr>
      <vt:lpstr>SU_11004_q</vt:lpstr>
      <vt:lpstr>SU_11005</vt:lpstr>
      <vt:lpstr>SU_11005_m</vt:lpstr>
      <vt:lpstr>SU_11005_p</vt:lpstr>
      <vt:lpstr>SU_11005_q</vt:lpstr>
      <vt:lpstr>SU_11006</vt:lpstr>
      <vt:lpstr>SU_11006_m</vt:lpstr>
      <vt:lpstr>SU_11006_p</vt:lpstr>
      <vt:lpstr>SU_11006_q</vt:lpstr>
      <vt:lpstr>SU_12001</vt:lpstr>
      <vt:lpstr>SU_12001_d</vt:lpstr>
      <vt:lpstr>SU_12001_m</vt:lpstr>
      <vt:lpstr>SU_12001_p</vt:lpstr>
      <vt:lpstr>SU_12001_q</vt:lpstr>
      <vt:lpstr>SU_12002</vt:lpstr>
      <vt:lpstr>SU_12002_d</vt:lpstr>
      <vt:lpstr>SU_12002_m</vt:lpstr>
      <vt:lpstr>SU_12002_p</vt:lpstr>
      <vt:lpstr>SU_12002_q</vt:lpstr>
      <vt:lpstr>SU_12003</vt:lpstr>
      <vt:lpstr>SU_12003_m</vt:lpstr>
      <vt:lpstr>SU_12003_p</vt:lpstr>
      <vt:lpstr>SU_12003_q</vt:lpstr>
      <vt:lpstr>SU_12004</vt:lpstr>
      <vt:lpstr>SU_12004_m</vt:lpstr>
      <vt:lpstr>SU_12004_p</vt:lpstr>
      <vt:lpstr>SU_12004_q</vt:lpstr>
      <vt:lpstr>SU_12005</vt:lpstr>
      <vt:lpstr>SU_12005_m</vt:lpstr>
      <vt:lpstr>SU_12005_p</vt:lpstr>
      <vt:lpstr>SU_12005_q</vt:lpstr>
      <vt:lpstr>SU_A0001</vt:lpstr>
      <vt:lpstr>SU_A0001_f</vt:lpstr>
      <vt:lpstr>SU_A0001_m</vt:lpstr>
      <vt:lpstr>SU_A0001_p</vt:lpstr>
      <vt:lpstr>SU_A0001_q</vt:lpstr>
      <vt:lpstr>SU_A0001_t</vt:lpstr>
      <vt:lpstr>SU_A0002</vt:lpstr>
      <vt:lpstr>SU_A0002_f</vt:lpstr>
      <vt:lpstr>SU_A0002_m</vt:lpstr>
      <vt:lpstr>SU_A0002_p</vt:lpstr>
      <vt:lpstr>SU_A0002_q</vt:lpstr>
      <vt:lpstr>SU_A0002_t</vt:lpstr>
      <vt:lpstr>SU_A0003</vt:lpstr>
      <vt:lpstr>SU_A0003_f</vt:lpstr>
      <vt:lpstr>SU_A0003_m</vt:lpstr>
      <vt:lpstr>SU_A0003_p</vt:lpstr>
      <vt:lpstr>SU_A0003_q</vt:lpstr>
      <vt:lpstr>SU_A0003_t</vt:lpstr>
      <vt:lpstr>SU_A0004</vt:lpstr>
      <vt:lpstr>SU_A0004_f</vt:lpstr>
      <vt:lpstr>SU_A0004_m</vt:lpstr>
      <vt:lpstr>SU_A0004_p</vt:lpstr>
      <vt:lpstr>SU_A0004_q</vt:lpstr>
      <vt:lpstr>SU_A0004_t</vt:lpstr>
      <vt:lpstr>SU_A0005</vt:lpstr>
      <vt:lpstr>SU_A0005_f</vt:lpstr>
      <vt:lpstr>SU_A0005_m</vt:lpstr>
      <vt:lpstr>SU_A0005_p</vt:lpstr>
      <vt:lpstr>SU_A0005_q</vt:lpstr>
      <vt:lpstr>SU_A0005_t</vt:lpstr>
      <vt:lpstr>SU_A0006</vt:lpstr>
      <vt:lpstr>SU_A0006_f</vt:lpstr>
      <vt:lpstr>SU_A0006_m</vt:lpstr>
      <vt:lpstr>SU_A0006_p</vt:lpstr>
      <vt:lpstr>SU_A0006_q</vt:lpstr>
      <vt:lpstr>SU_A0006_t</vt:lpstr>
      <vt:lpstr>SU_A0007</vt:lpstr>
      <vt:lpstr>SU_A0007_f</vt:lpstr>
      <vt:lpstr>SU_A0007_m</vt:lpstr>
      <vt:lpstr>SU_A0007_p</vt:lpstr>
      <vt:lpstr>SU_A0007_q</vt:lpstr>
      <vt:lpstr>SU_A0007_t</vt:lpstr>
      <vt:lpstr>SU_A0008</vt:lpstr>
      <vt:lpstr>SU_A0008_f</vt:lpstr>
      <vt:lpstr>SU_A0008_m</vt:lpstr>
      <vt:lpstr>SU_A0008_p</vt:lpstr>
      <vt:lpstr>SU_A0008_q</vt:lpstr>
      <vt:lpstr>SU_A0008_t</vt:lpstr>
      <vt:lpstr>SU_A0009</vt:lpstr>
      <vt:lpstr>SU_A0009_f</vt:lpstr>
      <vt:lpstr>SU_A0009_m</vt:lpstr>
      <vt:lpstr>SU_A0009_p</vt:lpstr>
      <vt:lpstr>SU_A0009_q</vt:lpstr>
      <vt:lpstr>SU_A0009_t</vt:lpstr>
      <vt:lpstr>SU_A0010</vt:lpstr>
      <vt:lpstr>SU_A0010_f</vt:lpstr>
      <vt:lpstr>SU_A0010_m</vt:lpstr>
      <vt:lpstr>SU_A0010_p</vt:lpstr>
      <vt:lpstr>SU_A0010_q</vt:lpstr>
      <vt:lpstr>SU_A0010_t</vt:lpstr>
      <vt:lpstr>SU_A0011</vt:lpstr>
      <vt:lpstr>SU_A0011_f</vt:lpstr>
      <vt:lpstr>SU_A0011_p</vt:lpstr>
      <vt:lpstr>SU_A0011_q</vt:lpstr>
      <vt:lpstr>SU_A0012</vt:lpstr>
      <vt:lpstr>SU_A0012_f</vt:lpstr>
      <vt:lpstr>SU_A0012_p</vt:lpstr>
      <vt:lpstr>SU_A0012_q</vt:lpstr>
      <vt:lpstr>SU_A002_q</vt:lpstr>
      <vt:lpstr>WT_01001</vt:lpstr>
      <vt:lpstr>WT_01001_m</vt:lpstr>
      <vt:lpstr>WT_01001_PC</vt:lpstr>
      <vt:lpstr>WT_01001_Qty</vt:lpstr>
      <vt:lpstr>WT_01001_ref</vt:lpstr>
      <vt:lpstr>WT_01002</vt:lpstr>
      <vt:lpstr>WT_01002_m</vt:lpstr>
      <vt:lpstr>WT_01002_PC</vt:lpstr>
      <vt:lpstr>WT_01002_Qty</vt:lpstr>
      <vt:lpstr>WT_01002_ref</vt:lpstr>
      <vt:lpstr>WT_01003</vt:lpstr>
      <vt:lpstr>WT_01003_m</vt:lpstr>
      <vt:lpstr>WT_01003_PC</vt:lpstr>
      <vt:lpstr>WT_01003_Qty</vt:lpstr>
      <vt:lpstr>WT_01003_ref</vt:lpstr>
      <vt:lpstr>WT_02001</vt:lpstr>
      <vt:lpstr>WT_02001_m</vt:lpstr>
      <vt:lpstr>WT_02001_p</vt:lpstr>
      <vt:lpstr>WT_02001_PC</vt:lpstr>
      <vt:lpstr>WT_02001_Qty</vt:lpstr>
      <vt:lpstr>WT_02001_ref</vt:lpstr>
      <vt:lpstr>WT_02002</vt:lpstr>
      <vt:lpstr>WT_02002_m</vt:lpstr>
      <vt:lpstr>WT_02002_PC</vt:lpstr>
      <vt:lpstr>WT_02002_Qty</vt:lpstr>
      <vt:lpstr>WT_02002_ref</vt:lpstr>
      <vt:lpstr>WT_02003</vt:lpstr>
      <vt:lpstr>WT_02003_m</vt:lpstr>
      <vt:lpstr>WT_02003_p</vt:lpstr>
      <vt:lpstr>WT_02003_PC</vt:lpstr>
      <vt:lpstr>WT_02003_Qty</vt:lpstr>
      <vt:lpstr>WT_02003_ref</vt:lpstr>
      <vt:lpstr>WT_03001</vt:lpstr>
      <vt:lpstr>WT_03001_m</vt:lpstr>
      <vt:lpstr>WT_03001_p</vt:lpstr>
      <vt:lpstr>WT_03001_PC</vt:lpstr>
      <vt:lpstr>WT_03001_Qty</vt:lpstr>
      <vt:lpstr>WT_03001_ref</vt:lpstr>
      <vt:lpstr>WT_03002</vt:lpstr>
      <vt:lpstr>WT_03002_m</vt:lpstr>
      <vt:lpstr>WT_03002_PC</vt:lpstr>
      <vt:lpstr>WT_03002_Qty</vt:lpstr>
      <vt:lpstr>WT_03002_ref</vt:lpstr>
      <vt:lpstr>WT_03003</vt:lpstr>
      <vt:lpstr>WT_03003_m</vt:lpstr>
      <vt:lpstr>WT_03003_p</vt:lpstr>
      <vt:lpstr>WT_03003_PC</vt:lpstr>
      <vt:lpstr>WT_03003_Qty</vt:lpstr>
      <vt:lpstr>WT_03003_ref</vt:lpstr>
      <vt:lpstr>WT_A0001</vt:lpstr>
      <vt:lpstr>WT_A0001_AC</vt:lpstr>
      <vt:lpstr>WT_A0001_F</vt:lpstr>
      <vt:lpstr>WT_A0001_m</vt:lpstr>
      <vt:lpstr>WT_A0001_P</vt:lpstr>
      <vt:lpstr>WT_A0001_Pa</vt:lpstr>
      <vt:lpstr>WT_A0001_Qty</vt:lpstr>
      <vt:lpstr>WT_A0001_ref</vt:lpstr>
      <vt:lpstr>WT_A0001_T</vt:lpstr>
      <vt:lpstr>WT_A0002</vt:lpstr>
      <vt:lpstr>WT_A0002_AC</vt:lpstr>
      <vt:lpstr>WT_A0002_f</vt:lpstr>
      <vt:lpstr>WT_A0002_m</vt:lpstr>
      <vt:lpstr>WT_A0002_p</vt:lpstr>
      <vt:lpstr>WT_A0002_Pa</vt:lpstr>
      <vt:lpstr>WT_A0002_Qty</vt:lpstr>
      <vt:lpstr>WT_A0002_ref</vt:lpstr>
      <vt:lpstr>WT_A0003</vt:lpstr>
      <vt:lpstr>WT_A0003_AC</vt:lpstr>
      <vt:lpstr>WT_A0003_f</vt:lpstr>
      <vt:lpstr>WT_A0003_m</vt:lpstr>
      <vt:lpstr>WT_A0003_p</vt:lpstr>
      <vt:lpstr>WT_A0003_Pa</vt:lpstr>
      <vt:lpstr>WT_A0003_Qty</vt:lpstr>
      <vt:lpstr>WT_A0003_ref</vt:lpstr>
      <vt:lpstr>'BR Assemblies'!Zone_d_impression</vt:lpstr>
      <vt:lpstr>'BR Parts'!Zone_d_impression</vt:lpstr>
      <vt:lpstr>'ST Parts'!Zone_d_impression</vt:lpstr>
      <vt:lpstr>'SU Assemblies'!Zone_d_impression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 Z</dc:creator>
  <cp:lastModifiedBy>Martin Z</cp:lastModifiedBy>
  <dcterms:created xsi:type="dcterms:W3CDTF">2016-05-20T17:20:57Z</dcterms:created>
  <dcterms:modified xsi:type="dcterms:W3CDTF">2016-05-26T19:35:39Z</dcterms:modified>
</cp:coreProperties>
</file>